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fileSharing readOnlyRecommended="1"/>
  <workbookPr filterPrivacy="1"/>
  <xr:revisionPtr revIDLastSave="0" documentId="13_ncr:1_{14EBC6B3-5917-4F3C-8AE8-63C81A2502A5}" xr6:coauthVersionLast="45" xr6:coauthVersionMax="45" xr10:uidLastSave="{00000000-0000-0000-0000-000000000000}"/>
  <workbookProtection lockStructure="1"/>
  <bookViews>
    <workbookView xWindow="-120" yWindow="-120" windowWidth="29040" windowHeight="15840" xr2:uid="{00000000-000D-0000-FFFF-FFFF00000000}"/>
  </bookViews>
  <sheets>
    <sheet name="Progress Summary - Total " sheetId="1" r:id="rId1"/>
    <sheet name="Progress Summary -  Low Income" sheetId="2" r:id="rId2"/>
    <sheet name="Progress by County 2014 - 2018" sheetId="3" r:id="rId3"/>
    <sheet name="CA's HCD  5th Cycle APR Raw Dat" sheetId="4" r:id="rId4"/>
    <sheet name="CA's HCD 5th Cycle Full Summary" sheetId="5" r:id="rId5"/>
    <sheet name="CA's HCD Assigned 5th Cycle RHN" sheetId="6" r:id="rId6"/>
    <sheet name="Dept of Fin -Pop Projection" sheetId="7"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2" l="1"/>
  <c r="F1978" i="4" l="1"/>
  <c r="U1977" i="4"/>
  <c r="T1977" i="4" s="1"/>
  <c r="U1976" i="4"/>
  <c r="T1976" i="4" s="1"/>
  <c r="U1975" i="4"/>
  <c r="T1975" i="4" s="1"/>
  <c r="U1974" i="4"/>
  <c r="T1974" i="4" s="1"/>
  <c r="U1973" i="4"/>
  <c r="T1973" i="4" s="1"/>
  <c r="U1972" i="4"/>
  <c r="T1972" i="4" s="1"/>
  <c r="U1971" i="4"/>
  <c r="T1971" i="4" s="1"/>
  <c r="U1970" i="4"/>
  <c r="T1970" i="4" s="1"/>
  <c r="U1969" i="4"/>
  <c r="T1969" i="4" s="1"/>
  <c r="U1968" i="4"/>
  <c r="T1968" i="4" s="1"/>
  <c r="U1967" i="4"/>
  <c r="T1967" i="4" s="1"/>
  <c r="U1966" i="4"/>
  <c r="T1966" i="4" s="1"/>
  <c r="U1965" i="4"/>
  <c r="T1965" i="4" s="1"/>
  <c r="U1964" i="4"/>
  <c r="T1964" i="4" s="1"/>
  <c r="U1963" i="4"/>
  <c r="T1963" i="4" s="1"/>
  <c r="U1962" i="4"/>
  <c r="T1962" i="4" s="1"/>
  <c r="U1961" i="4"/>
  <c r="T1961" i="4" s="1"/>
  <c r="U1960" i="4"/>
  <c r="T1960" i="4" s="1"/>
  <c r="U1959" i="4"/>
  <c r="T1959" i="4" s="1"/>
  <c r="U1958" i="4"/>
  <c r="T1958" i="4" s="1"/>
  <c r="U1957" i="4"/>
  <c r="T1957" i="4" s="1"/>
  <c r="U1956" i="4"/>
  <c r="T1956" i="4" s="1"/>
  <c r="U1955" i="4"/>
  <c r="T1955" i="4" s="1"/>
  <c r="U1954" i="4"/>
  <c r="T1954" i="4" s="1"/>
  <c r="U1953" i="4"/>
  <c r="T1953" i="4"/>
  <c r="U1952" i="4"/>
  <c r="T1952" i="4" s="1"/>
  <c r="U1951" i="4"/>
  <c r="T1951" i="4" s="1"/>
  <c r="U1950" i="4"/>
  <c r="T1950" i="4" s="1"/>
  <c r="U1949" i="4"/>
  <c r="T1949" i="4" s="1"/>
  <c r="U1948" i="4"/>
  <c r="T1948" i="4" s="1"/>
  <c r="U1947" i="4"/>
  <c r="T1947" i="4"/>
  <c r="U1946" i="4"/>
  <c r="T1946" i="4" s="1"/>
  <c r="U1945" i="4"/>
  <c r="T1945" i="4" s="1"/>
  <c r="U1944" i="4"/>
  <c r="T1944" i="4" s="1"/>
  <c r="U1943" i="4"/>
  <c r="T1943" i="4" s="1"/>
  <c r="U1942" i="4"/>
  <c r="T1942" i="4" s="1"/>
  <c r="U1941" i="4"/>
  <c r="T1941" i="4" s="1"/>
  <c r="U1940" i="4"/>
  <c r="T1940" i="4" s="1"/>
  <c r="U1939" i="4"/>
  <c r="T1939" i="4"/>
  <c r="U1938" i="4"/>
  <c r="T1938" i="4" s="1"/>
  <c r="U1937" i="4"/>
  <c r="T1937" i="4" s="1"/>
  <c r="U1936" i="4"/>
  <c r="T1936" i="4" s="1"/>
  <c r="U1935" i="4"/>
  <c r="T1935" i="4" s="1"/>
  <c r="U1934" i="4"/>
  <c r="T1934" i="4" s="1"/>
  <c r="U1933" i="4"/>
  <c r="T1933" i="4" s="1"/>
  <c r="U1932" i="4"/>
  <c r="T1932" i="4" s="1"/>
  <c r="U1931" i="4"/>
  <c r="T1931" i="4"/>
  <c r="U1930" i="4"/>
  <c r="T1930" i="4" s="1"/>
  <c r="U1929" i="4"/>
  <c r="T1929" i="4" s="1"/>
  <c r="U1928" i="4"/>
  <c r="T1928" i="4" s="1"/>
  <c r="U1927" i="4"/>
  <c r="T1927" i="4" s="1"/>
  <c r="U1926" i="4"/>
  <c r="T1926" i="4" s="1"/>
  <c r="U1925" i="4"/>
  <c r="T1925" i="4" s="1"/>
  <c r="U1924" i="4"/>
  <c r="T1924" i="4" s="1"/>
  <c r="U1923" i="4"/>
  <c r="T1923" i="4" s="1"/>
  <c r="U1922" i="4"/>
  <c r="T1922" i="4" s="1"/>
  <c r="U1921" i="4"/>
  <c r="T1921" i="4" s="1"/>
  <c r="U1920" i="4"/>
  <c r="T1920" i="4" s="1"/>
  <c r="U1919" i="4"/>
  <c r="T1919" i="4" s="1"/>
  <c r="U1918" i="4"/>
  <c r="T1918" i="4" s="1"/>
  <c r="U1917" i="4"/>
  <c r="T1917" i="4" s="1"/>
  <c r="U1916" i="4"/>
  <c r="T1916" i="4" s="1"/>
  <c r="U1915" i="4"/>
  <c r="T1915" i="4"/>
  <c r="U1914" i="4"/>
  <c r="T1914" i="4" s="1"/>
  <c r="U1913" i="4"/>
  <c r="T1913" i="4" s="1"/>
  <c r="U1912" i="4"/>
  <c r="T1912" i="4" s="1"/>
  <c r="U1911" i="4"/>
  <c r="T1911" i="4"/>
  <c r="U1910" i="4"/>
  <c r="T1910" i="4" s="1"/>
  <c r="U1909" i="4"/>
  <c r="T1909" i="4" s="1"/>
  <c r="U1908" i="4"/>
  <c r="T1908" i="4" s="1"/>
  <c r="U1907" i="4"/>
  <c r="T1907" i="4"/>
  <c r="U1906" i="4"/>
  <c r="T1906" i="4" s="1"/>
  <c r="U1905" i="4"/>
  <c r="T1905" i="4" s="1"/>
  <c r="U1904" i="4"/>
  <c r="T1904" i="4" s="1"/>
  <c r="U1903" i="4"/>
  <c r="T1903" i="4" s="1"/>
  <c r="U1902" i="4"/>
  <c r="T1902" i="4" s="1"/>
  <c r="U1901" i="4"/>
  <c r="T1901" i="4" s="1"/>
  <c r="U1900" i="4"/>
  <c r="T1900" i="4" s="1"/>
  <c r="U1899" i="4"/>
  <c r="T1899" i="4"/>
  <c r="U1898" i="4"/>
  <c r="T1898" i="4" s="1"/>
  <c r="U1897" i="4"/>
  <c r="T1897" i="4" s="1"/>
  <c r="U1896" i="4"/>
  <c r="T1896" i="4" s="1"/>
  <c r="U1895" i="4"/>
  <c r="T1895" i="4"/>
  <c r="U1894" i="4"/>
  <c r="T1894" i="4" s="1"/>
  <c r="U1893" i="4"/>
  <c r="T1893" i="4" s="1"/>
  <c r="U1892" i="4"/>
  <c r="T1892" i="4" s="1"/>
  <c r="U1891" i="4"/>
  <c r="T1891" i="4"/>
  <c r="U1890" i="4"/>
  <c r="T1890" i="4" s="1"/>
  <c r="U1889" i="4"/>
  <c r="T1889" i="4" s="1"/>
  <c r="U1888" i="4"/>
  <c r="T1888" i="4" s="1"/>
  <c r="U1887" i="4"/>
  <c r="T1887" i="4" s="1"/>
  <c r="U1886" i="4"/>
  <c r="T1886" i="4" s="1"/>
  <c r="U1885" i="4"/>
  <c r="T1885" i="4" s="1"/>
  <c r="U1884" i="4"/>
  <c r="T1884" i="4" s="1"/>
  <c r="U1883" i="4"/>
  <c r="T1883" i="4"/>
  <c r="U1882" i="4"/>
  <c r="T1882" i="4" s="1"/>
  <c r="U1881" i="4"/>
  <c r="T1881" i="4" s="1"/>
  <c r="U1880" i="4"/>
  <c r="T1880" i="4" s="1"/>
  <c r="U1879" i="4"/>
  <c r="T1879" i="4"/>
  <c r="U1878" i="4"/>
  <c r="T1878" i="4" s="1"/>
  <c r="U1877" i="4"/>
  <c r="T1877" i="4" s="1"/>
  <c r="U1876" i="4"/>
  <c r="T1876" i="4" s="1"/>
  <c r="U1875" i="4"/>
  <c r="T1875" i="4"/>
  <c r="U1874" i="4"/>
  <c r="T1874" i="4" s="1"/>
  <c r="U1873" i="4"/>
  <c r="T1873" i="4" s="1"/>
  <c r="U1872" i="4"/>
  <c r="T1872" i="4" s="1"/>
  <c r="U1871" i="4"/>
  <c r="T1871" i="4" s="1"/>
  <c r="U1870" i="4"/>
  <c r="T1870" i="4" s="1"/>
  <c r="U1869" i="4"/>
  <c r="T1869" i="4" s="1"/>
  <c r="U1868" i="4"/>
  <c r="T1868" i="4" s="1"/>
  <c r="U1867" i="4"/>
  <c r="T1867" i="4"/>
  <c r="U1866" i="4"/>
  <c r="T1866" i="4" s="1"/>
  <c r="U1865" i="4"/>
  <c r="T1865" i="4" s="1"/>
  <c r="U1864" i="4"/>
  <c r="T1864" i="4" s="1"/>
  <c r="U1863" i="4"/>
  <c r="T1863" i="4"/>
  <c r="U1862" i="4"/>
  <c r="T1862" i="4" s="1"/>
  <c r="U1861" i="4"/>
  <c r="T1861" i="4" s="1"/>
  <c r="U1860" i="4"/>
  <c r="T1860" i="4" s="1"/>
  <c r="U1859" i="4"/>
  <c r="T1859" i="4"/>
  <c r="U1858" i="4"/>
  <c r="T1858" i="4" s="1"/>
  <c r="U1857" i="4"/>
  <c r="T1857" i="4" s="1"/>
  <c r="U1856" i="4"/>
  <c r="T1856" i="4" s="1"/>
  <c r="U1855" i="4"/>
  <c r="T1855" i="4" s="1"/>
  <c r="U1854" i="4"/>
  <c r="T1854" i="4" s="1"/>
  <c r="U1853" i="4"/>
  <c r="T1853" i="4" s="1"/>
  <c r="U1852" i="4"/>
  <c r="T1852" i="4" s="1"/>
  <c r="U1851" i="4"/>
  <c r="T1851" i="4"/>
  <c r="U1850" i="4"/>
  <c r="T1850" i="4" s="1"/>
  <c r="U1849" i="4"/>
  <c r="T1849" i="4" s="1"/>
  <c r="U1848" i="4"/>
  <c r="T1848" i="4" s="1"/>
  <c r="U1847" i="4"/>
  <c r="T1847" i="4"/>
  <c r="U1846" i="4"/>
  <c r="T1846" i="4" s="1"/>
  <c r="U1845" i="4"/>
  <c r="T1845" i="4" s="1"/>
  <c r="U1844" i="4"/>
  <c r="T1844" i="4" s="1"/>
  <c r="U1843" i="4"/>
  <c r="T1843" i="4"/>
  <c r="U1842" i="4"/>
  <c r="T1842" i="4" s="1"/>
  <c r="U1841" i="4"/>
  <c r="T1841" i="4" s="1"/>
  <c r="U1840" i="4"/>
  <c r="T1840" i="4" s="1"/>
  <c r="U1839" i="4"/>
  <c r="T1839" i="4" s="1"/>
  <c r="U1838" i="4"/>
  <c r="T1838" i="4" s="1"/>
  <c r="U1837" i="4"/>
  <c r="T1837" i="4" s="1"/>
  <c r="U1836" i="4"/>
  <c r="T1836" i="4" s="1"/>
  <c r="U1835" i="4"/>
  <c r="T1835" i="4"/>
  <c r="U1834" i="4"/>
  <c r="T1834" i="4" s="1"/>
  <c r="U1833" i="4"/>
  <c r="T1833" i="4" s="1"/>
  <c r="U1832" i="4"/>
  <c r="T1832" i="4" s="1"/>
  <c r="U1831" i="4"/>
  <c r="T1831" i="4"/>
  <c r="U1830" i="4"/>
  <c r="T1830" i="4" s="1"/>
  <c r="U1829" i="4"/>
  <c r="T1829" i="4" s="1"/>
  <c r="U1828" i="4"/>
  <c r="T1828" i="4" s="1"/>
  <c r="U1827" i="4"/>
  <c r="T1827" i="4"/>
  <c r="U1826" i="4"/>
  <c r="T1826" i="4" s="1"/>
  <c r="U1825" i="4"/>
  <c r="T1825" i="4" s="1"/>
  <c r="U1824" i="4"/>
  <c r="T1824" i="4" s="1"/>
  <c r="U1823" i="4"/>
  <c r="T1823" i="4" s="1"/>
  <c r="U1822" i="4"/>
  <c r="T1822" i="4" s="1"/>
  <c r="U1821" i="4"/>
  <c r="T1821" i="4" s="1"/>
  <c r="U1820" i="4"/>
  <c r="T1820" i="4" s="1"/>
  <c r="U1819" i="4"/>
  <c r="T1819" i="4"/>
  <c r="U1818" i="4"/>
  <c r="T1818" i="4" s="1"/>
  <c r="U1817" i="4"/>
  <c r="T1817" i="4" s="1"/>
  <c r="U1816" i="4"/>
  <c r="T1816" i="4" s="1"/>
  <c r="U1815" i="4"/>
  <c r="T1815" i="4"/>
  <c r="U1814" i="4"/>
  <c r="T1814" i="4" s="1"/>
  <c r="U1813" i="4"/>
  <c r="T1813" i="4" s="1"/>
  <c r="U1812" i="4"/>
  <c r="T1812" i="4" s="1"/>
  <c r="U1811" i="4"/>
  <c r="T1811" i="4" s="1"/>
  <c r="U1810" i="4"/>
  <c r="T1810" i="4" s="1"/>
  <c r="U1809" i="4"/>
  <c r="T1809" i="4" s="1"/>
  <c r="U1808" i="4"/>
  <c r="T1808" i="4" s="1"/>
  <c r="U1807" i="4"/>
  <c r="T1807" i="4" s="1"/>
  <c r="U1806" i="4"/>
  <c r="T1806" i="4"/>
  <c r="U1805" i="4"/>
  <c r="T1805" i="4" s="1"/>
  <c r="U1804" i="4"/>
  <c r="T1804" i="4"/>
  <c r="U1803" i="4"/>
  <c r="T1803" i="4" s="1"/>
  <c r="U1802" i="4"/>
  <c r="T1802" i="4"/>
  <c r="U1801" i="4"/>
  <c r="T1801" i="4" s="1"/>
  <c r="U1800" i="4"/>
  <c r="T1800" i="4"/>
  <c r="U1799" i="4"/>
  <c r="T1799" i="4" s="1"/>
  <c r="U1798" i="4"/>
  <c r="T1798" i="4"/>
  <c r="U1797" i="4"/>
  <c r="T1797" i="4" s="1"/>
  <c r="U1796" i="4"/>
  <c r="T1796" i="4"/>
  <c r="U1795" i="4"/>
  <c r="T1795" i="4" s="1"/>
  <c r="U1794" i="4"/>
  <c r="T1794" i="4"/>
  <c r="U1793" i="4"/>
  <c r="T1793" i="4" s="1"/>
  <c r="U1792" i="4"/>
  <c r="T1792" i="4"/>
  <c r="U1791" i="4"/>
  <c r="T1791" i="4" s="1"/>
  <c r="U1790" i="4"/>
  <c r="T1790" i="4"/>
  <c r="U1789" i="4"/>
  <c r="T1789" i="4" s="1"/>
  <c r="U1788" i="4"/>
  <c r="T1788" i="4"/>
  <c r="U1787" i="4"/>
  <c r="T1787" i="4" s="1"/>
  <c r="U1786" i="4"/>
  <c r="T1786" i="4"/>
  <c r="U1785" i="4"/>
  <c r="T1785" i="4" s="1"/>
  <c r="U1784" i="4"/>
  <c r="T1784" i="4"/>
  <c r="U1783" i="4"/>
  <c r="T1783" i="4" s="1"/>
  <c r="U1782" i="4"/>
  <c r="T1782" i="4"/>
  <c r="U1781" i="4"/>
  <c r="T1781" i="4" s="1"/>
  <c r="U1780" i="4"/>
  <c r="T1780" i="4"/>
  <c r="U1779" i="4"/>
  <c r="T1779" i="4" s="1"/>
  <c r="U1778" i="4"/>
  <c r="T1778" i="4"/>
  <c r="U1777" i="4"/>
  <c r="T1777" i="4" s="1"/>
  <c r="U1776" i="4"/>
  <c r="T1776" i="4"/>
  <c r="U1775" i="4"/>
  <c r="T1775" i="4" s="1"/>
  <c r="U1774" i="4"/>
  <c r="T1774" i="4" s="1"/>
  <c r="U1773" i="4"/>
  <c r="T1773" i="4" s="1"/>
  <c r="U1772" i="4"/>
  <c r="T1772" i="4" s="1"/>
  <c r="U1771" i="4"/>
  <c r="T1771" i="4" s="1"/>
  <c r="U1770" i="4"/>
  <c r="T1770" i="4" s="1"/>
  <c r="U1769" i="4"/>
  <c r="T1769" i="4" s="1"/>
  <c r="U1768" i="4"/>
  <c r="T1768" i="4" s="1"/>
  <c r="U1767" i="4"/>
  <c r="T1767" i="4" s="1"/>
  <c r="U1766" i="4"/>
  <c r="T1766" i="4" s="1"/>
  <c r="U1765" i="4"/>
  <c r="T1765" i="4" s="1"/>
  <c r="U1764" i="4"/>
  <c r="T1764" i="4" s="1"/>
  <c r="U1763" i="4"/>
  <c r="T1763" i="4" s="1"/>
  <c r="U1762" i="4"/>
  <c r="T1762" i="4" s="1"/>
  <c r="U1761" i="4"/>
  <c r="T1761" i="4" s="1"/>
  <c r="U1760" i="4"/>
  <c r="T1760" i="4" s="1"/>
  <c r="U1759" i="4"/>
  <c r="T1759" i="4" s="1"/>
  <c r="U1758" i="4"/>
  <c r="T1758" i="4" s="1"/>
  <c r="U1757" i="4"/>
  <c r="T1757" i="4" s="1"/>
  <c r="U1756" i="4"/>
  <c r="T1756" i="4" s="1"/>
  <c r="U1755" i="4"/>
  <c r="T1755" i="4" s="1"/>
  <c r="U1754" i="4"/>
  <c r="T1754" i="4" s="1"/>
  <c r="U1753" i="4"/>
  <c r="T1753" i="4" s="1"/>
  <c r="U1752" i="4"/>
  <c r="T1752" i="4" s="1"/>
  <c r="U1751" i="4"/>
  <c r="T1751" i="4" s="1"/>
  <c r="U1750" i="4"/>
  <c r="T1750" i="4" s="1"/>
  <c r="U1749" i="4"/>
  <c r="T1749" i="4" s="1"/>
  <c r="U1748" i="4"/>
  <c r="T1748" i="4" s="1"/>
  <c r="U1747" i="4"/>
  <c r="T1747" i="4" s="1"/>
  <c r="U1746" i="4"/>
  <c r="T1746" i="4" s="1"/>
  <c r="U1745" i="4"/>
  <c r="T1745" i="4" s="1"/>
  <c r="U1744" i="4"/>
  <c r="T1744" i="4" s="1"/>
  <c r="U1743" i="4"/>
  <c r="T1743" i="4" s="1"/>
  <c r="U1742" i="4"/>
  <c r="T1742" i="4" s="1"/>
  <c r="U1741" i="4"/>
  <c r="T1741" i="4" s="1"/>
  <c r="U1740" i="4"/>
  <c r="T1740" i="4" s="1"/>
  <c r="U1739" i="4"/>
  <c r="T1739" i="4" s="1"/>
  <c r="U1738" i="4"/>
  <c r="T1738" i="4" s="1"/>
  <c r="U1737" i="4"/>
  <c r="T1737" i="4" s="1"/>
  <c r="U1736" i="4"/>
  <c r="T1736" i="4" s="1"/>
  <c r="U1735" i="4"/>
  <c r="T1735" i="4" s="1"/>
  <c r="U1734" i="4"/>
  <c r="T1734" i="4" s="1"/>
  <c r="U1733" i="4"/>
  <c r="T1733" i="4" s="1"/>
  <c r="U1732" i="4"/>
  <c r="T1732" i="4" s="1"/>
  <c r="U1731" i="4"/>
  <c r="T1731" i="4" s="1"/>
  <c r="U1730" i="4"/>
  <c r="T1730" i="4" s="1"/>
  <c r="U1729" i="4"/>
  <c r="T1729" i="4" s="1"/>
  <c r="U1728" i="4"/>
  <c r="T1728" i="4" s="1"/>
  <c r="U1727" i="4"/>
  <c r="T1727" i="4" s="1"/>
  <c r="U1726" i="4"/>
  <c r="T1726" i="4" s="1"/>
  <c r="U1725" i="4"/>
  <c r="T1725" i="4" s="1"/>
  <c r="U1724" i="4"/>
  <c r="T1724" i="4" s="1"/>
  <c r="U1723" i="4"/>
  <c r="T1723" i="4" s="1"/>
  <c r="U1722" i="4"/>
  <c r="T1722" i="4" s="1"/>
  <c r="U1721" i="4"/>
  <c r="T1721" i="4" s="1"/>
  <c r="U1720" i="4"/>
  <c r="T1720" i="4" s="1"/>
  <c r="U1719" i="4"/>
  <c r="T1719" i="4" s="1"/>
  <c r="U1718" i="4"/>
  <c r="T1718" i="4" s="1"/>
  <c r="U1717" i="4"/>
  <c r="T1717" i="4" s="1"/>
  <c r="U1716" i="4"/>
  <c r="T1716" i="4" s="1"/>
  <c r="U1715" i="4"/>
  <c r="T1715" i="4" s="1"/>
  <c r="U1714" i="4"/>
  <c r="T1714" i="4" s="1"/>
  <c r="U1713" i="4"/>
  <c r="T1713" i="4" s="1"/>
  <c r="U1712" i="4"/>
  <c r="T1712" i="4" s="1"/>
  <c r="U1711" i="4"/>
  <c r="T1711" i="4" s="1"/>
  <c r="U1710" i="4"/>
  <c r="T1710" i="4" s="1"/>
  <c r="U1709" i="4"/>
  <c r="T1709" i="4" s="1"/>
  <c r="U1708" i="4"/>
  <c r="T1708" i="4" s="1"/>
  <c r="U1707" i="4"/>
  <c r="T1707" i="4" s="1"/>
  <c r="U1706" i="4"/>
  <c r="T1706" i="4" s="1"/>
  <c r="U1705" i="4"/>
  <c r="T1705" i="4" s="1"/>
  <c r="U1704" i="4"/>
  <c r="T1704" i="4" s="1"/>
  <c r="U1703" i="4"/>
  <c r="T1703" i="4" s="1"/>
  <c r="U1702" i="4"/>
  <c r="T1702" i="4" s="1"/>
  <c r="U1701" i="4"/>
  <c r="T1701" i="4" s="1"/>
  <c r="U1700" i="4"/>
  <c r="T1700" i="4" s="1"/>
  <c r="U1699" i="4"/>
  <c r="T1699" i="4" s="1"/>
  <c r="U1698" i="4"/>
  <c r="T1698" i="4" s="1"/>
  <c r="U1697" i="4"/>
  <c r="T1697" i="4" s="1"/>
  <c r="U1696" i="4"/>
  <c r="T1696" i="4" s="1"/>
  <c r="U1695" i="4"/>
  <c r="T1695" i="4" s="1"/>
  <c r="U1694" i="4"/>
  <c r="T1694" i="4" s="1"/>
  <c r="U1693" i="4"/>
  <c r="T1693" i="4" s="1"/>
  <c r="U1692" i="4"/>
  <c r="T1692" i="4" s="1"/>
  <c r="U1691" i="4"/>
  <c r="T1691" i="4" s="1"/>
  <c r="U1690" i="4"/>
  <c r="T1690" i="4" s="1"/>
  <c r="U1689" i="4"/>
  <c r="T1689" i="4" s="1"/>
  <c r="U1688" i="4"/>
  <c r="T1688" i="4" s="1"/>
  <c r="U1687" i="4"/>
  <c r="T1687" i="4" s="1"/>
  <c r="U1686" i="4"/>
  <c r="T1686" i="4" s="1"/>
  <c r="U1685" i="4"/>
  <c r="T1685" i="4" s="1"/>
  <c r="U1684" i="4"/>
  <c r="T1684" i="4" s="1"/>
  <c r="U1683" i="4"/>
  <c r="T1683" i="4" s="1"/>
  <c r="U1682" i="4"/>
  <c r="T1682" i="4" s="1"/>
  <c r="U1681" i="4"/>
  <c r="T1681" i="4" s="1"/>
  <c r="U1680" i="4"/>
  <c r="T1680" i="4" s="1"/>
  <c r="U1679" i="4"/>
  <c r="T1679" i="4" s="1"/>
  <c r="U1678" i="4"/>
  <c r="T1678" i="4" s="1"/>
  <c r="U1677" i="4"/>
  <c r="T1677" i="4" s="1"/>
  <c r="U1676" i="4"/>
  <c r="T1676" i="4" s="1"/>
  <c r="U1675" i="4"/>
  <c r="T1675" i="4" s="1"/>
  <c r="U1674" i="4"/>
  <c r="T1674" i="4" s="1"/>
  <c r="U1673" i="4"/>
  <c r="T1673" i="4" s="1"/>
  <c r="U1672" i="4"/>
  <c r="T1672" i="4" s="1"/>
  <c r="U1671" i="4"/>
  <c r="T1671" i="4" s="1"/>
  <c r="U1670" i="4"/>
  <c r="T1670" i="4" s="1"/>
  <c r="U1669" i="4"/>
  <c r="T1669" i="4" s="1"/>
  <c r="U1668" i="4"/>
  <c r="T1668" i="4" s="1"/>
  <c r="U1667" i="4"/>
  <c r="T1667" i="4" s="1"/>
  <c r="U1666" i="4"/>
  <c r="T1666" i="4" s="1"/>
  <c r="U1665" i="4"/>
  <c r="T1665" i="4" s="1"/>
  <c r="U1664" i="4"/>
  <c r="T1664" i="4" s="1"/>
  <c r="U1663" i="4"/>
  <c r="T1663" i="4" s="1"/>
  <c r="U1662" i="4"/>
  <c r="T1662" i="4" s="1"/>
  <c r="U1661" i="4"/>
  <c r="T1661" i="4" s="1"/>
  <c r="U1660" i="4"/>
  <c r="T1660" i="4" s="1"/>
  <c r="U1659" i="4"/>
  <c r="T1659" i="4" s="1"/>
  <c r="U1658" i="4"/>
  <c r="T1658" i="4" s="1"/>
  <c r="U1657" i="4"/>
  <c r="T1657" i="4" s="1"/>
  <c r="U1656" i="4"/>
  <c r="T1656" i="4" s="1"/>
  <c r="U1655" i="4"/>
  <c r="T1655" i="4" s="1"/>
  <c r="U1654" i="4"/>
  <c r="T1654" i="4" s="1"/>
  <c r="U1653" i="4"/>
  <c r="T1653" i="4" s="1"/>
  <c r="U1652" i="4"/>
  <c r="T1652" i="4" s="1"/>
  <c r="U1651" i="4"/>
  <c r="T1651" i="4" s="1"/>
  <c r="U1650" i="4"/>
  <c r="T1650" i="4" s="1"/>
  <c r="U1649" i="4"/>
  <c r="T1649" i="4" s="1"/>
  <c r="U1648" i="4"/>
  <c r="T1648" i="4" s="1"/>
  <c r="U1647" i="4"/>
  <c r="T1647" i="4" s="1"/>
  <c r="U1646" i="4"/>
  <c r="T1646" i="4" s="1"/>
  <c r="U1645" i="4"/>
  <c r="T1645" i="4" s="1"/>
  <c r="U1644" i="4"/>
  <c r="T1644" i="4" s="1"/>
  <c r="U1643" i="4"/>
  <c r="T1643" i="4" s="1"/>
  <c r="U1642" i="4"/>
  <c r="T1642" i="4" s="1"/>
  <c r="U1641" i="4"/>
  <c r="T1641" i="4" s="1"/>
  <c r="U1640" i="4"/>
  <c r="T1640" i="4" s="1"/>
  <c r="U1639" i="4"/>
  <c r="T1639" i="4" s="1"/>
  <c r="U1638" i="4"/>
  <c r="T1638" i="4" s="1"/>
  <c r="U1637" i="4"/>
  <c r="T1637" i="4" s="1"/>
  <c r="U1636" i="4"/>
  <c r="T1636" i="4" s="1"/>
  <c r="U1635" i="4"/>
  <c r="T1635" i="4" s="1"/>
  <c r="U1634" i="4"/>
  <c r="T1634" i="4" s="1"/>
  <c r="U1633" i="4"/>
  <c r="T1633" i="4" s="1"/>
  <c r="U1632" i="4"/>
  <c r="T1632" i="4" s="1"/>
  <c r="U1631" i="4"/>
  <c r="T1631" i="4" s="1"/>
  <c r="U1630" i="4"/>
  <c r="T1630" i="4" s="1"/>
  <c r="U1629" i="4"/>
  <c r="T1629" i="4" s="1"/>
  <c r="U1628" i="4"/>
  <c r="T1628" i="4" s="1"/>
  <c r="U1627" i="4"/>
  <c r="T1627" i="4" s="1"/>
  <c r="U1626" i="4"/>
  <c r="T1626" i="4" s="1"/>
  <c r="U1625" i="4"/>
  <c r="T1625" i="4" s="1"/>
  <c r="U1624" i="4"/>
  <c r="T1624" i="4" s="1"/>
  <c r="U1623" i="4"/>
  <c r="T1623" i="4" s="1"/>
  <c r="U1622" i="4"/>
  <c r="T1622" i="4" s="1"/>
  <c r="U1621" i="4"/>
  <c r="T1621" i="4" s="1"/>
  <c r="U1620" i="4"/>
  <c r="T1620" i="4" s="1"/>
  <c r="U1619" i="4"/>
  <c r="T1619" i="4" s="1"/>
  <c r="U1618" i="4"/>
  <c r="T1618" i="4" s="1"/>
  <c r="U1617" i="4"/>
  <c r="T1617" i="4" s="1"/>
  <c r="U1616" i="4"/>
  <c r="T1616" i="4" s="1"/>
  <c r="U1615" i="4"/>
  <c r="T1615" i="4" s="1"/>
  <c r="U1614" i="4"/>
  <c r="T1614" i="4" s="1"/>
  <c r="U1613" i="4"/>
  <c r="T1613" i="4" s="1"/>
  <c r="U1612" i="4"/>
  <c r="T1612" i="4" s="1"/>
  <c r="U1611" i="4"/>
  <c r="T1611" i="4" s="1"/>
  <c r="U1610" i="4"/>
  <c r="T1610" i="4" s="1"/>
  <c r="U1609" i="4"/>
  <c r="T1609" i="4" s="1"/>
  <c r="U1608" i="4"/>
  <c r="T1608" i="4" s="1"/>
  <c r="U1607" i="4"/>
  <c r="T1607" i="4" s="1"/>
  <c r="U1606" i="4"/>
  <c r="T1606" i="4" s="1"/>
  <c r="U1605" i="4"/>
  <c r="T1605" i="4" s="1"/>
  <c r="U1604" i="4"/>
  <c r="T1604" i="4" s="1"/>
  <c r="U1603" i="4"/>
  <c r="T1603" i="4" s="1"/>
  <c r="U1602" i="4"/>
  <c r="T1602" i="4"/>
  <c r="U1601" i="4"/>
  <c r="T1601" i="4" s="1"/>
  <c r="U1600" i="4"/>
  <c r="T1600" i="4"/>
  <c r="U1599" i="4"/>
  <c r="T1599" i="4" s="1"/>
  <c r="U1598" i="4"/>
  <c r="T1598" i="4" s="1"/>
  <c r="U1597" i="4"/>
  <c r="T1597" i="4" s="1"/>
  <c r="U1596" i="4"/>
  <c r="T1596" i="4"/>
  <c r="U1595" i="4"/>
  <c r="T1595" i="4" s="1"/>
  <c r="U1594" i="4"/>
  <c r="T1594" i="4"/>
  <c r="U1593" i="4"/>
  <c r="T1593" i="4" s="1"/>
  <c r="U1592" i="4"/>
  <c r="T1592" i="4"/>
  <c r="U1591" i="4"/>
  <c r="T1591" i="4" s="1"/>
  <c r="U1590" i="4"/>
  <c r="T1590" i="4" s="1"/>
  <c r="U1589" i="4"/>
  <c r="T1589" i="4" s="1"/>
  <c r="U1588" i="4"/>
  <c r="T1588" i="4" s="1"/>
  <c r="U1587" i="4"/>
  <c r="T1587" i="4" s="1"/>
  <c r="U1586" i="4"/>
  <c r="T1586" i="4"/>
  <c r="U1585" i="4"/>
  <c r="T1585" i="4" s="1"/>
  <c r="U1584" i="4"/>
  <c r="T1584" i="4"/>
  <c r="U1583" i="4"/>
  <c r="T1583" i="4" s="1"/>
  <c r="U1582" i="4"/>
  <c r="T1582" i="4" s="1"/>
  <c r="U1581" i="4"/>
  <c r="T1581" i="4" s="1"/>
  <c r="U1580" i="4"/>
  <c r="T1580" i="4" s="1"/>
  <c r="U1579" i="4"/>
  <c r="T1579" i="4" s="1"/>
  <c r="U1578" i="4"/>
  <c r="T1578" i="4"/>
  <c r="U1577" i="4"/>
  <c r="T1577" i="4" s="1"/>
  <c r="U1576" i="4"/>
  <c r="T1576" i="4"/>
  <c r="U1575" i="4"/>
  <c r="T1575" i="4" s="1"/>
  <c r="U1574" i="4"/>
  <c r="T1574" i="4" s="1"/>
  <c r="U1573" i="4"/>
  <c r="T1573" i="4" s="1"/>
  <c r="U1572" i="4"/>
  <c r="T1572" i="4"/>
  <c r="U1571" i="4"/>
  <c r="T1571" i="4" s="1"/>
  <c r="U1570" i="4"/>
  <c r="T1570" i="4"/>
  <c r="U1569" i="4"/>
  <c r="T1569" i="4" s="1"/>
  <c r="U1568" i="4"/>
  <c r="T1568" i="4" s="1"/>
  <c r="U1567" i="4"/>
  <c r="T1567" i="4" s="1"/>
  <c r="U1566" i="4"/>
  <c r="T1566" i="4" s="1"/>
  <c r="U1565" i="4"/>
  <c r="T1565" i="4" s="1"/>
  <c r="U1564" i="4"/>
  <c r="T1564" i="4" s="1"/>
  <c r="U1563" i="4"/>
  <c r="T1563" i="4" s="1"/>
  <c r="U1562" i="4"/>
  <c r="T1562" i="4"/>
  <c r="U1561" i="4"/>
  <c r="T1561" i="4" s="1"/>
  <c r="U1560" i="4"/>
  <c r="T1560" i="4" s="1"/>
  <c r="U1559" i="4"/>
  <c r="T1559" i="4" s="1"/>
  <c r="U1558" i="4"/>
  <c r="T1558" i="4" s="1"/>
  <c r="U1557" i="4"/>
  <c r="T1557" i="4" s="1"/>
  <c r="U1556" i="4"/>
  <c r="T1556" i="4"/>
  <c r="U1555" i="4"/>
  <c r="T1555" i="4" s="1"/>
  <c r="U1554" i="4"/>
  <c r="T1554" i="4" s="1"/>
  <c r="U1553" i="4"/>
  <c r="T1553" i="4" s="1"/>
  <c r="U1552" i="4"/>
  <c r="T1552" i="4" s="1"/>
  <c r="U1551" i="4"/>
  <c r="T1551" i="4" s="1"/>
  <c r="U1550" i="4"/>
  <c r="T1550" i="4" s="1"/>
  <c r="U1549" i="4"/>
  <c r="T1549" i="4" s="1"/>
  <c r="U1548" i="4"/>
  <c r="T1548" i="4" s="1"/>
  <c r="U1547" i="4"/>
  <c r="T1547" i="4" s="1"/>
  <c r="U1546" i="4"/>
  <c r="T1546" i="4"/>
  <c r="U1545" i="4"/>
  <c r="T1545" i="4" s="1"/>
  <c r="U1544" i="4"/>
  <c r="T1544" i="4" s="1"/>
  <c r="U1543" i="4"/>
  <c r="T1543" i="4" s="1"/>
  <c r="U1542" i="4"/>
  <c r="T1542" i="4" s="1"/>
  <c r="U1541" i="4"/>
  <c r="T1541" i="4" s="1"/>
  <c r="U1540" i="4"/>
  <c r="T1540" i="4" s="1"/>
  <c r="U1539" i="4"/>
  <c r="T1539" i="4" s="1"/>
  <c r="U1538" i="4"/>
  <c r="T1538" i="4"/>
  <c r="U1537" i="4"/>
  <c r="T1537" i="4" s="1"/>
  <c r="U1536" i="4"/>
  <c r="T1536" i="4" s="1"/>
  <c r="U1535" i="4"/>
  <c r="T1535" i="4" s="1"/>
  <c r="U1534" i="4"/>
  <c r="T1534" i="4" s="1"/>
  <c r="U1533" i="4"/>
  <c r="T1533" i="4" s="1"/>
  <c r="U1532" i="4"/>
  <c r="T1532" i="4" s="1"/>
  <c r="U1531" i="4"/>
  <c r="T1531" i="4" s="1"/>
  <c r="U1530" i="4"/>
  <c r="T1530" i="4" s="1"/>
  <c r="U1529" i="4"/>
  <c r="T1529" i="4" s="1"/>
  <c r="U1528" i="4"/>
  <c r="T1528" i="4" s="1"/>
  <c r="U1527" i="4"/>
  <c r="T1527" i="4" s="1"/>
  <c r="U1526" i="4"/>
  <c r="T1526" i="4" s="1"/>
  <c r="U1525" i="4"/>
  <c r="T1525" i="4" s="1"/>
  <c r="U1524" i="4"/>
  <c r="T1524" i="4" s="1"/>
  <c r="U1523" i="4"/>
  <c r="T1523" i="4" s="1"/>
  <c r="U1522" i="4"/>
  <c r="T1522" i="4"/>
  <c r="U1521" i="4"/>
  <c r="T1521" i="4" s="1"/>
  <c r="U1520" i="4"/>
  <c r="T1520" i="4" s="1"/>
  <c r="U1519" i="4"/>
  <c r="T1519" i="4" s="1"/>
  <c r="U1518" i="4"/>
  <c r="T1518" i="4" s="1"/>
  <c r="U1517" i="4"/>
  <c r="T1517" i="4" s="1"/>
  <c r="U1516" i="4"/>
  <c r="T1516" i="4" s="1"/>
  <c r="U1515" i="4"/>
  <c r="T1515" i="4" s="1"/>
  <c r="U1514" i="4"/>
  <c r="T1514" i="4" s="1"/>
  <c r="U1513" i="4"/>
  <c r="T1513" i="4" s="1"/>
  <c r="U1512" i="4"/>
  <c r="T1512" i="4" s="1"/>
  <c r="U1511" i="4"/>
  <c r="T1511" i="4" s="1"/>
  <c r="U1510" i="4"/>
  <c r="T1510" i="4" s="1"/>
  <c r="U1509" i="4"/>
  <c r="T1509" i="4" s="1"/>
  <c r="U1508" i="4"/>
  <c r="T1508" i="4"/>
  <c r="U1507" i="4"/>
  <c r="T1507" i="4" s="1"/>
  <c r="U1506" i="4"/>
  <c r="T1506" i="4"/>
  <c r="U1505" i="4"/>
  <c r="T1505" i="4" s="1"/>
  <c r="U1504" i="4"/>
  <c r="T1504" i="4" s="1"/>
  <c r="U1503" i="4"/>
  <c r="T1503" i="4" s="1"/>
  <c r="U1502" i="4"/>
  <c r="T1502" i="4" s="1"/>
  <c r="U1501" i="4"/>
  <c r="T1501" i="4" s="1"/>
  <c r="U1500" i="4"/>
  <c r="T1500" i="4" s="1"/>
  <c r="U1499" i="4"/>
  <c r="T1499" i="4" s="1"/>
  <c r="U1498" i="4"/>
  <c r="T1498" i="4"/>
  <c r="U1497" i="4"/>
  <c r="T1497" i="4" s="1"/>
  <c r="U1496" i="4"/>
  <c r="T1496" i="4" s="1"/>
  <c r="U1495" i="4"/>
  <c r="T1495" i="4" s="1"/>
  <c r="U1494" i="4"/>
  <c r="T1494" i="4" s="1"/>
  <c r="U1493" i="4"/>
  <c r="T1493" i="4" s="1"/>
  <c r="U1492" i="4"/>
  <c r="T1492" i="4"/>
  <c r="U1491" i="4"/>
  <c r="T1491" i="4" s="1"/>
  <c r="U1490" i="4"/>
  <c r="T1490" i="4" s="1"/>
  <c r="U1489" i="4"/>
  <c r="T1489" i="4" s="1"/>
  <c r="U1488" i="4"/>
  <c r="T1488" i="4" s="1"/>
  <c r="U1487" i="4"/>
  <c r="T1487" i="4" s="1"/>
  <c r="U1486" i="4"/>
  <c r="T1486" i="4" s="1"/>
  <c r="U1485" i="4"/>
  <c r="T1485" i="4" s="1"/>
  <c r="U1484" i="4"/>
  <c r="T1484" i="4" s="1"/>
  <c r="U1483" i="4"/>
  <c r="T1483" i="4" s="1"/>
  <c r="U1482" i="4"/>
  <c r="T1482" i="4"/>
  <c r="U1481" i="4"/>
  <c r="T1481" i="4" s="1"/>
  <c r="U1480" i="4"/>
  <c r="T1480" i="4" s="1"/>
  <c r="U1479" i="4"/>
  <c r="T1479" i="4" s="1"/>
  <c r="U1478" i="4"/>
  <c r="T1478" i="4" s="1"/>
  <c r="U1477" i="4"/>
  <c r="T1477" i="4" s="1"/>
  <c r="U1476" i="4"/>
  <c r="T1476" i="4" s="1"/>
  <c r="U1475" i="4"/>
  <c r="T1475" i="4" s="1"/>
  <c r="U1474" i="4"/>
  <c r="T1474" i="4" s="1"/>
  <c r="U1473" i="4"/>
  <c r="T1473" i="4" s="1"/>
  <c r="U1472" i="4"/>
  <c r="T1472" i="4" s="1"/>
  <c r="U1471" i="4"/>
  <c r="T1471" i="4" s="1"/>
  <c r="U1470" i="4"/>
  <c r="T1470" i="4" s="1"/>
  <c r="U1469" i="4"/>
  <c r="T1469" i="4" s="1"/>
  <c r="U1468" i="4"/>
  <c r="T1468" i="4" s="1"/>
  <c r="U1467" i="4"/>
  <c r="T1467" i="4" s="1"/>
  <c r="U1466" i="4"/>
  <c r="T1466" i="4" s="1"/>
  <c r="U1465" i="4"/>
  <c r="T1465" i="4" s="1"/>
  <c r="U1464" i="4"/>
  <c r="T1464" i="4" s="1"/>
  <c r="U1463" i="4"/>
  <c r="T1463" i="4" s="1"/>
  <c r="U1462" i="4"/>
  <c r="T1462" i="4" s="1"/>
  <c r="U1461" i="4"/>
  <c r="T1461" i="4" s="1"/>
  <c r="U1460" i="4"/>
  <c r="T1460" i="4"/>
  <c r="U1459" i="4"/>
  <c r="T1459" i="4" s="1"/>
  <c r="U1458" i="4"/>
  <c r="T1458" i="4"/>
  <c r="U1457" i="4"/>
  <c r="T1457" i="4" s="1"/>
  <c r="U1456" i="4"/>
  <c r="T1456" i="4" s="1"/>
  <c r="U1455" i="4"/>
  <c r="T1455" i="4" s="1"/>
  <c r="U1454" i="4"/>
  <c r="T1454" i="4" s="1"/>
  <c r="U1453" i="4"/>
  <c r="T1453" i="4" s="1"/>
  <c r="U1452" i="4"/>
  <c r="T1452" i="4" s="1"/>
  <c r="U1451" i="4"/>
  <c r="T1451" i="4" s="1"/>
  <c r="U1450" i="4"/>
  <c r="T1450" i="4"/>
  <c r="U1449" i="4"/>
  <c r="T1449" i="4" s="1"/>
  <c r="U1448" i="4"/>
  <c r="T1448" i="4" s="1"/>
  <c r="U1447" i="4"/>
  <c r="T1447" i="4" s="1"/>
  <c r="U1446" i="4"/>
  <c r="T1446" i="4" s="1"/>
  <c r="U1445" i="4"/>
  <c r="T1445" i="4" s="1"/>
  <c r="U1444" i="4"/>
  <c r="T1444" i="4"/>
  <c r="U1443" i="4"/>
  <c r="T1443" i="4" s="1"/>
  <c r="U1442" i="4"/>
  <c r="T1442" i="4"/>
  <c r="U1441" i="4"/>
  <c r="T1441" i="4" s="1"/>
  <c r="U1440" i="4"/>
  <c r="T1440" i="4" s="1"/>
  <c r="U1439" i="4"/>
  <c r="T1439" i="4" s="1"/>
  <c r="U1438" i="4"/>
  <c r="T1438" i="4" s="1"/>
  <c r="U1437" i="4"/>
  <c r="T1437" i="4" s="1"/>
  <c r="U1436" i="4"/>
  <c r="T1436" i="4" s="1"/>
  <c r="U1435" i="4"/>
  <c r="T1435" i="4" s="1"/>
  <c r="U1434" i="4"/>
  <c r="T1434" i="4"/>
  <c r="U1433" i="4"/>
  <c r="T1433" i="4" s="1"/>
  <c r="U1432" i="4"/>
  <c r="T1432" i="4"/>
  <c r="U1431" i="4"/>
  <c r="T1431" i="4" s="1"/>
  <c r="U1430" i="4"/>
  <c r="T1430" i="4" s="1"/>
  <c r="U1429" i="4"/>
  <c r="T1429" i="4" s="1"/>
  <c r="U1428" i="4"/>
  <c r="T1428" i="4"/>
  <c r="U1427" i="4"/>
  <c r="T1427" i="4" s="1"/>
  <c r="U1426" i="4"/>
  <c r="T1426" i="4"/>
  <c r="U1425" i="4"/>
  <c r="T1425" i="4" s="1"/>
  <c r="U1424" i="4"/>
  <c r="T1424" i="4"/>
  <c r="U1423" i="4"/>
  <c r="T1423" i="4" s="1"/>
  <c r="U1422" i="4"/>
  <c r="T1422" i="4" s="1"/>
  <c r="U1421" i="4"/>
  <c r="T1421" i="4" s="1"/>
  <c r="U1420" i="4"/>
  <c r="T1420" i="4" s="1"/>
  <c r="U1419" i="4"/>
  <c r="T1419" i="4" s="1"/>
  <c r="U1418" i="4"/>
  <c r="T1418" i="4"/>
  <c r="U1417" i="4"/>
  <c r="T1417" i="4" s="1"/>
  <c r="U1416" i="4"/>
  <c r="T1416" i="4"/>
  <c r="U1415" i="4"/>
  <c r="T1415" i="4" s="1"/>
  <c r="U1414" i="4"/>
  <c r="T1414" i="4" s="1"/>
  <c r="U1413" i="4"/>
  <c r="T1413" i="4" s="1"/>
  <c r="U1412" i="4"/>
  <c r="T1412" i="4" s="1"/>
  <c r="U1411" i="4"/>
  <c r="T1411" i="4" s="1"/>
  <c r="U1410" i="4"/>
  <c r="T1410" i="4"/>
  <c r="U1409" i="4"/>
  <c r="T1409" i="4" s="1"/>
  <c r="U1408" i="4"/>
  <c r="T1408" i="4"/>
  <c r="U1407" i="4"/>
  <c r="T1407" i="4" s="1"/>
  <c r="U1406" i="4"/>
  <c r="T1406" i="4" s="1"/>
  <c r="U1405" i="4"/>
  <c r="T1405" i="4" s="1"/>
  <c r="U1404" i="4"/>
  <c r="T1404" i="4"/>
  <c r="U1403" i="4"/>
  <c r="T1403" i="4" s="1"/>
  <c r="U1402" i="4"/>
  <c r="T1402" i="4"/>
  <c r="U1401" i="4"/>
  <c r="T1401" i="4" s="1"/>
  <c r="U1400" i="4"/>
  <c r="T1400" i="4"/>
  <c r="U1399" i="4"/>
  <c r="T1399" i="4" s="1"/>
  <c r="U1398" i="4"/>
  <c r="T1398" i="4" s="1"/>
  <c r="U1397" i="4"/>
  <c r="T1397" i="4" s="1"/>
  <c r="U1396" i="4"/>
  <c r="T1396" i="4"/>
  <c r="U1395" i="4"/>
  <c r="T1395" i="4" s="1"/>
  <c r="U1394" i="4"/>
  <c r="T1394" i="4"/>
  <c r="U1393" i="4"/>
  <c r="T1393" i="4" s="1"/>
  <c r="U1392" i="4"/>
  <c r="T1392" i="4"/>
  <c r="U1391" i="4"/>
  <c r="T1391" i="4" s="1"/>
  <c r="U1390" i="4"/>
  <c r="T1390" i="4" s="1"/>
  <c r="U1389" i="4"/>
  <c r="T1389" i="4" s="1"/>
  <c r="U1388" i="4"/>
  <c r="T1388" i="4" s="1"/>
  <c r="U1387" i="4"/>
  <c r="T1387" i="4" s="1"/>
  <c r="U1386" i="4"/>
  <c r="T1386" i="4"/>
  <c r="U1385" i="4"/>
  <c r="T1385" i="4" s="1"/>
  <c r="U1384" i="4"/>
  <c r="T1384" i="4"/>
  <c r="U1383" i="4"/>
  <c r="T1383" i="4" s="1"/>
  <c r="U1382" i="4"/>
  <c r="T1382" i="4" s="1"/>
  <c r="U1381" i="4"/>
  <c r="T1381" i="4" s="1"/>
  <c r="U1380" i="4"/>
  <c r="T1380" i="4" s="1"/>
  <c r="U1379" i="4"/>
  <c r="T1379" i="4" s="1"/>
  <c r="U1378" i="4"/>
  <c r="T1378" i="4"/>
  <c r="U1377" i="4"/>
  <c r="T1377" i="4" s="1"/>
  <c r="U1376" i="4"/>
  <c r="T1376" i="4"/>
  <c r="U1375" i="4"/>
  <c r="T1375" i="4" s="1"/>
  <c r="U1374" i="4"/>
  <c r="T1374" i="4" s="1"/>
  <c r="U1373" i="4"/>
  <c r="T1373" i="4" s="1"/>
  <c r="U1372" i="4"/>
  <c r="T1372" i="4"/>
  <c r="U1371" i="4"/>
  <c r="T1371" i="4" s="1"/>
  <c r="U1370" i="4"/>
  <c r="T1370" i="4"/>
  <c r="U1369" i="4"/>
  <c r="T1369" i="4" s="1"/>
  <c r="U1368" i="4"/>
  <c r="T1368" i="4"/>
  <c r="U1367" i="4"/>
  <c r="T1367" i="4" s="1"/>
  <c r="U1366" i="4"/>
  <c r="T1366" i="4" s="1"/>
  <c r="U1365" i="4"/>
  <c r="T1365" i="4" s="1"/>
  <c r="U1364" i="4"/>
  <c r="T1364" i="4" s="1"/>
  <c r="U1363" i="4"/>
  <c r="T1363" i="4" s="1"/>
  <c r="U1362" i="4"/>
  <c r="T1362" i="4" s="1"/>
  <c r="U1361" i="4"/>
  <c r="T1361" i="4" s="1"/>
  <c r="U1360" i="4"/>
  <c r="T1360" i="4"/>
  <c r="U1359" i="4"/>
  <c r="T1359" i="4" s="1"/>
  <c r="U1358" i="4"/>
  <c r="T1358" i="4" s="1"/>
  <c r="U1357" i="4"/>
  <c r="T1357" i="4" s="1"/>
  <c r="U1356" i="4"/>
  <c r="T1356" i="4" s="1"/>
  <c r="U1355" i="4"/>
  <c r="T1355" i="4" s="1"/>
  <c r="U1354" i="4"/>
  <c r="T1354" i="4"/>
  <c r="U1353" i="4"/>
  <c r="T1353" i="4" s="1"/>
  <c r="U1352" i="4"/>
  <c r="T1352" i="4" s="1"/>
  <c r="U1351" i="4"/>
  <c r="T1351" i="4" s="1"/>
  <c r="U1350" i="4"/>
  <c r="T1350" i="4" s="1"/>
  <c r="U1349" i="4"/>
  <c r="T1349" i="4" s="1"/>
  <c r="U1348" i="4"/>
  <c r="T1348" i="4" s="1"/>
  <c r="U1347" i="4"/>
  <c r="T1347" i="4" s="1"/>
  <c r="U1346" i="4"/>
  <c r="T1346" i="4" s="1"/>
  <c r="U1345" i="4"/>
  <c r="T1345" i="4" s="1"/>
  <c r="U1344" i="4"/>
  <c r="T1344" i="4"/>
  <c r="U1343" i="4"/>
  <c r="T1343" i="4" s="1"/>
  <c r="U1342" i="4"/>
  <c r="T1342" i="4" s="1"/>
  <c r="U1341" i="4"/>
  <c r="T1341" i="4" s="1"/>
  <c r="U1340" i="4"/>
  <c r="T1340" i="4" s="1"/>
  <c r="U1339" i="4"/>
  <c r="T1339" i="4" s="1"/>
  <c r="U1338" i="4"/>
  <c r="T1338" i="4" s="1"/>
  <c r="U1337" i="4"/>
  <c r="T1337" i="4" s="1"/>
  <c r="U1336" i="4"/>
  <c r="T1336" i="4" s="1"/>
  <c r="U1335" i="4"/>
  <c r="T1335" i="4" s="1"/>
  <c r="U1334" i="4"/>
  <c r="T1334" i="4" s="1"/>
  <c r="U1333" i="4"/>
  <c r="T1333" i="4" s="1"/>
  <c r="U1332" i="4"/>
  <c r="T1332" i="4" s="1"/>
  <c r="U1331" i="4"/>
  <c r="T1331" i="4" s="1"/>
  <c r="U1330" i="4"/>
  <c r="T1330" i="4" s="1"/>
  <c r="U1329" i="4"/>
  <c r="T1329" i="4" s="1"/>
  <c r="U1328" i="4"/>
  <c r="T1328" i="4" s="1"/>
  <c r="U1327" i="4"/>
  <c r="T1327" i="4" s="1"/>
  <c r="U1326" i="4"/>
  <c r="T1326" i="4" s="1"/>
  <c r="U1325" i="4"/>
  <c r="T1325" i="4" s="1"/>
  <c r="U1324" i="4"/>
  <c r="T1324" i="4" s="1"/>
  <c r="U1323" i="4"/>
  <c r="T1323" i="4" s="1"/>
  <c r="U1322" i="4"/>
  <c r="T1322" i="4" s="1"/>
  <c r="U1321" i="4"/>
  <c r="T1321" i="4" s="1"/>
  <c r="U1320" i="4"/>
  <c r="T1320" i="4"/>
  <c r="U1319" i="4"/>
  <c r="T1319" i="4" s="1"/>
  <c r="U1318" i="4"/>
  <c r="T1318" i="4" s="1"/>
  <c r="U1317" i="4"/>
  <c r="T1317" i="4" s="1"/>
  <c r="U1316" i="4"/>
  <c r="T1316" i="4" s="1"/>
  <c r="U1315" i="4"/>
  <c r="T1315" i="4" s="1"/>
  <c r="U1314" i="4"/>
  <c r="T1314" i="4" s="1"/>
  <c r="U1313" i="4"/>
  <c r="T1313" i="4" s="1"/>
  <c r="U1312" i="4"/>
  <c r="T1312" i="4" s="1"/>
  <c r="U1311" i="4"/>
  <c r="T1311" i="4" s="1"/>
  <c r="U1310" i="4"/>
  <c r="T1310" i="4" s="1"/>
  <c r="U1309" i="4"/>
  <c r="T1309" i="4" s="1"/>
  <c r="U1308" i="4"/>
  <c r="T1308" i="4" s="1"/>
  <c r="U1307" i="4"/>
  <c r="T1307" i="4" s="1"/>
  <c r="U1306" i="4"/>
  <c r="T1306" i="4"/>
  <c r="U1305" i="4"/>
  <c r="T1305" i="4" s="1"/>
  <c r="U1304" i="4"/>
  <c r="T1304" i="4"/>
  <c r="U1303" i="4"/>
  <c r="T1303" i="4" s="1"/>
  <c r="U1302" i="4"/>
  <c r="T1302" i="4" s="1"/>
  <c r="U1301" i="4"/>
  <c r="T1301" i="4" s="1"/>
  <c r="U1300" i="4"/>
  <c r="T1300" i="4" s="1"/>
  <c r="U1299" i="4"/>
  <c r="T1299" i="4" s="1"/>
  <c r="U1298" i="4"/>
  <c r="T1298" i="4" s="1"/>
  <c r="U1297" i="4"/>
  <c r="T1297" i="4" s="1"/>
  <c r="U1296" i="4"/>
  <c r="T1296" i="4"/>
  <c r="U1295" i="4"/>
  <c r="T1295" i="4" s="1"/>
  <c r="U1294" i="4"/>
  <c r="T1294" i="4" s="1"/>
  <c r="U1293" i="4"/>
  <c r="T1293" i="4" s="1"/>
  <c r="U1292" i="4"/>
  <c r="T1292" i="4" s="1"/>
  <c r="U1291" i="4"/>
  <c r="T1291" i="4" s="1"/>
  <c r="U1290" i="4"/>
  <c r="T1290" i="4"/>
  <c r="U1289" i="4"/>
  <c r="T1289" i="4" s="1"/>
  <c r="U1288" i="4"/>
  <c r="T1288" i="4" s="1"/>
  <c r="U1287" i="4"/>
  <c r="T1287" i="4" s="1"/>
  <c r="U1286" i="4"/>
  <c r="T1286" i="4" s="1"/>
  <c r="U1285" i="4"/>
  <c r="T1285" i="4" s="1"/>
  <c r="U1284" i="4"/>
  <c r="T1284" i="4" s="1"/>
  <c r="U1283" i="4"/>
  <c r="T1283" i="4" s="1"/>
  <c r="U1282" i="4"/>
  <c r="T1282" i="4" s="1"/>
  <c r="U1281" i="4"/>
  <c r="T1281" i="4" s="1"/>
  <c r="U1280" i="4"/>
  <c r="T1280" i="4"/>
  <c r="U1279" i="4"/>
  <c r="T1279" i="4" s="1"/>
  <c r="U1278" i="4"/>
  <c r="T1278" i="4" s="1"/>
  <c r="U1277" i="4"/>
  <c r="T1277" i="4" s="1"/>
  <c r="U1276" i="4"/>
  <c r="T1276" i="4" s="1"/>
  <c r="U1275" i="4"/>
  <c r="T1275" i="4" s="1"/>
  <c r="U1274" i="4"/>
  <c r="T1274" i="4" s="1"/>
  <c r="U1273" i="4"/>
  <c r="T1273" i="4" s="1"/>
  <c r="U1272" i="4"/>
  <c r="T1272" i="4"/>
  <c r="U1271" i="4"/>
  <c r="T1271" i="4" s="1"/>
  <c r="U1270" i="4"/>
  <c r="T1270" i="4" s="1"/>
  <c r="U1269" i="4"/>
  <c r="T1269" i="4" s="1"/>
  <c r="U1268" i="4"/>
  <c r="T1268" i="4" s="1"/>
  <c r="U1267" i="4"/>
  <c r="T1267" i="4" s="1"/>
  <c r="U1266" i="4"/>
  <c r="T1266" i="4" s="1"/>
  <c r="U1265" i="4"/>
  <c r="T1265" i="4" s="1"/>
  <c r="U1264" i="4"/>
  <c r="T1264" i="4" s="1"/>
  <c r="U1263" i="4"/>
  <c r="T1263" i="4" s="1"/>
  <c r="U1262" i="4"/>
  <c r="T1262" i="4" s="1"/>
  <c r="U1261" i="4"/>
  <c r="T1261" i="4" s="1"/>
  <c r="U1260" i="4"/>
  <c r="T1260" i="4" s="1"/>
  <c r="U1259" i="4"/>
  <c r="T1259" i="4" s="1"/>
  <c r="U1258" i="4"/>
  <c r="T1258" i="4" s="1"/>
  <c r="U1257" i="4"/>
  <c r="T1257" i="4" s="1"/>
  <c r="U1256" i="4"/>
  <c r="T1256" i="4"/>
  <c r="U1255" i="4"/>
  <c r="T1255" i="4" s="1"/>
  <c r="U1254" i="4"/>
  <c r="T1254" i="4" s="1"/>
  <c r="U1253" i="4"/>
  <c r="T1253" i="4" s="1"/>
  <c r="U1252" i="4"/>
  <c r="T1252" i="4" s="1"/>
  <c r="U1251" i="4"/>
  <c r="T1251" i="4" s="1"/>
  <c r="U1250" i="4"/>
  <c r="T1250" i="4" s="1"/>
  <c r="U1249" i="4"/>
  <c r="T1249" i="4" s="1"/>
  <c r="U1248" i="4"/>
  <c r="T1248" i="4" s="1"/>
  <c r="U1247" i="4"/>
  <c r="T1247" i="4" s="1"/>
  <c r="U1246" i="4"/>
  <c r="T1246" i="4" s="1"/>
  <c r="U1245" i="4"/>
  <c r="T1245" i="4" s="1"/>
  <c r="U1244" i="4"/>
  <c r="T1244" i="4" s="1"/>
  <c r="U1243" i="4"/>
  <c r="T1243" i="4" s="1"/>
  <c r="U1242" i="4"/>
  <c r="T1242" i="4"/>
  <c r="U1241" i="4"/>
  <c r="T1241" i="4" s="1"/>
  <c r="U1240" i="4"/>
  <c r="T1240" i="4"/>
  <c r="U1239" i="4"/>
  <c r="T1239" i="4" s="1"/>
  <c r="U1238" i="4"/>
  <c r="T1238" i="4" s="1"/>
  <c r="U1237" i="4"/>
  <c r="T1237" i="4" s="1"/>
  <c r="U1236" i="4"/>
  <c r="T1236" i="4" s="1"/>
  <c r="U1235" i="4"/>
  <c r="T1235" i="4" s="1"/>
  <c r="U1234" i="4"/>
  <c r="T1234" i="4" s="1"/>
  <c r="U1233" i="4"/>
  <c r="T1233" i="4" s="1"/>
  <c r="U1232" i="4"/>
  <c r="T1232" i="4"/>
  <c r="U1231" i="4"/>
  <c r="T1231" i="4" s="1"/>
  <c r="U1230" i="4"/>
  <c r="T1230" i="4"/>
  <c r="U1229" i="4"/>
  <c r="T1229" i="4" s="1"/>
  <c r="U1228" i="4"/>
  <c r="T1228" i="4" s="1"/>
  <c r="U1227" i="4"/>
  <c r="T1227" i="4" s="1"/>
  <c r="U1226" i="4"/>
  <c r="T1226" i="4"/>
  <c r="U1225" i="4"/>
  <c r="T1225" i="4" s="1"/>
  <c r="U1224" i="4"/>
  <c r="T1224" i="4"/>
  <c r="U1223" i="4"/>
  <c r="T1223" i="4" s="1"/>
  <c r="U1222" i="4"/>
  <c r="T1222" i="4" s="1"/>
  <c r="U1221" i="4"/>
  <c r="T1221" i="4" s="1"/>
  <c r="U1220" i="4"/>
  <c r="T1220" i="4" s="1"/>
  <c r="U1219" i="4"/>
  <c r="T1219" i="4" s="1"/>
  <c r="U1218" i="4"/>
  <c r="T1218" i="4"/>
  <c r="U1217" i="4"/>
  <c r="T1217" i="4" s="1"/>
  <c r="U1216" i="4"/>
  <c r="T1216" i="4" s="1"/>
  <c r="U1215" i="4"/>
  <c r="T1215" i="4" s="1"/>
  <c r="U1214" i="4"/>
  <c r="T1214" i="4"/>
  <c r="U1213" i="4"/>
  <c r="T1213" i="4" s="1"/>
  <c r="U1212" i="4"/>
  <c r="T1212" i="4" s="1"/>
  <c r="U1211" i="4"/>
  <c r="T1211" i="4" s="1"/>
  <c r="U1210" i="4"/>
  <c r="T1210" i="4" s="1"/>
  <c r="U1209" i="4"/>
  <c r="T1209" i="4" s="1"/>
  <c r="U1208" i="4"/>
  <c r="T1208" i="4" s="1"/>
  <c r="U1207" i="4"/>
  <c r="T1207" i="4" s="1"/>
  <c r="U1206" i="4"/>
  <c r="T1206" i="4"/>
  <c r="U1205" i="4"/>
  <c r="T1205" i="4" s="1"/>
  <c r="U1204" i="4"/>
  <c r="T1204" i="4" s="1"/>
  <c r="U1203" i="4"/>
  <c r="T1203" i="4" s="1"/>
  <c r="U1202" i="4"/>
  <c r="T1202" i="4" s="1"/>
  <c r="U1201" i="4"/>
  <c r="T1201" i="4" s="1"/>
  <c r="U1200" i="4"/>
  <c r="T1200" i="4"/>
  <c r="U1199" i="4"/>
  <c r="T1199" i="4" s="1"/>
  <c r="U1198" i="4"/>
  <c r="T1198" i="4" s="1"/>
  <c r="U1197" i="4"/>
  <c r="T1197" i="4" s="1"/>
  <c r="U1196" i="4"/>
  <c r="T1196" i="4" s="1"/>
  <c r="U1195" i="4"/>
  <c r="T1195" i="4" s="1"/>
  <c r="U1194" i="4"/>
  <c r="T1194" i="4"/>
  <c r="U1193" i="4"/>
  <c r="T1193" i="4" s="1"/>
  <c r="U1192" i="4"/>
  <c r="T1192" i="4" s="1"/>
  <c r="U1191" i="4"/>
  <c r="T1191" i="4" s="1"/>
  <c r="U1190" i="4"/>
  <c r="T1190" i="4" s="1"/>
  <c r="U1189" i="4"/>
  <c r="T1189" i="4" s="1"/>
  <c r="U1188" i="4"/>
  <c r="T1188" i="4" s="1"/>
  <c r="U1187" i="4"/>
  <c r="T1187" i="4" s="1"/>
  <c r="U1186" i="4"/>
  <c r="T1186" i="4" s="1"/>
  <c r="U1185" i="4"/>
  <c r="T1185" i="4" s="1"/>
  <c r="U1184" i="4"/>
  <c r="T1184" i="4"/>
  <c r="U1183" i="4"/>
  <c r="T1183" i="4" s="1"/>
  <c r="U1182" i="4"/>
  <c r="T1182" i="4"/>
  <c r="U1181" i="4"/>
  <c r="T1181" i="4" s="1"/>
  <c r="U1180" i="4"/>
  <c r="T1180" i="4" s="1"/>
  <c r="U1179" i="4"/>
  <c r="T1179" i="4" s="1"/>
  <c r="U1178" i="4"/>
  <c r="T1178" i="4"/>
  <c r="U1177" i="4"/>
  <c r="T1177" i="4" s="1"/>
  <c r="U1176" i="4"/>
  <c r="T1176" i="4"/>
  <c r="U1175" i="4"/>
  <c r="T1175" i="4" s="1"/>
  <c r="U1174" i="4"/>
  <c r="T1174" i="4"/>
  <c r="U1173" i="4"/>
  <c r="T1173" i="4" s="1"/>
  <c r="U1172" i="4"/>
  <c r="T1172" i="4" s="1"/>
  <c r="U1171" i="4"/>
  <c r="T1171" i="4" s="1"/>
  <c r="U1170" i="4"/>
  <c r="T1170" i="4" s="1"/>
  <c r="U1169" i="4"/>
  <c r="T1169" i="4" s="1"/>
  <c r="U1168" i="4"/>
  <c r="T1168" i="4" s="1"/>
  <c r="U1167" i="4"/>
  <c r="T1167" i="4" s="1"/>
  <c r="U1166" i="4"/>
  <c r="T1166" i="4" s="1"/>
  <c r="U1165" i="4"/>
  <c r="T1165" i="4" s="1"/>
  <c r="U1164" i="4"/>
  <c r="T1164" i="4" s="1"/>
  <c r="U1163" i="4"/>
  <c r="T1163" i="4" s="1"/>
  <c r="U1162" i="4"/>
  <c r="T1162" i="4" s="1"/>
  <c r="U1161" i="4"/>
  <c r="T1161" i="4" s="1"/>
  <c r="U1160" i="4"/>
  <c r="T1160" i="4" s="1"/>
  <c r="U1159" i="4"/>
  <c r="T1159" i="4" s="1"/>
  <c r="U1158" i="4"/>
  <c r="T1158" i="4"/>
  <c r="U1157" i="4"/>
  <c r="T1157" i="4" s="1"/>
  <c r="U1156" i="4"/>
  <c r="T1156" i="4" s="1"/>
  <c r="U1155" i="4"/>
  <c r="T1155" i="4" s="1"/>
  <c r="U1154" i="4"/>
  <c r="T1154" i="4" s="1"/>
  <c r="U1153" i="4"/>
  <c r="T1153" i="4" s="1"/>
  <c r="U1152" i="4"/>
  <c r="T1152" i="4"/>
  <c r="U1151" i="4"/>
  <c r="T1151" i="4" s="1"/>
  <c r="U1150" i="4"/>
  <c r="T1150" i="4"/>
  <c r="U1149" i="4"/>
  <c r="T1149" i="4" s="1"/>
  <c r="U1148" i="4"/>
  <c r="T1148" i="4" s="1"/>
  <c r="U1147" i="4"/>
  <c r="T1147" i="4" s="1"/>
  <c r="U1146" i="4"/>
  <c r="T1146" i="4"/>
  <c r="U1145" i="4"/>
  <c r="T1145" i="4" s="1"/>
  <c r="U1144" i="4"/>
  <c r="T1144" i="4"/>
  <c r="U1143" i="4"/>
  <c r="T1143" i="4" s="1"/>
  <c r="U1142" i="4"/>
  <c r="T1142" i="4" s="1"/>
  <c r="U1141" i="4"/>
  <c r="T1141" i="4" s="1"/>
  <c r="U1140" i="4"/>
  <c r="T1140" i="4" s="1"/>
  <c r="U1139" i="4"/>
  <c r="T1139" i="4" s="1"/>
  <c r="U1138" i="4"/>
  <c r="T1138" i="4" s="1"/>
  <c r="U1137" i="4"/>
  <c r="T1137" i="4" s="1"/>
  <c r="U1136" i="4"/>
  <c r="T1136" i="4" s="1"/>
  <c r="U1135" i="4"/>
  <c r="T1135" i="4" s="1"/>
  <c r="U1134" i="4"/>
  <c r="T1134" i="4"/>
  <c r="U1133" i="4"/>
  <c r="T1133" i="4" s="1"/>
  <c r="U1132" i="4"/>
  <c r="T1132" i="4" s="1"/>
  <c r="U1131" i="4"/>
  <c r="T1131" i="4" s="1"/>
  <c r="U1130" i="4"/>
  <c r="T1130" i="4" s="1"/>
  <c r="U1129" i="4"/>
  <c r="T1129" i="4"/>
  <c r="U1128" i="4"/>
  <c r="T1128" i="4" s="1"/>
  <c r="U1127" i="4"/>
  <c r="T1127" i="4" s="1"/>
  <c r="U1126" i="4"/>
  <c r="T1126" i="4"/>
  <c r="U1125" i="4"/>
  <c r="T1125" i="4" s="1"/>
  <c r="U1124" i="4"/>
  <c r="T1124" i="4"/>
  <c r="U1123" i="4"/>
  <c r="T1123" i="4" s="1"/>
  <c r="U1122" i="4"/>
  <c r="T1122" i="4" s="1"/>
  <c r="U1121" i="4"/>
  <c r="T1121" i="4" s="1"/>
  <c r="U1120" i="4"/>
  <c r="T1120" i="4"/>
  <c r="U1119" i="4"/>
  <c r="T1119" i="4" s="1"/>
  <c r="U1118" i="4"/>
  <c r="T1118" i="4"/>
  <c r="U1117" i="4"/>
  <c r="T1117" i="4" s="1"/>
  <c r="U1116" i="4"/>
  <c r="T1116" i="4" s="1"/>
  <c r="U1115" i="4"/>
  <c r="T1115" i="4" s="1"/>
  <c r="U1114" i="4"/>
  <c r="T1114" i="4" s="1"/>
  <c r="U1113" i="4"/>
  <c r="T1113" i="4" s="1"/>
  <c r="U1112" i="4"/>
  <c r="T1112" i="4"/>
  <c r="U1111" i="4"/>
  <c r="T1111" i="4" s="1"/>
  <c r="U1110" i="4"/>
  <c r="T1110" i="4" s="1"/>
  <c r="U1109" i="4"/>
  <c r="T1109" i="4" s="1"/>
  <c r="U1108" i="4"/>
  <c r="T1108" i="4" s="1"/>
  <c r="U1107" i="4"/>
  <c r="T1107" i="4" s="1"/>
  <c r="U1106" i="4"/>
  <c r="T1106" i="4" s="1"/>
  <c r="U1105" i="4"/>
  <c r="T1105" i="4" s="1"/>
  <c r="U1104" i="4"/>
  <c r="T1104" i="4" s="1"/>
  <c r="U1103" i="4"/>
  <c r="T1103" i="4" s="1"/>
  <c r="U1102" i="4"/>
  <c r="T1102" i="4" s="1"/>
  <c r="U1101" i="4"/>
  <c r="T1101" i="4" s="1"/>
  <c r="U1100" i="4"/>
  <c r="T1100" i="4"/>
  <c r="U1099" i="4"/>
  <c r="T1099" i="4" s="1"/>
  <c r="U1098" i="4"/>
  <c r="T1098" i="4" s="1"/>
  <c r="U1097" i="4"/>
  <c r="T1097" i="4" s="1"/>
  <c r="U1096" i="4"/>
  <c r="T1096" i="4" s="1"/>
  <c r="U1095" i="4"/>
  <c r="T1095" i="4" s="1"/>
  <c r="U1094" i="4"/>
  <c r="T1094" i="4"/>
  <c r="U1093" i="4"/>
  <c r="T1093" i="4" s="1"/>
  <c r="U1092" i="4"/>
  <c r="T1092" i="4"/>
  <c r="U1091" i="4"/>
  <c r="T1091" i="4" s="1"/>
  <c r="U1090" i="4"/>
  <c r="T1090" i="4" s="1"/>
  <c r="U1089" i="4"/>
  <c r="T1089" i="4" s="1"/>
  <c r="U1088" i="4"/>
  <c r="T1088" i="4"/>
  <c r="U1087" i="4"/>
  <c r="T1087" i="4" s="1"/>
  <c r="U1086" i="4"/>
  <c r="T1086" i="4"/>
  <c r="U1085" i="4"/>
  <c r="T1085" i="4" s="1"/>
  <c r="U1084" i="4"/>
  <c r="T1084" i="4" s="1"/>
  <c r="U1083" i="4"/>
  <c r="T1083" i="4" s="1"/>
  <c r="U1082" i="4"/>
  <c r="T1082" i="4" s="1"/>
  <c r="U1081" i="4"/>
  <c r="T1081" i="4" s="1"/>
  <c r="U1080" i="4"/>
  <c r="T1080" i="4"/>
  <c r="U1079" i="4"/>
  <c r="T1079" i="4" s="1"/>
  <c r="U1078" i="4"/>
  <c r="T1078" i="4" s="1"/>
  <c r="U1077" i="4"/>
  <c r="T1077" i="4" s="1"/>
  <c r="U1076" i="4"/>
  <c r="T1076" i="4"/>
  <c r="U1075" i="4"/>
  <c r="T1075" i="4" s="1"/>
  <c r="U1074" i="4"/>
  <c r="T1074" i="4" s="1"/>
  <c r="U1073" i="4"/>
  <c r="T1073" i="4" s="1"/>
  <c r="U1072" i="4"/>
  <c r="T1072" i="4" s="1"/>
  <c r="U1071" i="4"/>
  <c r="T1071" i="4" s="1"/>
  <c r="U1070" i="4"/>
  <c r="T1070" i="4" s="1"/>
  <c r="U1069" i="4"/>
  <c r="T1069" i="4" s="1"/>
  <c r="U1068" i="4"/>
  <c r="T1068" i="4"/>
  <c r="U1067" i="4"/>
  <c r="T1067" i="4" s="1"/>
  <c r="U1066" i="4"/>
  <c r="T1066" i="4" s="1"/>
  <c r="U1065" i="4"/>
  <c r="T1065" i="4" s="1"/>
  <c r="U1064" i="4"/>
  <c r="T1064" i="4" s="1"/>
  <c r="U1063" i="4"/>
  <c r="T1063" i="4" s="1"/>
  <c r="U1062" i="4"/>
  <c r="T1062" i="4"/>
  <c r="U1061" i="4"/>
  <c r="T1061" i="4" s="1"/>
  <c r="U1060" i="4"/>
  <c r="T1060" i="4"/>
  <c r="U1059" i="4"/>
  <c r="T1059" i="4" s="1"/>
  <c r="U1058" i="4"/>
  <c r="T1058" i="4" s="1"/>
  <c r="U1057" i="4"/>
  <c r="T1057" i="4" s="1"/>
  <c r="U1056" i="4"/>
  <c r="T1056" i="4"/>
  <c r="U1055" i="4"/>
  <c r="T1055" i="4" s="1"/>
  <c r="U1054" i="4"/>
  <c r="T1054" i="4"/>
  <c r="U1053" i="4"/>
  <c r="T1053" i="4" s="1"/>
  <c r="U1052" i="4"/>
  <c r="T1052" i="4" s="1"/>
  <c r="U1051" i="4"/>
  <c r="T1051" i="4" s="1"/>
  <c r="U1050" i="4"/>
  <c r="T1050" i="4" s="1"/>
  <c r="U1049" i="4"/>
  <c r="T1049" i="4" s="1"/>
  <c r="U1048" i="4"/>
  <c r="T1048" i="4"/>
  <c r="U1047" i="4"/>
  <c r="T1047" i="4" s="1"/>
  <c r="U1046" i="4"/>
  <c r="T1046" i="4" s="1"/>
  <c r="U1045" i="4"/>
  <c r="T1045" i="4" s="1"/>
  <c r="U1044" i="4"/>
  <c r="T1044" i="4" s="1"/>
  <c r="U1043" i="4"/>
  <c r="T1043" i="4" s="1"/>
  <c r="U1042" i="4"/>
  <c r="T1042" i="4" s="1"/>
  <c r="U1041" i="4"/>
  <c r="T1041" i="4" s="1"/>
  <c r="U1040" i="4"/>
  <c r="T1040" i="4" s="1"/>
  <c r="U1039" i="4"/>
  <c r="T1039" i="4" s="1"/>
  <c r="U1038" i="4"/>
  <c r="T1038" i="4"/>
  <c r="U1037" i="4"/>
  <c r="T1037" i="4" s="1"/>
  <c r="U1036" i="4"/>
  <c r="T1036" i="4"/>
  <c r="U1035" i="4"/>
  <c r="T1035" i="4" s="1"/>
  <c r="U1034" i="4"/>
  <c r="T1034" i="4" s="1"/>
  <c r="U1033" i="4"/>
  <c r="T1033" i="4" s="1"/>
  <c r="U1032" i="4"/>
  <c r="T1032" i="4"/>
  <c r="U1031" i="4"/>
  <c r="T1031" i="4" s="1"/>
  <c r="U1030" i="4"/>
  <c r="T1030" i="4"/>
  <c r="U1029" i="4"/>
  <c r="T1029" i="4" s="1"/>
  <c r="U1028" i="4"/>
  <c r="T1028" i="4"/>
  <c r="U1027" i="4"/>
  <c r="T1027" i="4" s="1"/>
  <c r="U1026" i="4"/>
  <c r="T1026" i="4" s="1"/>
  <c r="U1025" i="4"/>
  <c r="T1025" i="4" s="1"/>
  <c r="U1024" i="4"/>
  <c r="T1024" i="4"/>
  <c r="U1023" i="4"/>
  <c r="T1023" i="4" s="1"/>
  <c r="U1022" i="4"/>
  <c r="T1022" i="4"/>
  <c r="U1021" i="4"/>
  <c r="T1021" i="4" s="1"/>
  <c r="U1020" i="4"/>
  <c r="T1020" i="4" s="1"/>
  <c r="U1019" i="4"/>
  <c r="T1019" i="4" s="1"/>
  <c r="U1018" i="4"/>
  <c r="T1018" i="4" s="1"/>
  <c r="U1017" i="4"/>
  <c r="T1017" i="4" s="1"/>
  <c r="U1016" i="4"/>
  <c r="T1016" i="4"/>
  <c r="U1015" i="4"/>
  <c r="T1015" i="4" s="1"/>
  <c r="U1014" i="4"/>
  <c r="T1014" i="4" s="1"/>
  <c r="U1013" i="4"/>
  <c r="T1013" i="4" s="1"/>
  <c r="U1012" i="4"/>
  <c r="T1012" i="4" s="1"/>
  <c r="U1011" i="4"/>
  <c r="T1011" i="4" s="1"/>
  <c r="U1010" i="4"/>
  <c r="T1010" i="4" s="1"/>
  <c r="U1009" i="4"/>
  <c r="T1009" i="4" s="1"/>
  <c r="U1008" i="4"/>
  <c r="T1008" i="4" s="1"/>
  <c r="U1007" i="4"/>
  <c r="T1007" i="4" s="1"/>
  <c r="U1006" i="4"/>
  <c r="T1006" i="4" s="1"/>
  <c r="U1005" i="4"/>
  <c r="T1005" i="4" s="1"/>
  <c r="U1004" i="4"/>
  <c r="T1004" i="4"/>
  <c r="U1003" i="4"/>
  <c r="T1003" i="4" s="1"/>
  <c r="U1002" i="4"/>
  <c r="T1002" i="4" s="1"/>
  <c r="U1001" i="4"/>
  <c r="T1001" i="4" s="1"/>
  <c r="U1000" i="4"/>
  <c r="T1000" i="4" s="1"/>
  <c r="U999" i="4"/>
  <c r="T999" i="4" s="1"/>
  <c r="U998" i="4"/>
  <c r="T998" i="4"/>
  <c r="U997" i="4"/>
  <c r="T997" i="4" s="1"/>
  <c r="U996" i="4"/>
  <c r="T996" i="4"/>
  <c r="U995" i="4"/>
  <c r="T995" i="4" s="1"/>
  <c r="U994" i="4"/>
  <c r="T994" i="4" s="1"/>
  <c r="U993" i="4"/>
  <c r="T993" i="4" s="1"/>
  <c r="U992" i="4"/>
  <c r="T992" i="4"/>
  <c r="U991" i="4"/>
  <c r="T991" i="4" s="1"/>
  <c r="U990" i="4"/>
  <c r="T990" i="4"/>
  <c r="U989" i="4"/>
  <c r="T989" i="4" s="1"/>
  <c r="U988" i="4"/>
  <c r="T988" i="4" s="1"/>
  <c r="U987" i="4"/>
  <c r="T987" i="4" s="1"/>
  <c r="U986" i="4"/>
  <c r="T986" i="4" s="1"/>
  <c r="U985" i="4"/>
  <c r="T985" i="4" s="1"/>
  <c r="U984" i="4"/>
  <c r="T984" i="4"/>
  <c r="U983" i="4"/>
  <c r="T983" i="4" s="1"/>
  <c r="U982" i="4"/>
  <c r="T982" i="4" s="1"/>
  <c r="U981" i="4"/>
  <c r="T981" i="4" s="1"/>
  <c r="U980" i="4"/>
  <c r="T980" i="4" s="1"/>
  <c r="U979" i="4"/>
  <c r="T979" i="4" s="1"/>
  <c r="U978" i="4"/>
  <c r="T978" i="4" s="1"/>
  <c r="U977" i="4"/>
  <c r="T977" i="4" s="1"/>
  <c r="U976" i="4"/>
  <c r="T976" i="4" s="1"/>
  <c r="U975" i="4"/>
  <c r="T975" i="4" s="1"/>
  <c r="U974" i="4"/>
  <c r="T974" i="4" s="1"/>
  <c r="U973" i="4"/>
  <c r="T973" i="4" s="1"/>
  <c r="U972" i="4"/>
  <c r="T972" i="4"/>
  <c r="U971" i="4"/>
  <c r="T971" i="4" s="1"/>
  <c r="U970" i="4"/>
  <c r="T970" i="4" s="1"/>
  <c r="U969" i="4"/>
  <c r="T969" i="4" s="1"/>
  <c r="U968" i="4"/>
  <c r="T968" i="4" s="1"/>
  <c r="U967" i="4"/>
  <c r="T967" i="4" s="1"/>
  <c r="U966" i="4"/>
  <c r="T966" i="4"/>
  <c r="U965" i="4"/>
  <c r="T965" i="4" s="1"/>
  <c r="U964" i="4"/>
  <c r="T964" i="4"/>
  <c r="U963" i="4"/>
  <c r="T963" i="4" s="1"/>
  <c r="U962" i="4"/>
  <c r="T962" i="4" s="1"/>
  <c r="U961" i="4"/>
  <c r="T961" i="4" s="1"/>
  <c r="U960" i="4"/>
  <c r="T960" i="4"/>
  <c r="U959" i="4"/>
  <c r="T959" i="4" s="1"/>
  <c r="U958" i="4"/>
  <c r="T958" i="4"/>
  <c r="U957" i="4"/>
  <c r="T957" i="4" s="1"/>
  <c r="U956" i="4"/>
  <c r="T956" i="4" s="1"/>
  <c r="U955" i="4"/>
  <c r="T955" i="4" s="1"/>
  <c r="U954" i="4"/>
  <c r="T954" i="4" s="1"/>
  <c r="U953" i="4"/>
  <c r="T953" i="4" s="1"/>
  <c r="U952" i="4"/>
  <c r="T952" i="4"/>
  <c r="U951" i="4"/>
  <c r="T951" i="4" s="1"/>
  <c r="U950" i="4"/>
  <c r="T950" i="4" s="1"/>
  <c r="U949" i="4"/>
  <c r="T949" i="4" s="1"/>
  <c r="U948" i="4"/>
  <c r="T948" i="4"/>
  <c r="U947" i="4"/>
  <c r="T947" i="4" s="1"/>
  <c r="U946" i="4"/>
  <c r="T946" i="4" s="1"/>
  <c r="U945" i="4"/>
  <c r="T945" i="4" s="1"/>
  <c r="U944" i="4"/>
  <c r="T944" i="4" s="1"/>
  <c r="U943" i="4"/>
  <c r="T943" i="4" s="1"/>
  <c r="U942" i="4"/>
  <c r="T942" i="4" s="1"/>
  <c r="U941" i="4"/>
  <c r="T941" i="4" s="1"/>
  <c r="U940" i="4"/>
  <c r="T940" i="4"/>
  <c r="U939" i="4"/>
  <c r="T939" i="4" s="1"/>
  <c r="U938" i="4"/>
  <c r="T938" i="4" s="1"/>
  <c r="U937" i="4"/>
  <c r="T937" i="4" s="1"/>
  <c r="U936" i="4"/>
  <c r="T936" i="4" s="1"/>
  <c r="U935" i="4"/>
  <c r="T935" i="4" s="1"/>
  <c r="U934" i="4"/>
  <c r="T934" i="4"/>
  <c r="U933" i="4"/>
  <c r="T933" i="4" s="1"/>
  <c r="U932" i="4"/>
  <c r="T932" i="4"/>
  <c r="U931" i="4"/>
  <c r="T931" i="4" s="1"/>
  <c r="U930" i="4"/>
  <c r="T930" i="4" s="1"/>
  <c r="U929" i="4"/>
  <c r="T929" i="4" s="1"/>
  <c r="U928" i="4"/>
  <c r="T928" i="4"/>
  <c r="U927" i="4"/>
  <c r="T927" i="4" s="1"/>
  <c r="U926" i="4"/>
  <c r="T926" i="4"/>
  <c r="U925" i="4"/>
  <c r="T925" i="4" s="1"/>
  <c r="U924" i="4"/>
  <c r="T924" i="4" s="1"/>
  <c r="U923" i="4"/>
  <c r="T923" i="4" s="1"/>
  <c r="U922" i="4"/>
  <c r="T922" i="4" s="1"/>
  <c r="U921" i="4"/>
  <c r="T921" i="4" s="1"/>
  <c r="U920" i="4"/>
  <c r="T920" i="4"/>
  <c r="U919" i="4"/>
  <c r="T919" i="4" s="1"/>
  <c r="U918" i="4"/>
  <c r="T918" i="4" s="1"/>
  <c r="U917" i="4"/>
  <c r="T917" i="4" s="1"/>
  <c r="U916" i="4"/>
  <c r="T916" i="4" s="1"/>
  <c r="U915" i="4"/>
  <c r="T915" i="4" s="1"/>
  <c r="U914" i="4"/>
  <c r="T914" i="4" s="1"/>
  <c r="U913" i="4"/>
  <c r="T913" i="4" s="1"/>
  <c r="U912" i="4"/>
  <c r="T912" i="4" s="1"/>
  <c r="U911" i="4"/>
  <c r="T911" i="4" s="1"/>
  <c r="U910" i="4"/>
  <c r="T910" i="4"/>
  <c r="U909" i="4"/>
  <c r="T909" i="4" s="1"/>
  <c r="U908" i="4"/>
  <c r="T908" i="4"/>
  <c r="U907" i="4"/>
  <c r="T907" i="4" s="1"/>
  <c r="U906" i="4"/>
  <c r="T906" i="4" s="1"/>
  <c r="U905" i="4"/>
  <c r="T905" i="4" s="1"/>
  <c r="U904" i="4"/>
  <c r="T904" i="4"/>
  <c r="U903" i="4"/>
  <c r="T903" i="4" s="1"/>
  <c r="U902" i="4"/>
  <c r="T902" i="4"/>
  <c r="U901" i="4"/>
  <c r="T901" i="4" s="1"/>
  <c r="U900" i="4"/>
  <c r="T900" i="4"/>
  <c r="U899" i="4"/>
  <c r="T899" i="4" s="1"/>
  <c r="U898" i="4"/>
  <c r="T898" i="4" s="1"/>
  <c r="U897" i="4"/>
  <c r="T897" i="4" s="1"/>
  <c r="U896" i="4"/>
  <c r="T896" i="4" s="1"/>
  <c r="U895" i="4"/>
  <c r="T895" i="4" s="1"/>
  <c r="U894" i="4"/>
  <c r="T894" i="4"/>
  <c r="U893" i="4"/>
  <c r="T893" i="4" s="1"/>
  <c r="U892" i="4"/>
  <c r="T892" i="4" s="1"/>
  <c r="U891" i="4"/>
  <c r="T891" i="4" s="1"/>
  <c r="U890" i="4"/>
  <c r="T890" i="4" s="1"/>
  <c r="U889" i="4"/>
  <c r="T889" i="4" s="1"/>
  <c r="U888" i="4"/>
  <c r="T888" i="4"/>
  <c r="U887" i="4"/>
  <c r="T887" i="4" s="1"/>
  <c r="U886" i="4"/>
  <c r="T886" i="4" s="1"/>
  <c r="U885" i="4"/>
  <c r="T885" i="4" s="1"/>
  <c r="U884" i="4"/>
  <c r="T884" i="4" s="1"/>
  <c r="U883" i="4"/>
  <c r="T883" i="4" s="1"/>
  <c r="U882" i="4"/>
  <c r="T882" i="4" s="1"/>
  <c r="U881" i="4"/>
  <c r="T881" i="4" s="1"/>
  <c r="U880" i="4"/>
  <c r="T880" i="4" s="1"/>
  <c r="U879" i="4"/>
  <c r="T879" i="4" s="1"/>
  <c r="U878" i="4"/>
  <c r="T878" i="4" s="1"/>
  <c r="U877" i="4"/>
  <c r="T877" i="4" s="1"/>
  <c r="U876" i="4"/>
  <c r="T876" i="4"/>
  <c r="U875" i="4"/>
  <c r="T875" i="4" s="1"/>
  <c r="U874" i="4"/>
  <c r="T874" i="4" s="1"/>
  <c r="U873" i="4"/>
  <c r="T873" i="4" s="1"/>
  <c r="U872" i="4"/>
  <c r="T872" i="4" s="1"/>
  <c r="U871" i="4"/>
  <c r="T871" i="4" s="1"/>
  <c r="U870" i="4"/>
  <c r="T870" i="4"/>
  <c r="U869" i="4"/>
  <c r="T869" i="4" s="1"/>
  <c r="U868" i="4"/>
  <c r="T868" i="4"/>
  <c r="U867" i="4"/>
  <c r="T867" i="4" s="1"/>
  <c r="U866" i="4"/>
  <c r="T866" i="4" s="1"/>
  <c r="U865" i="4"/>
  <c r="T865" i="4" s="1"/>
  <c r="U864" i="4"/>
  <c r="T864" i="4"/>
  <c r="U863" i="4"/>
  <c r="T863" i="4" s="1"/>
  <c r="U862" i="4"/>
  <c r="T862" i="4"/>
  <c r="U861" i="4"/>
  <c r="T861" i="4" s="1"/>
  <c r="U860" i="4"/>
  <c r="T860" i="4" s="1"/>
  <c r="U859" i="4"/>
  <c r="T859" i="4" s="1"/>
  <c r="U858" i="4"/>
  <c r="T858" i="4" s="1"/>
  <c r="U857" i="4"/>
  <c r="T857" i="4" s="1"/>
  <c r="U856" i="4"/>
  <c r="T856" i="4" s="1"/>
  <c r="U855" i="4"/>
  <c r="T855" i="4" s="1"/>
  <c r="U854" i="4"/>
  <c r="T854" i="4" s="1"/>
  <c r="U853" i="4"/>
  <c r="T853" i="4" s="1"/>
  <c r="U852" i="4"/>
  <c r="T852" i="4"/>
  <c r="U851" i="4"/>
  <c r="T851" i="4" s="1"/>
  <c r="U850" i="4"/>
  <c r="T850" i="4" s="1"/>
  <c r="U849" i="4"/>
  <c r="T849" i="4" s="1"/>
  <c r="U848" i="4"/>
  <c r="T848" i="4" s="1"/>
  <c r="U847" i="4"/>
  <c r="T847" i="4" s="1"/>
  <c r="U846" i="4"/>
  <c r="T846" i="4" s="1"/>
  <c r="U845" i="4"/>
  <c r="T845" i="4" s="1"/>
  <c r="U844" i="4"/>
  <c r="T844" i="4" s="1"/>
  <c r="U843" i="4"/>
  <c r="T843" i="4" s="1"/>
  <c r="U842" i="4"/>
  <c r="T842" i="4" s="1"/>
  <c r="U841" i="4"/>
  <c r="T841" i="4" s="1"/>
  <c r="U840" i="4"/>
  <c r="T840" i="4" s="1"/>
  <c r="U839" i="4"/>
  <c r="T839" i="4" s="1"/>
  <c r="U838" i="4"/>
  <c r="T838" i="4"/>
  <c r="U837" i="4"/>
  <c r="T837" i="4" s="1"/>
  <c r="U836" i="4"/>
  <c r="T836" i="4" s="1"/>
  <c r="U835" i="4"/>
  <c r="T835" i="4" s="1"/>
  <c r="U834" i="4"/>
  <c r="T834" i="4" s="1"/>
  <c r="U833" i="4"/>
  <c r="T833" i="4" s="1"/>
  <c r="U832" i="4"/>
  <c r="T832" i="4"/>
  <c r="U831" i="4"/>
  <c r="T831" i="4" s="1"/>
  <c r="U830" i="4"/>
  <c r="T830" i="4" s="1"/>
  <c r="U829" i="4"/>
  <c r="T829" i="4" s="1"/>
  <c r="U828" i="4"/>
  <c r="T828" i="4" s="1"/>
  <c r="U827" i="4"/>
  <c r="T827" i="4" s="1"/>
  <c r="U826" i="4"/>
  <c r="T826" i="4" s="1"/>
  <c r="U825" i="4"/>
  <c r="T825" i="4" s="1"/>
  <c r="U824" i="4"/>
  <c r="T824" i="4" s="1"/>
  <c r="U823" i="4"/>
  <c r="T823" i="4" s="1"/>
  <c r="U822" i="4"/>
  <c r="T822" i="4" s="1"/>
  <c r="U821" i="4"/>
  <c r="T821" i="4" s="1"/>
  <c r="U820" i="4"/>
  <c r="T820" i="4" s="1"/>
  <c r="U819" i="4"/>
  <c r="T819" i="4" s="1"/>
  <c r="U818" i="4"/>
  <c r="T818" i="4"/>
  <c r="U817" i="4"/>
  <c r="T817" i="4" s="1"/>
  <c r="U816" i="4"/>
  <c r="T816" i="4" s="1"/>
  <c r="U815" i="4"/>
  <c r="T815" i="4" s="1"/>
  <c r="U814" i="4"/>
  <c r="T814" i="4" s="1"/>
  <c r="U813" i="4"/>
  <c r="T813" i="4" s="1"/>
  <c r="U812" i="4"/>
  <c r="T812" i="4" s="1"/>
  <c r="U811" i="4"/>
  <c r="T811" i="4" s="1"/>
  <c r="U810" i="4"/>
  <c r="T810" i="4" s="1"/>
  <c r="U809" i="4"/>
  <c r="T809" i="4" s="1"/>
  <c r="U808" i="4"/>
  <c r="T808" i="4" s="1"/>
  <c r="U807" i="4"/>
  <c r="T807" i="4" s="1"/>
  <c r="U806" i="4"/>
  <c r="T806" i="4" s="1"/>
  <c r="U805" i="4"/>
  <c r="T805" i="4" s="1"/>
  <c r="U804" i="4"/>
  <c r="T804" i="4" s="1"/>
  <c r="U803" i="4"/>
  <c r="T803" i="4" s="1"/>
  <c r="U802" i="4"/>
  <c r="T802" i="4"/>
  <c r="U801" i="4"/>
  <c r="T801" i="4" s="1"/>
  <c r="U800" i="4"/>
  <c r="T800" i="4" s="1"/>
  <c r="U799" i="4"/>
  <c r="T799" i="4" s="1"/>
  <c r="U798" i="4"/>
  <c r="T798" i="4" s="1"/>
  <c r="U797" i="4"/>
  <c r="T797" i="4" s="1"/>
  <c r="U796" i="4"/>
  <c r="T796" i="4" s="1"/>
  <c r="U795" i="4"/>
  <c r="T795" i="4" s="1"/>
  <c r="U794" i="4"/>
  <c r="T794" i="4" s="1"/>
  <c r="U793" i="4"/>
  <c r="T793" i="4" s="1"/>
  <c r="U792" i="4"/>
  <c r="T792" i="4" s="1"/>
  <c r="U791" i="4"/>
  <c r="T791" i="4" s="1"/>
  <c r="U790" i="4"/>
  <c r="T790" i="4" s="1"/>
  <c r="U789" i="4"/>
  <c r="T789" i="4" s="1"/>
  <c r="U788" i="4"/>
  <c r="T788" i="4" s="1"/>
  <c r="U787" i="4"/>
  <c r="T787" i="4" s="1"/>
  <c r="U786" i="4"/>
  <c r="T786" i="4"/>
  <c r="U785" i="4"/>
  <c r="T785" i="4" s="1"/>
  <c r="U784" i="4"/>
  <c r="T784" i="4" s="1"/>
  <c r="U783" i="4"/>
  <c r="T783" i="4" s="1"/>
  <c r="U782" i="4"/>
  <c r="T782" i="4"/>
  <c r="U781" i="4"/>
  <c r="T781" i="4" s="1"/>
  <c r="U780" i="4"/>
  <c r="T780" i="4" s="1"/>
  <c r="U779" i="4"/>
  <c r="T779" i="4" s="1"/>
  <c r="U778" i="4"/>
  <c r="T778" i="4" s="1"/>
  <c r="U777" i="4"/>
  <c r="T777" i="4" s="1"/>
  <c r="U776" i="4"/>
  <c r="T776" i="4" s="1"/>
  <c r="U775" i="4"/>
  <c r="T775" i="4" s="1"/>
  <c r="U774" i="4"/>
  <c r="T774" i="4" s="1"/>
  <c r="U773" i="4"/>
  <c r="T773" i="4" s="1"/>
  <c r="U772" i="4"/>
  <c r="T772" i="4" s="1"/>
  <c r="U771" i="4"/>
  <c r="T771" i="4" s="1"/>
  <c r="U770" i="4"/>
  <c r="T770" i="4"/>
  <c r="U769" i="4"/>
  <c r="T769" i="4" s="1"/>
  <c r="U768" i="4"/>
  <c r="T768" i="4" s="1"/>
  <c r="U767" i="4"/>
  <c r="T767" i="4" s="1"/>
  <c r="U766" i="4"/>
  <c r="T766" i="4" s="1"/>
  <c r="U765" i="4"/>
  <c r="T765" i="4" s="1"/>
  <c r="U764" i="4"/>
  <c r="T764" i="4" s="1"/>
  <c r="U763" i="4"/>
  <c r="T763" i="4" s="1"/>
  <c r="U762" i="4"/>
  <c r="T762" i="4"/>
  <c r="U761" i="4"/>
  <c r="T761" i="4" s="1"/>
  <c r="U760" i="4"/>
  <c r="T760" i="4" s="1"/>
  <c r="U759" i="4"/>
  <c r="T759" i="4" s="1"/>
  <c r="U758" i="4"/>
  <c r="T758" i="4" s="1"/>
  <c r="U757" i="4"/>
  <c r="T757" i="4" s="1"/>
  <c r="U756" i="4"/>
  <c r="T756" i="4" s="1"/>
  <c r="U755" i="4"/>
  <c r="T755" i="4" s="1"/>
  <c r="U754" i="4"/>
  <c r="T754" i="4" s="1"/>
  <c r="U753" i="4"/>
  <c r="T753" i="4" s="1"/>
  <c r="U752" i="4"/>
  <c r="T752" i="4" s="1"/>
  <c r="U751" i="4"/>
  <c r="T751" i="4" s="1"/>
  <c r="U750" i="4"/>
  <c r="T750" i="4" s="1"/>
  <c r="U749" i="4"/>
  <c r="T749" i="4" s="1"/>
  <c r="U748" i="4"/>
  <c r="T748" i="4" s="1"/>
  <c r="U747" i="4"/>
  <c r="T747" i="4" s="1"/>
  <c r="U746" i="4"/>
  <c r="T746" i="4" s="1"/>
  <c r="U745" i="4"/>
  <c r="T745" i="4" s="1"/>
  <c r="U744" i="4"/>
  <c r="T744" i="4" s="1"/>
  <c r="U743" i="4"/>
  <c r="T743" i="4" s="1"/>
  <c r="U742" i="4"/>
  <c r="T742" i="4"/>
  <c r="U741" i="4"/>
  <c r="T741" i="4" s="1"/>
  <c r="U740" i="4"/>
  <c r="T740" i="4" s="1"/>
  <c r="U739" i="4"/>
  <c r="T739" i="4" s="1"/>
  <c r="U738" i="4"/>
  <c r="T738" i="4" s="1"/>
  <c r="U737" i="4"/>
  <c r="T737" i="4" s="1"/>
  <c r="U736" i="4"/>
  <c r="T736" i="4" s="1"/>
  <c r="U735" i="4"/>
  <c r="T735" i="4" s="1"/>
  <c r="U734" i="4"/>
  <c r="T734" i="4" s="1"/>
  <c r="U733" i="4"/>
  <c r="T733" i="4" s="1"/>
  <c r="U732" i="4"/>
  <c r="T732" i="4" s="1"/>
  <c r="U731" i="4"/>
  <c r="T731" i="4" s="1"/>
  <c r="U730" i="4"/>
  <c r="T730" i="4" s="1"/>
  <c r="U729" i="4"/>
  <c r="T729" i="4" s="1"/>
  <c r="U728" i="4"/>
  <c r="T728" i="4" s="1"/>
  <c r="U727" i="4"/>
  <c r="T727" i="4" s="1"/>
  <c r="U726" i="4"/>
  <c r="T726" i="4"/>
  <c r="U725" i="4"/>
  <c r="T725" i="4" s="1"/>
  <c r="U724" i="4"/>
  <c r="T724" i="4" s="1"/>
  <c r="U723" i="4"/>
  <c r="T723" i="4" s="1"/>
  <c r="U722" i="4"/>
  <c r="T722" i="4" s="1"/>
  <c r="U721" i="4"/>
  <c r="T721" i="4" s="1"/>
  <c r="U720" i="4"/>
  <c r="T720" i="4" s="1"/>
  <c r="U719" i="4"/>
  <c r="T719" i="4" s="1"/>
  <c r="U718" i="4"/>
  <c r="T718" i="4" s="1"/>
  <c r="U717" i="4"/>
  <c r="T717" i="4" s="1"/>
  <c r="U716" i="4"/>
  <c r="T716" i="4" s="1"/>
  <c r="U715" i="4"/>
  <c r="T715" i="4" s="1"/>
  <c r="U714" i="4"/>
  <c r="T714" i="4" s="1"/>
  <c r="U713" i="4"/>
  <c r="T713" i="4" s="1"/>
  <c r="U712" i="4"/>
  <c r="T712" i="4" s="1"/>
  <c r="U711" i="4"/>
  <c r="T711" i="4" s="1"/>
  <c r="U710" i="4"/>
  <c r="T710" i="4"/>
  <c r="U709" i="4"/>
  <c r="T709" i="4" s="1"/>
  <c r="U708" i="4"/>
  <c r="T708" i="4" s="1"/>
  <c r="U707" i="4"/>
  <c r="T707" i="4" s="1"/>
  <c r="U706" i="4"/>
  <c r="T706" i="4" s="1"/>
  <c r="U705" i="4"/>
  <c r="T705" i="4" s="1"/>
  <c r="U704" i="4"/>
  <c r="T704" i="4" s="1"/>
  <c r="U703" i="4"/>
  <c r="T703" i="4" s="1"/>
  <c r="U702" i="4"/>
  <c r="T702" i="4" s="1"/>
  <c r="U701" i="4"/>
  <c r="T701" i="4" s="1"/>
  <c r="U700" i="4"/>
  <c r="T700" i="4" s="1"/>
  <c r="U699" i="4"/>
  <c r="T699" i="4" s="1"/>
  <c r="U698" i="4"/>
  <c r="T698" i="4" s="1"/>
  <c r="U697" i="4"/>
  <c r="T697" i="4" s="1"/>
  <c r="U696" i="4"/>
  <c r="T696" i="4" s="1"/>
  <c r="U695" i="4"/>
  <c r="T695" i="4" s="1"/>
  <c r="U694" i="4"/>
  <c r="T694" i="4"/>
  <c r="U693" i="4"/>
  <c r="T693" i="4" s="1"/>
  <c r="U692" i="4"/>
  <c r="T692" i="4" s="1"/>
  <c r="U691" i="4"/>
  <c r="T691" i="4" s="1"/>
  <c r="U690" i="4"/>
  <c r="T690" i="4" s="1"/>
  <c r="U689" i="4"/>
  <c r="T689" i="4" s="1"/>
  <c r="U688" i="4"/>
  <c r="T688" i="4" s="1"/>
  <c r="U687" i="4"/>
  <c r="T687" i="4" s="1"/>
  <c r="U686" i="4"/>
  <c r="T686" i="4" s="1"/>
  <c r="U685" i="4"/>
  <c r="T685" i="4" s="1"/>
  <c r="U684" i="4"/>
  <c r="T684" i="4" s="1"/>
  <c r="U683" i="4"/>
  <c r="T683" i="4" s="1"/>
  <c r="U682" i="4"/>
  <c r="T682" i="4" s="1"/>
  <c r="U681" i="4"/>
  <c r="T681" i="4" s="1"/>
  <c r="U680" i="4"/>
  <c r="T680" i="4" s="1"/>
  <c r="U679" i="4"/>
  <c r="T679" i="4" s="1"/>
  <c r="U678" i="4"/>
  <c r="T678" i="4"/>
  <c r="U677" i="4"/>
  <c r="T677" i="4" s="1"/>
  <c r="U676" i="4"/>
  <c r="T676" i="4" s="1"/>
  <c r="U675" i="4"/>
  <c r="T675" i="4" s="1"/>
  <c r="U674" i="4"/>
  <c r="T674" i="4" s="1"/>
  <c r="U673" i="4"/>
  <c r="T673" i="4" s="1"/>
  <c r="U672" i="4"/>
  <c r="T672" i="4" s="1"/>
  <c r="U671" i="4"/>
  <c r="T671" i="4" s="1"/>
  <c r="U670" i="4"/>
  <c r="T670" i="4" s="1"/>
  <c r="U669" i="4"/>
  <c r="T669" i="4" s="1"/>
  <c r="U668" i="4"/>
  <c r="T668" i="4" s="1"/>
  <c r="U667" i="4"/>
  <c r="T667" i="4" s="1"/>
  <c r="U666" i="4"/>
  <c r="T666" i="4" s="1"/>
  <c r="U665" i="4"/>
  <c r="T665" i="4" s="1"/>
  <c r="U664" i="4"/>
  <c r="T664" i="4" s="1"/>
  <c r="U663" i="4"/>
  <c r="T663" i="4" s="1"/>
  <c r="U662" i="4"/>
  <c r="T662" i="4"/>
  <c r="U661" i="4"/>
  <c r="T661" i="4" s="1"/>
  <c r="U660" i="4"/>
  <c r="T660" i="4" s="1"/>
  <c r="U659" i="4"/>
  <c r="T659" i="4" s="1"/>
  <c r="U658" i="4"/>
  <c r="T658" i="4" s="1"/>
  <c r="U657" i="4"/>
  <c r="T657" i="4" s="1"/>
  <c r="U656" i="4"/>
  <c r="T656" i="4" s="1"/>
  <c r="U655" i="4"/>
  <c r="T655" i="4" s="1"/>
  <c r="U654" i="4"/>
  <c r="T654" i="4" s="1"/>
  <c r="U653" i="4"/>
  <c r="T653" i="4" s="1"/>
  <c r="U652" i="4"/>
  <c r="T652" i="4" s="1"/>
  <c r="U651" i="4"/>
  <c r="T651" i="4" s="1"/>
  <c r="U650" i="4"/>
  <c r="T650" i="4"/>
  <c r="U649" i="4"/>
  <c r="T649" i="4" s="1"/>
  <c r="U648" i="4"/>
  <c r="T648" i="4" s="1"/>
  <c r="U647" i="4"/>
  <c r="T647" i="4" s="1"/>
  <c r="U646" i="4"/>
  <c r="T646" i="4"/>
  <c r="U645" i="4"/>
  <c r="T645" i="4" s="1"/>
  <c r="U644" i="4"/>
  <c r="T644" i="4" s="1"/>
  <c r="U643" i="4"/>
  <c r="T643" i="4" s="1"/>
  <c r="U642" i="4"/>
  <c r="T642" i="4" s="1"/>
  <c r="U641" i="4"/>
  <c r="T641" i="4" s="1"/>
  <c r="U640" i="4"/>
  <c r="T640" i="4" s="1"/>
  <c r="U639" i="4"/>
  <c r="T639" i="4" s="1"/>
  <c r="U638" i="4"/>
  <c r="T638" i="4" s="1"/>
  <c r="U637" i="4"/>
  <c r="T637" i="4" s="1"/>
  <c r="U636" i="4"/>
  <c r="T636" i="4" s="1"/>
  <c r="U635" i="4"/>
  <c r="T635" i="4" s="1"/>
  <c r="U634" i="4"/>
  <c r="T634" i="4"/>
  <c r="U633" i="4"/>
  <c r="T633" i="4" s="1"/>
  <c r="U632" i="4"/>
  <c r="T632" i="4" s="1"/>
  <c r="U631" i="4"/>
  <c r="T631" i="4" s="1"/>
  <c r="U630" i="4"/>
  <c r="T630" i="4"/>
  <c r="U629" i="4"/>
  <c r="T629" i="4" s="1"/>
  <c r="U628" i="4"/>
  <c r="T628" i="4" s="1"/>
  <c r="U627" i="4"/>
  <c r="T627" i="4" s="1"/>
  <c r="U626" i="4"/>
  <c r="T626" i="4" s="1"/>
  <c r="U625" i="4"/>
  <c r="T625" i="4" s="1"/>
  <c r="U624" i="4"/>
  <c r="T624" i="4" s="1"/>
  <c r="U623" i="4"/>
  <c r="T623" i="4" s="1"/>
  <c r="U622" i="4"/>
  <c r="T622" i="4" s="1"/>
  <c r="U621" i="4"/>
  <c r="T621" i="4" s="1"/>
  <c r="U620" i="4"/>
  <c r="T620" i="4" s="1"/>
  <c r="U619" i="4"/>
  <c r="T619" i="4" s="1"/>
  <c r="U618" i="4"/>
  <c r="T618" i="4"/>
  <c r="U617" i="4"/>
  <c r="T617" i="4" s="1"/>
  <c r="U616" i="4"/>
  <c r="T616" i="4" s="1"/>
  <c r="U615" i="4"/>
  <c r="T615" i="4" s="1"/>
  <c r="U614" i="4"/>
  <c r="T614" i="4"/>
  <c r="U613" i="4"/>
  <c r="T613" i="4" s="1"/>
  <c r="U612" i="4"/>
  <c r="T612" i="4" s="1"/>
  <c r="U611" i="4"/>
  <c r="T611" i="4" s="1"/>
  <c r="U610" i="4"/>
  <c r="T610" i="4" s="1"/>
  <c r="U609" i="4"/>
  <c r="T609" i="4" s="1"/>
  <c r="U608" i="4"/>
  <c r="T608" i="4" s="1"/>
  <c r="U607" i="4"/>
  <c r="T607" i="4" s="1"/>
  <c r="U606" i="4"/>
  <c r="T606" i="4" s="1"/>
  <c r="U605" i="4"/>
  <c r="T605" i="4" s="1"/>
  <c r="U604" i="4"/>
  <c r="T604" i="4" s="1"/>
  <c r="U603" i="4"/>
  <c r="T603" i="4" s="1"/>
  <c r="U602" i="4"/>
  <c r="T602" i="4"/>
  <c r="U601" i="4"/>
  <c r="T601" i="4" s="1"/>
  <c r="U600" i="4"/>
  <c r="T600" i="4" s="1"/>
  <c r="U599" i="4"/>
  <c r="T599" i="4" s="1"/>
  <c r="U598" i="4"/>
  <c r="T598" i="4"/>
  <c r="U597" i="4"/>
  <c r="T597" i="4" s="1"/>
  <c r="U596" i="4"/>
  <c r="T596" i="4" s="1"/>
  <c r="U595" i="4"/>
  <c r="T595" i="4" s="1"/>
  <c r="U594" i="4"/>
  <c r="T594" i="4" s="1"/>
  <c r="U593" i="4"/>
  <c r="T593" i="4" s="1"/>
  <c r="U592" i="4"/>
  <c r="T592" i="4" s="1"/>
  <c r="U591" i="4"/>
  <c r="T591" i="4" s="1"/>
  <c r="U590" i="4"/>
  <c r="T590" i="4" s="1"/>
  <c r="U589" i="4"/>
  <c r="T589" i="4" s="1"/>
  <c r="U588" i="4"/>
  <c r="T588" i="4" s="1"/>
  <c r="U587" i="4"/>
  <c r="T587" i="4" s="1"/>
  <c r="U586" i="4"/>
  <c r="T586" i="4"/>
  <c r="U585" i="4"/>
  <c r="T585" i="4" s="1"/>
  <c r="U584" i="4"/>
  <c r="T584" i="4" s="1"/>
  <c r="U583" i="4"/>
  <c r="T583" i="4" s="1"/>
  <c r="U582" i="4"/>
  <c r="T582" i="4"/>
  <c r="U581" i="4"/>
  <c r="T581" i="4" s="1"/>
  <c r="U580" i="4"/>
  <c r="T580" i="4" s="1"/>
  <c r="U579" i="4"/>
  <c r="T579" i="4" s="1"/>
  <c r="U578" i="4"/>
  <c r="T578" i="4" s="1"/>
  <c r="U577" i="4"/>
  <c r="T577" i="4" s="1"/>
  <c r="U576" i="4"/>
  <c r="T576" i="4" s="1"/>
  <c r="U575" i="4"/>
  <c r="T575" i="4" s="1"/>
  <c r="U574" i="4"/>
  <c r="T574" i="4" s="1"/>
  <c r="U573" i="4"/>
  <c r="T573" i="4" s="1"/>
  <c r="U572" i="4"/>
  <c r="T572" i="4" s="1"/>
  <c r="U571" i="4"/>
  <c r="T571" i="4" s="1"/>
  <c r="U570" i="4"/>
  <c r="T570" i="4"/>
  <c r="U569" i="4"/>
  <c r="T569" i="4" s="1"/>
  <c r="U568" i="4"/>
  <c r="T568" i="4" s="1"/>
  <c r="U567" i="4"/>
  <c r="T567" i="4" s="1"/>
  <c r="U566" i="4"/>
  <c r="T566" i="4"/>
  <c r="U565" i="4"/>
  <c r="T565" i="4" s="1"/>
  <c r="U564" i="4"/>
  <c r="T564" i="4" s="1"/>
  <c r="U563" i="4"/>
  <c r="T563" i="4" s="1"/>
  <c r="U562" i="4"/>
  <c r="T562" i="4" s="1"/>
  <c r="U561" i="4"/>
  <c r="T561" i="4" s="1"/>
  <c r="U560" i="4"/>
  <c r="T560" i="4" s="1"/>
  <c r="U559" i="4"/>
  <c r="T559" i="4" s="1"/>
  <c r="U558" i="4"/>
  <c r="T558" i="4" s="1"/>
  <c r="U557" i="4"/>
  <c r="T557" i="4" s="1"/>
  <c r="U556" i="4"/>
  <c r="T556" i="4" s="1"/>
  <c r="U555" i="4"/>
  <c r="T555" i="4" s="1"/>
  <c r="U554" i="4"/>
  <c r="T554" i="4"/>
  <c r="U553" i="4"/>
  <c r="T553" i="4" s="1"/>
  <c r="U552" i="4"/>
  <c r="T552" i="4" s="1"/>
  <c r="U551" i="4"/>
  <c r="T551" i="4" s="1"/>
  <c r="U550" i="4"/>
  <c r="T550" i="4"/>
  <c r="U549" i="4"/>
  <c r="T549" i="4" s="1"/>
  <c r="U548" i="4"/>
  <c r="T548" i="4" s="1"/>
  <c r="U547" i="4"/>
  <c r="T547" i="4" s="1"/>
  <c r="U546" i="4"/>
  <c r="T546" i="4" s="1"/>
  <c r="U545" i="4"/>
  <c r="T545" i="4" s="1"/>
  <c r="U544" i="4"/>
  <c r="T544" i="4" s="1"/>
  <c r="U543" i="4"/>
  <c r="T543" i="4" s="1"/>
  <c r="U542" i="4"/>
  <c r="T542" i="4" s="1"/>
  <c r="U541" i="4"/>
  <c r="T541" i="4" s="1"/>
  <c r="U540" i="4"/>
  <c r="T540" i="4" s="1"/>
  <c r="U539" i="4"/>
  <c r="T539" i="4" s="1"/>
  <c r="U538" i="4"/>
  <c r="T538" i="4"/>
  <c r="U537" i="4"/>
  <c r="T537" i="4" s="1"/>
  <c r="U536" i="4"/>
  <c r="T536" i="4" s="1"/>
  <c r="U535" i="4"/>
  <c r="T535" i="4" s="1"/>
  <c r="U534" i="4"/>
  <c r="T534" i="4"/>
  <c r="U533" i="4"/>
  <c r="T533" i="4" s="1"/>
  <c r="U532" i="4"/>
  <c r="T532" i="4" s="1"/>
  <c r="U531" i="4"/>
  <c r="T531" i="4" s="1"/>
  <c r="U530" i="4"/>
  <c r="T530" i="4" s="1"/>
  <c r="U529" i="4"/>
  <c r="T529" i="4" s="1"/>
  <c r="U528" i="4"/>
  <c r="T528" i="4" s="1"/>
  <c r="U527" i="4"/>
  <c r="T527" i="4" s="1"/>
  <c r="U526" i="4"/>
  <c r="T526" i="4" s="1"/>
  <c r="U525" i="4"/>
  <c r="T525" i="4" s="1"/>
  <c r="U524" i="4"/>
  <c r="T524" i="4" s="1"/>
  <c r="U523" i="4"/>
  <c r="T523" i="4" s="1"/>
  <c r="U522" i="4"/>
  <c r="T522" i="4" s="1"/>
  <c r="U521" i="4"/>
  <c r="T521" i="4" s="1"/>
  <c r="U520" i="4"/>
  <c r="T520" i="4" s="1"/>
  <c r="U519" i="4"/>
  <c r="T519" i="4" s="1"/>
  <c r="U518" i="4"/>
  <c r="T518" i="4"/>
  <c r="U517" i="4"/>
  <c r="T517" i="4" s="1"/>
  <c r="U516" i="4"/>
  <c r="T516" i="4" s="1"/>
  <c r="U515" i="4"/>
  <c r="T515" i="4" s="1"/>
  <c r="U514" i="4"/>
  <c r="T514" i="4" s="1"/>
  <c r="U513" i="4"/>
  <c r="T513" i="4" s="1"/>
  <c r="U512" i="4"/>
  <c r="T512" i="4" s="1"/>
  <c r="U511" i="4"/>
  <c r="T511" i="4" s="1"/>
  <c r="U510" i="4"/>
  <c r="T510" i="4" s="1"/>
  <c r="U509" i="4"/>
  <c r="T509" i="4" s="1"/>
  <c r="U508" i="4"/>
  <c r="T508" i="4" s="1"/>
  <c r="U507" i="4"/>
  <c r="T507" i="4" s="1"/>
  <c r="U506" i="4"/>
  <c r="T506" i="4"/>
  <c r="U505" i="4"/>
  <c r="T505" i="4" s="1"/>
  <c r="U504" i="4"/>
  <c r="T504" i="4" s="1"/>
  <c r="U503" i="4"/>
  <c r="T503" i="4" s="1"/>
  <c r="U502" i="4"/>
  <c r="T502" i="4"/>
  <c r="U501" i="4"/>
  <c r="T501" i="4" s="1"/>
  <c r="U500" i="4"/>
  <c r="T500" i="4" s="1"/>
  <c r="U499" i="4"/>
  <c r="T499" i="4" s="1"/>
  <c r="U498" i="4"/>
  <c r="T498" i="4" s="1"/>
  <c r="U497" i="4"/>
  <c r="T497" i="4" s="1"/>
  <c r="U496" i="4"/>
  <c r="T496" i="4" s="1"/>
  <c r="U495" i="4"/>
  <c r="T495" i="4" s="1"/>
  <c r="U494" i="4"/>
  <c r="T494" i="4" s="1"/>
  <c r="U493" i="4"/>
  <c r="T493" i="4" s="1"/>
  <c r="U492" i="4"/>
  <c r="T492" i="4" s="1"/>
  <c r="U491" i="4"/>
  <c r="T491" i="4" s="1"/>
  <c r="U490" i="4"/>
  <c r="T490" i="4"/>
  <c r="U489" i="4"/>
  <c r="T489" i="4" s="1"/>
  <c r="U488" i="4"/>
  <c r="T488" i="4" s="1"/>
  <c r="U487" i="4"/>
  <c r="T487" i="4" s="1"/>
  <c r="U486" i="4"/>
  <c r="T486" i="4"/>
  <c r="U485" i="4"/>
  <c r="T485" i="4" s="1"/>
  <c r="U484" i="4"/>
  <c r="T484" i="4" s="1"/>
  <c r="U483" i="4"/>
  <c r="T483" i="4" s="1"/>
  <c r="U482" i="4"/>
  <c r="T482" i="4" s="1"/>
  <c r="U481" i="4"/>
  <c r="T481" i="4" s="1"/>
  <c r="U480" i="4"/>
  <c r="T480" i="4" s="1"/>
  <c r="U479" i="4"/>
  <c r="T479" i="4" s="1"/>
  <c r="U478" i="4"/>
  <c r="T478" i="4" s="1"/>
  <c r="U477" i="4"/>
  <c r="T477" i="4" s="1"/>
  <c r="U476" i="4"/>
  <c r="T476" i="4" s="1"/>
  <c r="U475" i="4"/>
  <c r="T475" i="4" s="1"/>
  <c r="U474" i="4"/>
  <c r="T474" i="4" s="1"/>
  <c r="U473" i="4"/>
  <c r="T473" i="4" s="1"/>
  <c r="U472" i="4"/>
  <c r="T472" i="4" s="1"/>
  <c r="U471" i="4"/>
  <c r="T471" i="4" s="1"/>
  <c r="U470" i="4"/>
  <c r="T470" i="4"/>
  <c r="U469" i="4"/>
  <c r="T469" i="4" s="1"/>
  <c r="U468" i="4"/>
  <c r="T468" i="4" s="1"/>
  <c r="U467" i="4"/>
  <c r="T467" i="4" s="1"/>
  <c r="U466" i="4"/>
  <c r="T466" i="4" s="1"/>
  <c r="U465" i="4"/>
  <c r="T465" i="4" s="1"/>
  <c r="U464" i="4"/>
  <c r="T464" i="4" s="1"/>
  <c r="U463" i="4"/>
  <c r="T463" i="4" s="1"/>
  <c r="U462" i="4"/>
  <c r="T462" i="4" s="1"/>
  <c r="U461" i="4"/>
  <c r="T461" i="4" s="1"/>
  <c r="U460" i="4"/>
  <c r="T460" i="4" s="1"/>
  <c r="U459" i="4"/>
  <c r="T459" i="4" s="1"/>
  <c r="U458" i="4"/>
  <c r="T458" i="4" s="1"/>
  <c r="U457" i="4"/>
  <c r="T457" i="4" s="1"/>
  <c r="U456" i="4"/>
  <c r="T456" i="4" s="1"/>
  <c r="U455" i="4"/>
  <c r="T455" i="4" s="1"/>
  <c r="U454" i="4"/>
  <c r="T454" i="4"/>
  <c r="U453" i="4"/>
  <c r="T453" i="4" s="1"/>
  <c r="U452" i="4"/>
  <c r="T452" i="4" s="1"/>
  <c r="U451" i="4"/>
  <c r="T451" i="4" s="1"/>
  <c r="U450" i="4"/>
  <c r="T450" i="4" s="1"/>
  <c r="U449" i="4"/>
  <c r="T449" i="4" s="1"/>
  <c r="U448" i="4"/>
  <c r="T448" i="4" s="1"/>
  <c r="U447" i="4"/>
  <c r="T447" i="4" s="1"/>
  <c r="U446" i="4"/>
  <c r="T446" i="4" s="1"/>
  <c r="U445" i="4"/>
  <c r="T445" i="4" s="1"/>
  <c r="U444" i="4"/>
  <c r="T444" i="4" s="1"/>
  <c r="U443" i="4"/>
  <c r="T443" i="4" s="1"/>
  <c r="U442" i="4"/>
  <c r="T442" i="4" s="1"/>
  <c r="U441" i="4"/>
  <c r="T441" i="4" s="1"/>
  <c r="U440" i="4"/>
  <c r="T440" i="4" s="1"/>
  <c r="U439" i="4"/>
  <c r="T439" i="4" s="1"/>
  <c r="U438" i="4"/>
  <c r="T438" i="4"/>
  <c r="U437" i="4"/>
  <c r="T437" i="4" s="1"/>
  <c r="U436" i="4"/>
  <c r="T436" i="4" s="1"/>
  <c r="U435" i="4"/>
  <c r="T435" i="4" s="1"/>
  <c r="U434" i="4"/>
  <c r="T434" i="4" s="1"/>
  <c r="U433" i="4"/>
  <c r="T433" i="4" s="1"/>
  <c r="U432" i="4"/>
  <c r="T432" i="4" s="1"/>
  <c r="U431" i="4"/>
  <c r="T431" i="4" s="1"/>
  <c r="U430" i="4"/>
  <c r="T430" i="4" s="1"/>
  <c r="U429" i="4"/>
  <c r="T429" i="4" s="1"/>
  <c r="U428" i="4"/>
  <c r="T428" i="4" s="1"/>
  <c r="U427" i="4"/>
  <c r="T427" i="4" s="1"/>
  <c r="U426" i="4"/>
  <c r="T426" i="4" s="1"/>
  <c r="U425" i="4"/>
  <c r="T425" i="4" s="1"/>
  <c r="U424" i="4"/>
  <c r="T424" i="4" s="1"/>
  <c r="U423" i="4"/>
  <c r="T423" i="4" s="1"/>
  <c r="U422" i="4"/>
  <c r="T422" i="4"/>
  <c r="U421" i="4"/>
  <c r="T421" i="4" s="1"/>
  <c r="U420" i="4"/>
  <c r="T420" i="4" s="1"/>
  <c r="U419" i="4"/>
  <c r="T419" i="4" s="1"/>
  <c r="U418" i="4"/>
  <c r="T418" i="4" s="1"/>
  <c r="U417" i="4"/>
  <c r="T417" i="4" s="1"/>
  <c r="U416" i="4"/>
  <c r="T416" i="4" s="1"/>
  <c r="U415" i="4"/>
  <c r="T415" i="4" s="1"/>
  <c r="U414" i="4"/>
  <c r="T414" i="4" s="1"/>
  <c r="U413" i="4"/>
  <c r="T413" i="4" s="1"/>
  <c r="U412" i="4"/>
  <c r="T412" i="4" s="1"/>
  <c r="U411" i="4"/>
  <c r="T411" i="4" s="1"/>
  <c r="U410" i="4"/>
  <c r="T410" i="4"/>
  <c r="U409" i="4"/>
  <c r="T409" i="4" s="1"/>
  <c r="U408" i="4"/>
  <c r="T408" i="4" s="1"/>
  <c r="U407" i="4"/>
  <c r="T407" i="4" s="1"/>
  <c r="U406" i="4"/>
  <c r="T406" i="4"/>
  <c r="U405" i="4"/>
  <c r="T405" i="4" s="1"/>
  <c r="U404" i="4"/>
  <c r="T404" i="4" s="1"/>
  <c r="U403" i="4"/>
  <c r="T403" i="4" s="1"/>
  <c r="U402" i="4"/>
  <c r="T402" i="4" s="1"/>
  <c r="U401" i="4"/>
  <c r="T401" i="4" s="1"/>
  <c r="U400" i="4"/>
  <c r="T400" i="4" s="1"/>
  <c r="U399" i="4"/>
  <c r="T399" i="4" s="1"/>
  <c r="U398" i="4"/>
  <c r="T398" i="4" s="1"/>
  <c r="U397" i="4"/>
  <c r="T397" i="4" s="1"/>
  <c r="U396" i="4"/>
  <c r="T396" i="4" s="1"/>
  <c r="U395" i="4"/>
  <c r="T395" i="4" s="1"/>
  <c r="U394" i="4"/>
  <c r="T394" i="4" s="1"/>
  <c r="U393" i="4"/>
  <c r="T393" i="4" s="1"/>
  <c r="U392" i="4"/>
  <c r="T392" i="4" s="1"/>
  <c r="U391" i="4"/>
  <c r="T391" i="4" s="1"/>
  <c r="U390" i="4"/>
  <c r="T390" i="4"/>
  <c r="U389" i="4"/>
  <c r="T389" i="4" s="1"/>
  <c r="U388" i="4"/>
  <c r="T388" i="4" s="1"/>
  <c r="U387" i="4"/>
  <c r="T387" i="4" s="1"/>
  <c r="U386" i="4"/>
  <c r="T386" i="4" s="1"/>
  <c r="U385" i="4"/>
  <c r="T385" i="4" s="1"/>
  <c r="U384" i="4"/>
  <c r="T384" i="4" s="1"/>
  <c r="U383" i="4"/>
  <c r="T383" i="4" s="1"/>
  <c r="U382" i="4"/>
  <c r="T382" i="4" s="1"/>
  <c r="U381" i="4"/>
  <c r="T381" i="4" s="1"/>
  <c r="U380" i="4"/>
  <c r="T380" i="4" s="1"/>
  <c r="U379" i="4"/>
  <c r="T379" i="4" s="1"/>
  <c r="U378" i="4"/>
  <c r="T378" i="4" s="1"/>
  <c r="U377" i="4"/>
  <c r="T377" i="4" s="1"/>
  <c r="U376" i="4"/>
  <c r="T376" i="4" s="1"/>
  <c r="U375" i="4"/>
  <c r="T375" i="4" s="1"/>
  <c r="U374" i="4"/>
  <c r="T374" i="4"/>
  <c r="U373" i="4"/>
  <c r="T373" i="4" s="1"/>
  <c r="U372" i="4"/>
  <c r="T372" i="4" s="1"/>
  <c r="U371" i="4"/>
  <c r="T371" i="4" s="1"/>
  <c r="U370" i="4"/>
  <c r="T370" i="4" s="1"/>
  <c r="U369" i="4"/>
  <c r="T369" i="4" s="1"/>
  <c r="U368" i="4"/>
  <c r="T368" i="4" s="1"/>
  <c r="U367" i="4"/>
  <c r="T367" i="4" s="1"/>
  <c r="U366" i="4"/>
  <c r="T366" i="4" s="1"/>
  <c r="U365" i="4"/>
  <c r="T365" i="4" s="1"/>
  <c r="U364" i="4"/>
  <c r="T364" i="4" s="1"/>
  <c r="U363" i="4"/>
  <c r="T363" i="4" s="1"/>
  <c r="U362" i="4"/>
  <c r="T362" i="4" s="1"/>
  <c r="U361" i="4"/>
  <c r="T361" i="4" s="1"/>
  <c r="U360" i="4"/>
  <c r="T360" i="4" s="1"/>
  <c r="U359" i="4"/>
  <c r="T359" i="4" s="1"/>
  <c r="U358" i="4"/>
  <c r="T358" i="4"/>
  <c r="U357" i="4"/>
  <c r="T357" i="4" s="1"/>
  <c r="U356" i="4"/>
  <c r="T356" i="4" s="1"/>
  <c r="U355" i="4"/>
  <c r="T355" i="4" s="1"/>
  <c r="U354" i="4"/>
  <c r="T354" i="4" s="1"/>
  <c r="U353" i="4"/>
  <c r="T353" i="4" s="1"/>
  <c r="U352" i="4"/>
  <c r="T352" i="4" s="1"/>
  <c r="U351" i="4"/>
  <c r="T351" i="4" s="1"/>
  <c r="U350" i="4"/>
  <c r="T350" i="4" s="1"/>
  <c r="U349" i="4"/>
  <c r="T349" i="4" s="1"/>
  <c r="U348" i="4"/>
  <c r="T348" i="4" s="1"/>
  <c r="U347" i="4"/>
  <c r="T347" i="4" s="1"/>
  <c r="U346" i="4"/>
  <c r="T346" i="4"/>
  <c r="U345" i="4"/>
  <c r="T345" i="4" s="1"/>
  <c r="U344" i="4"/>
  <c r="T344" i="4" s="1"/>
  <c r="U343" i="4"/>
  <c r="T343" i="4" s="1"/>
  <c r="U342" i="4"/>
  <c r="T342" i="4"/>
  <c r="U341" i="4"/>
  <c r="T341" i="4" s="1"/>
  <c r="U340" i="4"/>
  <c r="T340" i="4" s="1"/>
  <c r="U339" i="4"/>
  <c r="T339" i="4" s="1"/>
  <c r="U338" i="4"/>
  <c r="T338" i="4" s="1"/>
  <c r="U337" i="4"/>
  <c r="T337" i="4" s="1"/>
  <c r="U336" i="4"/>
  <c r="T336" i="4" s="1"/>
  <c r="U335" i="4"/>
  <c r="T335" i="4" s="1"/>
  <c r="U334" i="4"/>
  <c r="T334" i="4" s="1"/>
  <c r="U333" i="4"/>
  <c r="T333" i="4" s="1"/>
  <c r="U332" i="4"/>
  <c r="T332" i="4" s="1"/>
  <c r="U331" i="4"/>
  <c r="T331" i="4" s="1"/>
  <c r="U330" i="4"/>
  <c r="T330" i="4"/>
  <c r="U329" i="4"/>
  <c r="T329" i="4" s="1"/>
  <c r="U328" i="4"/>
  <c r="T328" i="4" s="1"/>
  <c r="U327" i="4"/>
  <c r="T327" i="4" s="1"/>
  <c r="U326" i="4"/>
  <c r="T326" i="4"/>
  <c r="U325" i="4"/>
  <c r="T325" i="4" s="1"/>
  <c r="U324" i="4"/>
  <c r="T324" i="4" s="1"/>
  <c r="U323" i="4"/>
  <c r="T323" i="4" s="1"/>
  <c r="U322" i="4"/>
  <c r="T322" i="4" s="1"/>
  <c r="U321" i="4"/>
  <c r="T321" i="4" s="1"/>
  <c r="U320" i="4"/>
  <c r="T320" i="4" s="1"/>
  <c r="U319" i="4"/>
  <c r="T319" i="4" s="1"/>
  <c r="U318" i="4"/>
  <c r="T318" i="4" s="1"/>
  <c r="U317" i="4"/>
  <c r="T317" i="4" s="1"/>
  <c r="U316" i="4"/>
  <c r="T316" i="4" s="1"/>
  <c r="U315" i="4"/>
  <c r="T315" i="4" s="1"/>
  <c r="U314" i="4"/>
  <c r="T314" i="4"/>
  <c r="U313" i="4"/>
  <c r="T313" i="4" s="1"/>
  <c r="U312" i="4"/>
  <c r="T312" i="4" s="1"/>
  <c r="U311" i="4"/>
  <c r="T311" i="4" s="1"/>
  <c r="U310" i="4"/>
  <c r="T310" i="4"/>
  <c r="U309" i="4"/>
  <c r="T309" i="4" s="1"/>
  <c r="U308" i="4"/>
  <c r="T308" i="4" s="1"/>
  <c r="U307" i="4"/>
  <c r="T307" i="4" s="1"/>
  <c r="U306" i="4"/>
  <c r="T306" i="4" s="1"/>
  <c r="U305" i="4"/>
  <c r="T305" i="4" s="1"/>
  <c r="U304" i="4"/>
  <c r="T304" i="4" s="1"/>
  <c r="U303" i="4"/>
  <c r="T303" i="4" s="1"/>
  <c r="U302" i="4"/>
  <c r="T302" i="4" s="1"/>
  <c r="U301" i="4"/>
  <c r="T301" i="4" s="1"/>
  <c r="U300" i="4"/>
  <c r="T300" i="4" s="1"/>
  <c r="U299" i="4"/>
  <c r="T299" i="4" s="1"/>
  <c r="U298" i="4"/>
  <c r="T298" i="4"/>
  <c r="U297" i="4"/>
  <c r="T297" i="4" s="1"/>
  <c r="U296" i="4"/>
  <c r="T296" i="4" s="1"/>
  <c r="U295" i="4"/>
  <c r="T295" i="4" s="1"/>
  <c r="U294" i="4"/>
  <c r="T294" i="4"/>
  <c r="U293" i="4"/>
  <c r="T293" i="4" s="1"/>
  <c r="U292" i="4"/>
  <c r="T292" i="4" s="1"/>
  <c r="U291" i="4"/>
  <c r="T291" i="4" s="1"/>
  <c r="U290" i="4"/>
  <c r="T290" i="4" s="1"/>
  <c r="U289" i="4"/>
  <c r="T289" i="4" s="1"/>
  <c r="U288" i="4"/>
  <c r="T288" i="4" s="1"/>
  <c r="U287" i="4"/>
  <c r="T287" i="4" s="1"/>
  <c r="U286" i="4"/>
  <c r="T286" i="4" s="1"/>
  <c r="U285" i="4"/>
  <c r="T285" i="4" s="1"/>
  <c r="U284" i="4"/>
  <c r="T284" i="4" s="1"/>
  <c r="U283" i="4"/>
  <c r="T283" i="4" s="1"/>
  <c r="U282" i="4"/>
  <c r="T282" i="4"/>
  <c r="U281" i="4"/>
  <c r="T281" i="4" s="1"/>
  <c r="U280" i="4"/>
  <c r="T280" i="4" s="1"/>
  <c r="U279" i="4"/>
  <c r="T279" i="4" s="1"/>
  <c r="U278" i="4"/>
  <c r="T278" i="4"/>
  <c r="U277" i="4"/>
  <c r="T277" i="4" s="1"/>
  <c r="U276" i="4"/>
  <c r="T276" i="4" s="1"/>
  <c r="U275" i="4"/>
  <c r="T275" i="4" s="1"/>
  <c r="U274" i="4"/>
  <c r="T274" i="4" s="1"/>
  <c r="U273" i="4"/>
  <c r="T273" i="4" s="1"/>
  <c r="U272" i="4"/>
  <c r="T272" i="4" s="1"/>
  <c r="U271" i="4"/>
  <c r="T271" i="4" s="1"/>
  <c r="U270" i="4"/>
  <c r="T270" i="4" s="1"/>
  <c r="U269" i="4"/>
  <c r="T269" i="4" s="1"/>
  <c r="U268" i="4"/>
  <c r="T268" i="4" s="1"/>
  <c r="U267" i="4"/>
  <c r="T267" i="4" s="1"/>
  <c r="U266" i="4"/>
  <c r="T266" i="4"/>
  <c r="U265" i="4"/>
  <c r="T265" i="4" s="1"/>
  <c r="U264" i="4"/>
  <c r="T264" i="4" s="1"/>
  <c r="U263" i="4"/>
  <c r="T263" i="4" s="1"/>
  <c r="U262" i="4"/>
  <c r="T262" i="4"/>
  <c r="U261" i="4"/>
  <c r="T261" i="4" s="1"/>
  <c r="U260" i="4"/>
  <c r="T260" i="4" s="1"/>
  <c r="U259" i="4"/>
  <c r="T259" i="4" s="1"/>
  <c r="U258" i="4"/>
  <c r="T258" i="4" s="1"/>
  <c r="U257" i="4"/>
  <c r="T257" i="4" s="1"/>
  <c r="U256" i="4"/>
  <c r="T256" i="4" s="1"/>
  <c r="U255" i="4"/>
  <c r="T255" i="4" s="1"/>
  <c r="U254" i="4"/>
  <c r="T254" i="4" s="1"/>
  <c r="U253" i="4"/>
  <c r="T253" i="4" s="1"/>
  <c r="U252" i="4"/>
  <c r="T252" i="4" s="1"/>
  <c r="U251" i="4"/>
  <c r="T251" i="4" s="1"/>
  <c r="U250" i="4"/>
  <c r="T250" i="4"/>
  <c r="U249" i="4"/>
  <c r="T249" i="4" s="1"/>
  <c r="U248" i="4"/>
  <c r="T248" i="4" s="1"/>
  <c r="U247" i="4"/>
  <c r="T247" i="4" s="1"/>
  <c r="U246" i="4"/>
  <c r="T246" i="4"/>
  <c r="U245" i="4"/>
  <c r="T245" i="4" s="1"/>
  <c r="U244" i="4"/>
  <c r="T244" i="4" s="1"/>
  <c r="U243" i="4"/>
  <c r="T243" i="4" s="1"/>
  <c r="U242" i="4"/>
  <c r="T242" i="4" s="1"/>
  <c r="U241" i="4"/>
  <c r="T241" i="4" s="1"/>
  <c r="U240" i="4"/>
  <c r="T240" i="4" s="1"/>
  <c r="U239" i="4"/>
  <c r="T239" i="4" s="1"/>
  <c r="U238" i="4"/>
  <c r="T238" i="4" s="1"/>
  <c r="U237" i="4"/>
  <c r="T237" i="4" s="1"/>
  <c r="U236" i="4"/>
  <c r="T236" i="4" s="1"/>
  <c r="U235" i="4"/>
  <c r="T235" i="4" s="1"/>
  <c r="U234" i="4"/>
  <c r="T234" i="4" s="1"/>
  <c r="U233" i="4"/>
  <c r="T233" i="4" s="1"/>
  <c r="U232" i="4"/>
  <c r="T232" i="4" s="1"/>
  <c r="U231" i="4"/>
  <c r="T231" i="4" s="1"/>
  <c r="U230" i="4"/>
  <c r="T230" i="4" s="1"/>
  <c r="U229" i="4"/>
  <c r="T229" i="4" s="1"/>
  <c r="U228" i="4"/>
  <c r="T228" i="4" s="1"/>
  <c r="U227" i="4"/>
  <c r="T227" i="4" s="1"/>
  <c r="U226" i="4"/>
  <c r="T226" i="4" s="1"/>
  <c r="U225" i="4"/>
  <c r="T225" i="4" s="1"/>
  <c r="U224" i="4"/>
  <c r="T224" i="4" s="1"/>
  <c r="U223" i="4"/>
  <c r="T223" i="4" s="1"/>
  <c r="U222" i="4"/>
  <c r="T222" i="4" s="1"/>
  <c r="U221" i="4"/>
  <c r="T221" i="4" s="1"/>
  <c r="U220" i="4"/>
  <c r="T220" i="4" s="1"/>
  <c r="U219" i="4"/>
  <c r="T219" i="4" s="1"/>
  <c r="U218" i="4"/>
  <c r="T218" i="4" s="1"/>
  <c r="U217" i="4"/>
  <c r="T217" i="4" s="1"/>
  <c r="U216" i="4"/>
  <c r="T216" i="4" s="1"/>
  <c r="U215" i="4"/>
  <c r="T215" i="4" s="1"/>
  <c r="U214" i="4"/>
  <c r="T214" i="4" s="1"/>
  <c r="U213" i="4"/>
  <c r="T213" i="4" s="1"/>
  <c r="U212" i="4"/>
  <c r="T212" i="4"/>
  <c r="U211" i="4"/>
  <c r="T211" i="4" s="1"/>
  <c r="U210" i="4"/>
  <c r="T210" i="4" s="1"/>
  <c r="U209" i="4"/>
  <c r="T209" i="4" s="1"/>
  <c r="U208" i="4"/>
  <c r="T208" i="4" s="1"/>
  <c r="U207" i="4"/>
  <c r="T207" i="4" s="1"/>
  <c r="U206" i="4"/>
  <c r="T206" i="4" s="1"/>
  <c r="U205" i="4"/>
  <c r="T205" i="4" s="1"/>
  <c r="U204" i="4"/>
  <c r="T204" i="4"/>
  <c r="U203" i="4"/>
  <c r="T203" i="4" s="1"/>
  <c r="U202" i="4"/>
  <c r="T202" i="4" s="1"/>
  <c r="U201" i="4"/>
  <c r="T201" i="4" s="1"/>
  <c r="U200" i="4"/>
  <c r="T200" i="4" s="1"/>
  <c r="U199" i="4"/>
  <c r="T199" i="4" s="1"/>
  <c r="U198" i="4"/>
  <c r="T198" i="4" s="1"/>
  <c r="U197" i="4"/>
  <c r="T197" i="4" s="1"/>
  <c r="U196" i="4"/>
  <c r="T196" i="4"/>
  <c r="U195" i="4"/>
  <c r="T195" i="4" s="1"/>
  <c r="U194" i="4"/>
  <c r="T194" i="4" s="1"/>
  <c r="U193" i="4"/>
  <c r="T193" i="4" s="1"/>
  <c r="U192" i="4"/>
  <c r="T192" i="4" s="1"/>
  <c r="U191" i="4"/>
  <c r="T191" i="4" s="1"/>
  <c r="U190" i="4"/>
  <c r="T190" i="4" s="1"/>
  <c r="U189" i="4"/>
  <c r="T189" i="4" s="1"/>
  <c r="U188" i="4"/>
  <c r="T188" i="4"/>
  <c r="U187" i="4"/>
  <c r="T187" i="4" s="1"/>
  <c r="U186" i="4"/>
  <c r="T186" i="4" s="1"/>
  <c r="U185" i="4"/>
  <c r="T185" i="4" s="1"/>
  <c r="U184" i="4"/>
  <c r="T184" i="4" s="1"/>
  <c r="U183" i="4"/>
  <c r="T183" i="4" s="1"/>
  <c r="U182" i="4"/>
  <c r="T182" i="4" s="1"/>
  <c r="U181" i="4"/>
  <c r="T181" i="4" s="1"/>
  <c r="U180" i="4"/>
  <c r="T180" i="4"/>
  <c r="U179" i="4"/>
  <c r="T179" i="4" s="1"/>
  <c r="U178" i="4"/>
  <c r="T178" i="4" s="1"/>
  <c r="U177" i="4"/>
  <c r="T177" i="4" s="1"/>
  <c r="U176" i="4"/>
  <c r="T176" i="4" s="1"/>
  <c r="U175" i="4"/>
  <c r="T175" i="4" s="1"/>
  <c r="U174" i="4"/>
  <c r="T174" i="4" s="1"/>
  <c r="U173" i="4"/>
  <c r="T173" i="4" s="1"/>
  <c r="U172" i="4"/>
  <c r="T172" i="4"/>
  <c r="U171" i="4"/>
  <c r="T171" i="4" s="1"/>
  <c r="U170" i="4"/>
  <c r="T170" i="4" s="1"/>
  <c r="U169" i="4"/>
  <c r="T169" i="4" s="1"/>
  <c r="U168" i="4"/>
  <c r="T168" i="4" s="1"/>
  <c r="U167" i="4"/>
  <c r="T167" i="4" s="1"/>
  <c r="U166" i="4"/>
  <c r="T166" i="4" s="1"/>
  <c r="U165" i="4"/>
  <c r="T165" i="4" s="1"/>
  <c r="U164" i="4"/>
  <c r="T164" i="4"/>
  <c r="U163" i="4"/>
  <c r="T163" i="4" s="1"/>
  <c r="U162" i="4"/>
  <c r="T162" i="4" s="1"/>
  <c r="U161" i="4"/>
  <c r="T161" i="4" s="1"/>
  <c r="U160" i="4"/>
  <c r="T160" i="4" s="1"/>
  <c r="U159" i="4"/>
  <c r="T159" i="4" s="1"/>
  <c r="U158" i="4"/>
  <c r="T158" i="4" s="1"/>
  <c r="U157" i="4"/>
  <c r="T157" i="4" s="1"/>
  <c r="U156" i="4"/>
  <c r="T156" i="4"/>
  <c r="U155" i="4"/>
  <c r="T155" i="4" s="1"/>
  <c r="U154" i="4"/>
  <c r="T154" i="4" s="1"/>
  <c r="U153" i="4"/>
  <c r="T153" i="4" s="1"/>
  <c r="U152" i="4"/>
  <c r="T152" i="4" s="1"/>
  <c r="U151" i="4"/>
  <c r="T151" i="4" s="1"/>
  <c r="U150" i="4"/>
  <c r="T150" i="4" s="1"/>
  <c r="U149" i="4"/>
  <c r="T149" i="4" s="1"/>
  <c r="U148" i="4"/>
  <c r="T148" i="4"/>
  <c r="U147" i="4"/>
  <c r="T147" i="4" s="1"/>
  <c r="U146" i="4"/>
  <c r="T146" i="4" s="1"/>
  <c r="U145" i="4"/>
  <c r="T145" i="4" s="1"/>
  <c r="U144" i="4"/>
  <c r="T144" i="4" s="1"/>
  <c r="U143" i="4"/>
  <c r="T143" i="4" s="1"/>
  <c r="U142" i="4"/>
  <c r="T142" i="4" s="1"/>
  <c r="U141" i="4"/>
  <c r="T141" i="4" s="1"/>
  <c r="U140" i="4"/>
  <c r="T140" i="4"/>
  <c r="U139" i="4"/>
  <c r="T139" i="4" s="1"/>
  <c r="U138" i="4"/>
  <c r="T138" i="4" s="1"/>
  <c r="U137" i="4"/>
  <c r="T137" i="4" s="1"/>
  <c r="U136" i="4"/>
  <c r="T136" i="4" s="1"/>
  <c r="U135" i="4"/>
  <c r="T135" i="4" s="1"/>
  <c r="U134" i="4"/>
  <c r="T134" i="4" s="1"/>
  <c r="U133" i="4"/>
  <c r="T133" i="4" s="1"/>
  <c r="U132" i="4"/>
  <c r="T132" i="4"/>
  <c r="U131" i="4"/>
  <c r="T131" i="4" s="1"/>
  <c r="U130" i="4"/>
  <c r="T130" i="4" s="1"/>
  <c r="U129" i="4"/>
  <c r="T129" i="4" s="1"/>
  <c r="U128" i="4"/>
  <c r="T128" i="4" s="1"/>
  <c r="U127" i="4"/>
  <c r="T127" i="4" s="1"/>
  <c r="U126" i="4"/>
  <c r="T126" i="4" s="1"/>
  <c r="U125" i="4"/>
  <c r="T125" i="4" s="1"/>
  <c r="U124" i="4"/>
  <c r="T124" i="4"/>
  <c r="U123" i="4"/>
  <c r="T123" i="4" s="1"/>
  <c r="U122" i="4"/>
  <c r="T122" i="4"/>
  <c r="U121" i="4"/>
  <c r="T121" i="4" s="1"/>
  <c r="U120" i="4"/>
  <c r="T120" i="4" s="1"/>
  <c r="U119" i="4"/>
  <c r="T119" i="4" s="1"/>
  <c r="U118" i="4"/>
  <c r="T118" i="4" s="1"/>
  <c r="U117" i="4"/>
  <c r="T117" i="4" s="1"/>
  <c r="U116" i="4"/>
  <c r="T116" i="4" s="1"/>
  <c r="U115" i="4"/>
  <c r="T115" i="4" s="1"/>
  <c r="U114" i="4"/>
  <c r="T114" i="4" s="1"/>
  <c r="U113" i="4"/>
  <c r="T113" i="4" s="1"/>
  <c r="U112" i="4"/>
  <c r="T112" i="4" s="1"/>
  <c r="U111" i="4"/>
  <c r="T111" i="4" s="1"/>
  <c r="U110" i="4"/>
  <c r="T110" i="4" s="1"/>
  <c r="U109" i="4"/>
  <c r="T109" i="4" s="1"/>
  <c r="U108" i="4"/>
  <c r="T108" i="4" s="1"/>
  <c r="U107" i="4"/>
  <c r="T107" i="4" s="1"/>
  <c r="U106" i="4"/>
  <c r="T106" i="4" s="1"/>
  <c r="U105" i="4"/>
  <c r="T105" i="4" s="1"/>
  <c r="U104" i="4"/>
  <c r="T104" i="4" s="1"/>
  <c r="U103" i="4"/>
  <c r="T103" i="4" s="1"/>
  <c r="U102" i="4"/>
  <c r="T102" i="4" s="1"/>
  <c r="U101" i="4"/>
  <c r="T101" i="4" s="1"/>
  <c r="U100" i="4"/>
  <c r="T100" i="4" s="1"/>
  <c r="U99" i="4"/>
  <c r="T99" i="4" s="1"/>
  <c r="U98" i="4"/>
  <c r="T98" i="4" s="1"/>
  <c r="U97" i="4"/>
  <c r="T97" i="4" s="1"/>
  <c r="U96" i="4"/>
  <c r="T96" i="4" s="1"/>
  <c r="U95" i="4"/>
  <c r="T95" i="4" s="1"/>
  <c r="U94" i="4"/>
  <c r="T94" i="4" s="1"/>
  <c r="U93" i="4"/>
  <c r="T93" i="4" s="1"/>
  <c r="U92" i="4"/>
  <c r="T92" i="4" s="1"/>
  <c r="U91" i="4"/>
  <c r="T91" i="4" s="1"/>
  <c r="U90" i="4"/>
  <c r="T90" i="4" s="1"/>
  <c r="U89" i="4"/>
  <c r="T89" i="4" s="1"/>
  <c r="U88" i="4"/>
  <c r="T88" i="4" s="1"/>
  <c r="U87" i="4"/>
  <c r="T87" i="4" s="1"/>
  <c r="U86" i="4"/>
  <c r="T86" i="4" s="1"/>
  <c r="U85" i="4"/>
  <c r="T85" i="4" s="1"/>
  <c r="U84" i="4"/>
  <c r="T84" i="4" s="1"/>
  <c r="U83" i="4"/>
  <c r="T83" i="4" s="1"/>
  <c r="U82" i="4"/>
  <c r="T82" i="4" s="1"/>
  <c r="U81" i="4"/>
  <c r="T81" i="4" s="1"/>
  <c r="U80" i="4"/>
  <c r="T80" i="4" s="1"/>
  <c r="U79" i="4"/>
  <c r="T79" i="4" s="1"/>
  <c r="U78" i="4"/>
  <c r="T78" i="4" s="1"/>
  <c r="U77" i="4"/>
  <c r="T77" i="4" s="1"/>
  <c r="U76" i="4"/>
  <c r="T76" i="4" s="1"/>
  <c r="U75" i="4"/>
  <c r="T75" i="4" s="1"/>
  <c r="U74" i="4"/>
  <c r="T74" i="4" s="1"/>
  <c r="U73" i="4"/>
  <c r="T73" i="4" s="1"/>
  <c r="U72" i="4"/>
  <c r="T72" i="4" s="1"/>
  <c r="U71" i="4"/>
  <c r="T71" i="4" s="1"/>
  <c r="U70" i="4"/>
  <c r="T70" i="4" s="1"/>
  <c r="U69" i="4"/>
  <c r="T69" i="4" s="1"/>
  <c r="U68" i="4"/>
  <c r="T68" i="4" s="1"/>
  <c r="U67" i="4"/>
  <c r="T67" i="4" s="1"/>
  <c r="U66" i="4"/>
  <c r="T66" i="4" s="1"/>
  <c r="U65" i="4"/>
  <c r="T65" i="4" s="1"/>
  <c r="U64" i="4"/>
  <c r="T64" i="4" s="1"/>
  <c r="U63" i="4"/>
  <c r="T63" i="4" s="1"/>
  <c r="U62" i="4"/>
  <c r="T62" i="4" s="1"/>
  <c r="U61" i="4"/>
  <c r="T61" i="4" s="1"/>
  <c r="U60" i="4"/>
  <c r="T60" i="4" s="1"/>
  <c r="U59" i="4"/>
  <c r="T59" i="4" s="1"/>
  <c r="U58" i="4"/>
  <c r="T58" i="4" s="1"/>
  <c r="U57" i="4"/>
  <c r="T57" i="4" s="1"/>
  <c r="U56" i="4"/>
  <c r="T56" i="4" s="1"/>
  <c r="U55" i="4"/>
  <c r="T55" i="4" s="1"/>
  <c r="U54" i="4"/>
  <c r="T54" i="4" s="1"/>
  <c r="U53" i="4"/>
  <c r="T53" i="4" s="1"/>
  <c r="U52" i="4"/>
  <c r="T52" i="4" s="1"/>
  <c r="U51" i="4"/>
  <c r="T51" i="4" s="1"/>
  <c r="U50" i="4"/>
  <c r="T50" i="4" s="1"/>
  <c r="U49" i="4"/>
  <c r="T49" i="4" s="1"/>
  <c r="U48" i="4"/>
  <c r="T48" i="4" s="1"/>
  <c r="U47" i="4"/>
  <c r="T47" i="4" s="1"/>
  <c r="U46" i="4"/>
  <c r="T46" i="4" s="1"/>
  <c r="U45" i="4"/>
  <c r="T45" i="4" s="1"/>
  <c r="U44" i="4"/>
  <c r="T44" i="4" s="1"/>
  <c r="U43" i="4"/>
  <c r="T43" i="4" s="1"/>
  <c r="U42" i="4"/>
  <c r="T42" i="4" s="1"/>
  <c r="U41" i="4"/>
  <c r="T41" i="4" s="1"/>
  <c r="U40" i="4"/>
  <c r="T40" i="4" s="1"/>
  <c r="U39" i="4"/>
  <c r="T39" i="4" s="1"/>
  <c r="U38" i="4"/>
  <c r="T38" i="4" s="1"/>
  <c r="U37" i="4"/>
  <c r="T37" i="4" s="1"/>
  <c r="U36" i="4"/>
  <c r="T36" i="4" s="1"/>
  <c r="U35" i="4"/>
  <c r="T35" i="4" s="1"/>
  <c r="U34" i="4"/>
  <c r="T34" i="4" s="1"/>
  <c r="U33" i="4"/>
  <c r="T33" i="4" s="1"/>
  <c r="U32" i="4"/>
  <c r="T32" i="4" s="1"/>
  <c r="U31" i="4"/>
  <c r="T31" i="4" s="1"/>
  <c r="U30" i="4"/>
  <c r="T30" i="4" s="1"/>
  <c r="U29" i="4"/>
  <c r="T29" i="4" s="1"/>
  <c r="U28" i="4"/>
  <c r="T28" i="4" s="1"/>
  <c r="U27" i="4"/>
  <c r="T27" i="4" s="1"/>
  <c r="U26" i="4"/>
  <c r="T26" i="4" s="1"/>
  <c r="U25" i="4"/>
  <c r="T25" i="4" s="1"/>
  <c r="U24" i="4"/>
  <c r="T24" i="4" s="1"/>
  <c r="U23" i="4"/>
  <c r="T23" i="4" s="1"/>
  <c r="U22" i="4"/>
  <c r="T22" i="4" s="1"/>
  <c r="U21" i="4"/>
  <c r="T21" i="4" s="1"/>
  <c r="U20" i="4"/>
  <c r="T20" i="4" s="1"/>
  <c r="U19" i="4"/>
  <c r="T19" i="4" s="1"/>
  <c r="U18" i="4"/>
  <c r="T18" i="4" s="1"/>
  <c r="U17" i="4"/>
  <c r="T17" i="4" s="1"/>
  <c r="U16" i="4"/>
  <c r="T16" i="4" s="1"/>
  <c r="U15" i="4"/>
  <c r="T15" i="4" s="1"/>
  <c r="U14" i="4"/>
  <c r="T14" i="4" s="1"/>
  <c r="U13" i="4"/>
  <c r="T13" i="4" s="1"/>
  <c r="U12" i="4"/>
  <c r="T12" i="4" s="1"/>
  <c r="U11" i="4"/>
  <c r="T11" i="4" s="1"/>
  <c r="U10" i="4"/>
  <c r="T10" i="4" s="1"/>
  <c r="U9" i="4"/>
  <c r="T9" i="4" s="1"/>
  <c r="U8" i="4"/>
  <c r="T8" i="4" s="1"/>
  <c r="U7" i="4"/>
  <c r="T7" i="4" s="1"/>
  <c r="U6" i="4"/>
  <c r="T6" i="4" s="1"/>
  <c r="U5" i="4"/>
  <c r="T5" i="4" s="1"/>
  <c r="U4" i="4"/>
  <c r="T4" i="4" s="1"/>
  <c r="U3" i="4"/>
  <c r="T3" i="4" s="1"/>
  <c r="T6" i="7" l="1"/>
  <c r="M45" i="6"/>
  <c r="L45" i="6"/>
  <c r="R43" i="6"/>
  <c r="O43" i="6"/>
  <c r="P43" i="6" s="1"/>
  <c r="M43" i="6"/>
  <c r="R42" i="6"/>
  <c r="O42" i="6"/>
  <c r="P42" i="6" s="1"/>
  <c r="M42" i="6"/>
  <c r="R41" i="6"/>
  <c r="O41" i="6"/>
  <c r="P41" i="6" s="1"/>
  <c r="M41" i="6"/>
  <c r="R40" i="6"/>
  <c r="O40" i="6"/>
  <c r="P40" i="6" s="1"/>
  <c r="M40" i="6"/>
  <c r="R39" i="6"/>
  <c r="O39" i="6"/>
  <c r="P39" i="6" s="1"/>
  <c r="M39" i="6"/>
  <c r="R38" i="6"/>
  <c r="O38" i="6"/>
  <c r="P38" i="6" s="1"/>
  <c r="M38" i="6"/>
  <c r="R37" i="6"/>
  <c r="O37" i="6"/>
  <c r="P37" i="6" s="1"/>
  <c r="M37" i="6"/>
  <c r="R36" i="6"/>
  <c r="O36" i="6"/>
  <c r="P36" i="6" s="1"/>
  <c r="M36" i="6"/>
  <c r="R35" i="6"/>
  <c r="O35" i="6"/>
  <c r="P35" i="6" s="1"/>
  <c r="M35" i="6"/>
  <c r="R34" i="6"/>
  <c r="O34" i="6"/>
  <c r="P34" i="6" s="1"/>
  <c r="M34" i="6"/>
  <c r="R33" i="6"/>
  <c r="O33" i="6"/>
  <c r="P33" i="6" s="1"/>
  <c r="M33" i="6"/>
  <c r="R32" i="6"/>
  <c r="O32" i="6"/>
  <c r="P32" i="6" s="1"/>
  <c r="M32" i="6"/>
  <c r="R31" i="6"/>
  <c r="O31" i="6"/>
  <c r="P31" i="6" s="1"/>
  <c r="M31" i="6"/>
  <c r="R30" i="6"/>
  <c r="O30" i="6"/>
  <c r="P30" i="6" s="1"/>
  <c r="M30" i="6"/>
  <c r="R29" i="6"/>
  <c r="O29" i="6"/>
  <c r="P29" i="6" s="1"/>
  <c r="M29" i="6"/>
  <c r="R28" i="6"/>
  <c r="O28" i="6"/>
  <c r="P28" i="6" s="1"/>
  <c r="M28" i="6"/>
  <c r="R27" i="6"/>
  <c r="O27" i="6"/>
  <c r="P27" i="6" s="1"/>
  <c r="M27" i="6"/>
  <c r="R26" i="6"/>
  <c r="O26" i="6"/>
  <c r="P26" i="6" s="1"/>
  <c r="M26" i="6"/>
  <c r="R25" i="6"/>
  <c r="O25" i="6"/>
  <c r="P25" i="6" s="1"/>
  <c r="M25" i="6"/>
  <c r="R24" i="6"/>
  <c r="O24" i="6"/>
  <c r="P24" i="6" s="1"/>
  <c r="M24" i="6"/>
  <c r="R23" i="6"/>
  <c r="O23" i="6"/>
  <c r="P23" i="6" s="1"/>
  <c r="M23" i="6"/>
  <c r="R22" i="6"/>
  <c r="O22" i="6"/>
  <c r="P22" i="6" s="1"/>
  <c r="M22" i="6"/>
  <c r="R21" i="6"/>
  <c r="O21" i="6"/>
  <c r="P21" i="6" s="1"/>
  <c r="M21" i="6"/>
  <c r="R20" i="6"/>
  <c r="O20" i="6"/>
  <c r="P20" i="6" s="1"/>
  <c r="M20" i="6"/>
  <c r="R19" i="6"/>
  <c r="O19" i="6"/>
  <c r="P19" i="6" s="1"/>
  <c r="M19" i="6"/>
  <c r="R18" i="6"/>
  <c r="O18" i="6"/>
  <c r="P18" i="6" s="1"/>
  <c r="M18" i="6"/>
  <c r="R17" i="6"/>
  <c r="O17" i="6"/>
  <c r="P17" i="6" s="1"/>
  <c r="M17" i="6"/>
  <c r="R16" i="6"/>
  <c r="O16" i="6"/>
  <c r="P16" i="6" s="1"/>
  <c r="M16" i="6"/>
  <c r="R15" i="6"/>
  <c r="O15" i="6"/>
  <c r="P15" i="6" s="1"/>
  <c r="M15" i="6"/>
  <c r="R14" i="6"/>
  <c r="O14" i="6"/>
  <c r="P14" i="6" s="1"/>
  <c r="M14" i="6"/>
  <c r="R13" i="6"/>
  <c r="O13" i="6"/>
  <c r="P13" i="6" s="1"/>
  <c r="M13" i="6"/>
  <c r="R12" i="6"/>
  <c r="O12" i="6"/>
  <c r="P12" i="6" s="1"/>
  <c r="M12" i="6"/>
  <c r="R11" i="6"/>
  <c r="O11" i="6"/>
  <c r="P11" i="6" s="1"/>
  <c r="M11" i="6"/>
  <c r="R10" i="6"/>
  <c r="O10" i="6"/>
  <c r="P10" i="6" s="1"/>
  <c r="M10" i="6"/>
  <c r="R9" i="6"/>
  <c r="O9" i="6"/>
  <c r="P9" i="6" s="1"/>
  <c r="M9" i="6"/>
  <c r="R8" i="6"/>
  <c r="O8" i="6"/>
  <c r="P8" i="6" s="1"/>
  <c r="M8" i="6"/>
  <c r="R7" i="6"/>
  <c r="O7" i="6"/>
  <c r="P7" i="6" s="1"/>
  <c r="M7" i="6"/>
  <c r="R6" i="6"/>
  <c r="O6" i="6"/>
  <c r="P6" i="6" s="1"/>
  <c r="M6" i="6"/>
  <c r="R5" i="6"/>
  <c r="R45" i="6" s="1"/>
  <c r="O5" i="6"/>
  <c r="O45" i="6" s="1"/>
  <c r="M5" i="6"/>
  <c r="AC542" i="5"/>
  <c r="AB542" i="5"/>
  <c r="AA542" i="5"/>
  <c r="Y542" i="5"/>
  <c r="X542" i="5"/>
  <c r="W542" i="5"/>
  <c r="U542" i="5"/>
  <c r="T542" i="5"/>
  <c r="S542" i="5"/>
  <c r="P542" i="5"/>
  <c r="O542" i="5"/>
  <c r="N542" i="5"/>
  <c r="M542" i="5"/>
  <c r="L542" i="5"/>
  <c r="K542" i="5"/>
  <c r="J542" i="5"/>
  <c r="I542" i="5"/>
  <c r="H542" i="5"/>
  <c r="F542" i="5"/>
  <c r="E542" i="5"/>
  <c r="D542" i="5"/>
  <c r="C542" i="5"/>
  <c r="B542" i="5"/>
  <c r="P2621" i="4"/>
  <c r="L2621" i="4"/>
  <c r="H2621" i="4"/>
  <c r="D2621" i="4"/>
  <c r="Q2620" i="4"/>
  <c r="P2620" i="4"/>
  <c r="P2622" i="4" s="1"/>
  <c r="O2620" i="4"/>
  <c r="N2620" i="4"/>
  <c r="M2620" i="4"/>
  <c r="L2620" i="4"/>
  <c r="L2622" i="4" s="1"/>
  <c r="K2620" i="4"/>
  <c r="J2620" i="4"/>
  <c r="I2620" i="4"/>
  <c r="H2620" i="4"/>
  <c r="H2622" i="4" s="1"/>
  <c r="G2620" i="4"/>
  <c r="F2620" i="4"/>
  <c r="E2620" i="4"/>
  <c r="D2620" i="4"/>
  <c r="D2622" i="4" s="1"/>
  <c r="Z319" i="3"/>
  <c r="Y319" i="3"/>
  <c r="AG317" i="3"/>
  <c r="AF317" i="3"/>
  <c r="AE317" i="3"/>
  <c r="AD317" i="3"/>
  <c r="O317" i="3"/>
  <c r="AG316" i="3"/>
  <c r="AF316" i="3"/>
  <c r="AE316" i="3"/>
  <c r="AD316" i="3"/>
  <c r="U316" i="3"/>
  <c r="Q316" i="3"/>
  <c r="Q317" i="3" s="1"/>
  <c r="P316" i="3"/>
  <c r="P317" i="3" s="1"/>
  <c r="T317" i="3" s="1"/>
  <c r="R19" i="2" s="1"/>
  <c r="O316" i="3"/>
  <c r="S316" i="3" s="1"/>
  <c r="M316" i="3"/>
  <c r="M317" i="3" s="1"/>
  <c r="L316" i="3"/>
  <c r="L317" i="3" s="1"/>
  <c r="K316" i="3"/>
  <c r="K317" i="3" s="1"/>
  <c r="O19" i="2" s="1"/>
  <c r="AG315" i="3"/>
  <c r="AF315" i="3"/>
  <c r="AE315" i="3"/>
  <c r="AD315" i="3"/>
  <c r="AG314" i="3"/>
  <c r="AF314" i="3"/>
  <c r="AE314" i="3"/>
  <c r="AD314" i="3"/>
  <c r="L314" i="3"/>
  <c r="AG313" i="3"/>
  <c r="AF313" i="3"/>
  <c r="AE313" i="3"/>
  <c r="AD313" i="3"/>
  <c r="M313" i="3"/>
  <c r="L313" i="3"/>
  <c r="AG312" i="3"/>
  <c r="AF312" i="3"/>
  <c r="AE312" i="3"/>
  <c r="AD312" i="3"/>
  <c r="O312" i="3"/>
  <c r="L312" i="3"/>
  <c r="AG311" i="3"/>
  <c r="AF311" i="3"/>
  <c r="AE311" i="3"/>
  <c r="AD311" i="3"/>
  <c r="P311" i="3"/>
  <c r="O311" i="3"/>
  <c r="L311" i="3"/>
  <c r="AG310" i="3"/>
  <c r="AF310" i="3"/>
  <c r="AE310" i="3"/>
  <c r="AD310" i="3"/>
  <c r="Q310" i="3"/>
  <c r="P310" i="3"/>
  <c r="T310" i="3" s="1"/>
  <c r="O310" i="3"/>
  <c r="M310" i="3"/>
  <c r="M311" i="3" s="1"/>
  <c r="K310" i="3"/>
  <c r="AG309" i="3"/>
  <c r="AF309" i="3"/>
  <c r="AE309" i="3"/>
  <c r="AD309" i="3"/>
  <c r="AG308" i="3"/>
  <c r="AF308" i="3"/>
  <c r="AE308" i="3"/>
  <c r="AD308" i="3"/>
  <c r="L308" i="3"/>
  <c r="AG307" i="3"/>
  <c r="AF307" i="3"/>
  <c r="AE307" i="3"/>
  <c r="AD307" i="3"/>
  <c r="M307" i="3"/>
  <c r="AG306" i="3"/>
  <c r="AF306" i="3"/>
  <c r="AE306" i="3"/>
  <c r="AD306" i="3"/>
  <c r="O306" i="3"/>
  <c r="K306" i="3"/>
  <c r="AG305" i="3"/>
  <c r="AF305" i="3"/>
  <c r="AE305" i="3"/>
  <c r="AD305" i="3"/>
  <c r="P305" i="3"/>
  <c r="O305" i="3"/>
  <c r="S305" i="3" s="1"/>
  <c r="K305" i="3"/>
  <c r="AG304" i="3"/>
  <c r="AF304" i="3"/>
  <c r="AE304" i="3"/>
  <c r="AD304" i="3"/>
  <c r="S304" i="3"/>
  <c r="Q304" i="3"/>
  <c r="P304" i="3"/>
  <c r="T304" i="3" s="1"/>
  <c r="O304" i="3"/>
  <c r="M304" i="3"/>
  <c r="M305" i="3" s="1"/>
  <c r="L304" i="3"/>
  <c r="K304" i="3"/>
  <c r="K307" i="3" s="1"/>
  <c r="AG303" i="3"/>
  <c r="AF303" i="3"/>
  <c r="AE303" i="3"/>
  <c r="AD303" i="3"/>
  <c r="AG302" i="3"/>
  <c r="AF302" i="3"/>
  <c r="AE302" i="3"/>
  <c r="AD302" i="3"/>
  <c r="AG301" i="3"/>
  <c r="AF301" i="3"/>
  <c r="AE301" i="3"/>
  <c r="AD301" i="3"/>
  <c r="K301" i="3"/>
  <c r="AG300" i="3"/>
  <c r="AF300" i="3"/>
  <c r="AE300" i="3"/>
  <c r="AD300" i="3"/>
  <c r="P300" i="3"/>
  <c r="L300" i="3"/>
  <c r="K300" i="3"/>
  <c r="AG299" i="3"/>
  <c r="AF299" i="3"/>
  <c r="AE299" i="3"/>
  <c r="AD299" i="3"/>
  <c r="Q299" i="3"/>
  <c r="P299" i="3"/>
  <c r="L299" i="3"/>
  <c r="K299" i="3"/>
  <c r="AG298" i="3"/>
  <c r="AF298" i="3"/>
  <c r="AE298" i="3"/>
  <c r="AD298" i="3"/>
  <c r="T298" i="3"/>
  <c r="S298" i="3"/>
  <c r="Q298" i="3"/>
  <c r="U298" i="3" s="1"/>
  <c r="P298" i="3"/>
  <c r="O298" i="3"/>
  <c r="O299" i="3" s="1"/>
  <c r="M298" i="3"/>
  <c r="L298" i="3"/>
  <c r="L301" i="3" s="1"/>
  <c r="K298" i="3"/>
  <c r="K302" i="3" s="1"/>
  <c r="AG297" i="3"/>
  <c r="AF297" i="3"/>
  <c r="AE297" i="3"/>
  <c r="AD297" i="3"/>
  <c r="AG296" i="3"/>
  <c r="AF296" i="3"/>
  <c r="AE296" i="3"/>
  <c r="AD296" i="3"/>
  <c r="O296" i="3"/>
  <c r="S296" i="3" s="1"/>
  <c r="K296" i="3"/>
  <c r="AG295" i="3"/>
  <c r="AF295" i="3"/>
  <c r="AE295" i="3"/>
  <c r="AD295" i="3"/>
  <c r="P295" i="3"/>
  <c r="O295" i="3"/>
  <c r="K295" i="3"/>
  <c r="AG294" i="3"/>
  <c r="AF294" i="3"/>
  <c r="AE294" i="3"/>
  <c r="AD294" i="3"/>
  <c r="S294" i="3"/>
  <c r="Q294" i="3"/>
  <c r="P294" i="3"/>
  <c r="O294" i="3"/>
  <c r="M294" i="3"/>
  <c r="M295" i="3" s="1"/>
  <c r="L294" i="3"/>
  <c r="K294" i="3"/>
  <c r="AG293" i="3"/>
  <c r="AF293" i="3"/>
  <c r="AE293" i="3"/>
  <c r="AD293" i="3"/>
  <c r="AG292" i="3"/>
  <c r="AF292" i="3"/>
  <c r="AE292" i="3"/>
  <c r="AD292" i="3"/>
  <c r="T292" i="3"/>
  <c r="Q292" i="3"/>
  <c r="U292" i="3" s="1"/>
  <c r="P292" i="3"/>
  <c r="O292" i="3"/>
  <c r="M292" i="3"/>
  <c r="L292" i="3"/>
  <c r="AG291" i="3"/>
  <c r="AF291" i="3"/>
  <c r="AE291" i="3"/>
  <c r="AD291" i="3"/>
  <c r="Q291" i="3"/>
  <c r="P291" i="3"/>
  <c r="O291" i="3"/>
  <c r="AG290" i="3"/>
  <c r="AF290" i="3"/>
  <c r="AE290" i="3"/>
  <c r="AD290" i="3"/>
  <c r="Q290" i="3"/>
  <c r="P290" i="3"/>
  <c r="T290" i="3" s="1"/>
  <c r="O290" i="3"/>
  <c r="L290" i="3"/>
  <c r="K290" i="3"/>
  <c r="AG289" i="3"/>
  <c r="AF289" i="3"/>
  <c r="AE289" i="3"/>
  <c r="AD289" i="3"/>
  <c r="Q289" i="3"/>
  <c r="U289" i="3" s="1"/>
  <c r="P289" i="3"/>
  <c r="T289" i="3" s="1"/>
  <c r="O289" i="3"/>
  <c r="M289" i="3"/>
  <c r="L289" i="3"/>
  <c r="AG288" i="3"/>
  <c r="AF288" i="3"/>
  <c r="AE288" i="3"/>
  <c r="AD288" i="3"/>
  <c r="U288" i="3"/>
  <c r="T288" i="3"/>
  <c r="Q288" i="3"/>
  <c r="P288" i="3"/>
  <c r="O288" i="3"/>
  <c r="S288" i="3" s="1"/>
  <c r="M288" i="3"/>
  <c r="M290" i="3" s="1"/>
  <c r="U290" i="3" s="1"/>
  <c r="L288" i="3"/>
  <c r="L291" i="3" s="1"/>
  <c r="T291" i="3" s="1"/>
  <c r="K288" i="3"/>
  <c r="K292" i="3" s="1"/>
  <c r="S292" i="3" s="1"/>
  <c r="AG287" i="3"/>
  <c r="AF287" i="3"/>
  <c r="AE287" i="3"/>
  <c r="AD287" i="3"/>
  <c r="AG286" i="3"/>
  <c r="AF286" i="3"/>
  <c r="AE286" i="3"/>
  <c r="AD286" i="3"/>
  <c r="M286" i="3"/>
  <c r="L286" i="3"/>
  <c r="K286" i="3"/>
  <c r="AG285" i="3"/>
  <c r="AF285" i="3"/>
  <c r="AE285" i="3"/>
  <c r="AD285" i="3"/>
  <c r="M285" i="3"/>
  <c r="L285" i="3"/>
  <c r="K285" i="3"/>
  <c r="AG284" i="3"/>
  <c r="AF284" i="3"/>
  <c r="AE284" i="3"/>
  <c r="AD284" i="3"/>
  <c r="M284" i="3"/>
  <c r="L284" i="3"/>
  <c r="AG283" i="3"/>
  <c r="AF283" i="3"/>
  <c r="AE283" i="3"/>
  <c r="AD283" i="3"/>
  <c r="M283" i="3"/>
  <c r="AG282" i="3"/>
  <c r="AF282" i="3"/>
  <c r="AE282" i="3"/>
  <c r="AD282" i="3"/>
  <c r="U282" i="3"/>
  <c r="Q282" i="3"/>
  <c r="Q283" i="3" s="1"/>
  <c r="P282" i="3"/>
  <c r="O282" i="3"/>
  <c r="L282" i="3"/>
  <c r="L283" i="3" s="1"/>
  <c r="K282" i="3"/>
  <c r="K284" i="3" s="1"/>
  <c r="AG281" i="3"/>
  <c r="AF281" i="3"/>
  <c r="AE281" i="3"/>
  <c r="AD281" i="3"/>
  <c r="AG280" i="3"/>
  <c r="AF280" i="3"/>
  <c r="AE280" i="3"/>
  <c r="AD280" i="3"/>
  <c r="M280" i="3"/>
  <c r="L280" i="3"/>
  <c r="K280" i="3"/>
  <c r="AG279" i="3"/>
  <c r="AF279" i="3"/>
  <c r="AE279" i="3"/>
  <c r="AD279" i="3"/>
  <c r="P279" i="3"/>
  <c r="M279" i="3"/>
  <c r="L279" i="3"/>
  <c r="K279" i="3"/>
  <c r="AG278" i="3"/>
  <c r="AF278" i="3"/>
  <c r="AE278" i="3"/>
  <c r="AD278" i="3"/>
  <c r="M278" i="3"/>
  <c r="L278" i="3"/>
  <c r="AG277" i="3"/>
  <c r="AF277" i="3"/>
  <c r="AE277" i="3"/>
  <c r="AD277" i="3"/>
  <c r="T277" i="3"/>
  <c r="M277" i="3"/>
  <c r="L277" i="3"/>
  <c r="K277" i="3"/>
  <c r="AG276" i="3"/>
  <c r="AF276" i="3"/>
  <c r="AE276" i="3"/>
  <c r="AD276" i="3"/>
  <c r="U276" i="3"/>
  <c r="T276" i="3"/>
  <c r="Q276" i="3"/>
  <c r="Q277" i="3" s="1"/>
  <c r="P276" i="3"/>
  <c r="P277" i="3" s="1"/>
  <c r="P278" i="3" s="1"/>
  <c r="T278" i="3" s="1"/>
  <c r="O276" i="3"/>
  <c r="S276" i="3" s="1"/>
  <c r="K276" i="3"/>
  <c r="K278" i="3" s="1"/>
  <c r="AG275" i="3"/>
  <c r="AF275" i="3"/>
  <c r="AE275" i="3"/>
  <c r="AD275" i="3"/>
  <c r="AG274" i="3"/>
  <c r="AF274" i="3"/>
  <c r="AE274" i="3"/>
  <c r="AD274" i="3"/>
  <c r="O274" i="3"/>
  <c r="M274" i="3"/>
  <c r="AG273" i="3"/>
  <c r="AF273" i="3"/>
  <c r="AE273" i="3"/>
  <c r="AD273" i="3"/>
  <c r="U273" i="3"/>
  <c r="O273" i="3"/>
  <c r="M273" i="3"/>
  <c r="AG272" i="3"/>
  <c r="AF272" i="3"/>
  <c r="AE272" i="3"/>
  <c r="AD272" i="3"/>
  <c r="U272" i="3"/>
  <c r="Q272" i="3"/>
  <c r="Q273" i="3" s="1"/>
  <c r="Q274" i="3" s="1"/>
  <c r="U274" i="3" s="1"/>
  <c r="P272" i="3"/>
  <c r="O272" i="3"/>
  <c r="L272" i="3"/>
  <c r="L274" i="3" s="1"/>
  <c r="K272" i="3"/>
  <c r="AG271" i="3"/>
  <c r="AF271" i="3"/>
  <c r="AE271" i="3"/>
  <c r="AD271" i="3"/>
  <c r="AG270" i="3"/>
  <c r="AF270" i="3"/>
  <c r="AE270" i="3"/>
  <c r="AD270" i="3"/>
  <c r="M270" i="3"/>
  <c r="L270" i="3"/>
  <c r="K270" i="3"/>
  <c r="AG269" i="3"/>
  <c r="AF269" i="3"/>
  <c r="AE269" i="3"/>
  <c r="AD269" i="3"/>
  <c r="M269" i="3"/>
  <c r="L269" i="3"/>
  <c r="K269" i="3"/>
  <c r="AG268" i="3"/>
  <c r="AF268" i="3"/>
  <c r="AE268" i="3"/>
  <c r="AD268" i="3"/>
  <c r="M268" i="3"/>
  <c r="L268" i="3"/>
  <c r="K268" i="3"/>
  <c r="AG267" i="3"/>
  <c r="AF267" i="3"/>
  <c r="AE267" i="3"/>
  <c r="AD267" i="3"/>
  <c r="U267" i="3"/>
  <c r="T267" i="3"/>
  <c r="Q267" i="3"/>
  <c r="Q268" i="3" s="1"/>
  <c r="Q269" i="3" s="1"/>
  <c r="U269" i="3" s="1"/>
  <c r="P267" i="3"/>
  <c r="P268" i="3" s="1"/>
  <c r="O267" i="3"/>
  <c r="S267" i="3" s="1"/>
  <c r="AG266" i="3"/>
  <c r="AF266" i="3"/>
  <c r="AE266" i="3"/>
  <c r="AD266" i="3"/>
  <c r="AG265" i="3"/>
  <c r="AF265" i="3"/>
  <c r="AE265" i="3"/>
  <c r="AD265" i="3"/>
  <c r="M265" i="3"/>
  <c r="L265" i="3"/>
  <c r="K265" i="3"/>
  <c r="AG264" i="3"/>
  <c r="AF264" i="3"/>
  <c r="AE264" i="3"/>
  <c r="AD264" i="3"/>
  <c r="O264" i="3"/>
  <c r="M264" i="3"/>
  <c r="L264" i="3"/>
  <c r="K264" i="3"/>
  <c r="AG263" i="3"/>
  <c r="AF263" i="3"/>
  <c r="AE263" i="3"/>
  <c r="AD263" i="3"/>
  <c r="O263" i="3"/>
  <c r="S263" i="3" s="1"/>
  <c r="M263" i="3"/>
  <c r="L263" i="3"/>
  <c r="K263" i="3"/>
  <c r="AG262" i="3"/>
  <c r="AF262" i="3"/>
  <c r="AE262" i="3"/>
  <c r="AD262" i="3"/>
  <c r="S262" i="3"/>
  <c r="Q262" i="3"/>
  <c r="P262" i="3"/>
  <c r="T262" i="3" s="1"/>
  <c r="O262" i="3"/>
  <c r="AG261" i="3"/>
  <c r="AF261" i="3"/>
  <c r="AE261" i="3"/>
  <c r="AD261" i="3"/>
  <c r="AG260" i="3"/>
  <c r="AF260" i="3"/>
  <c r="AE260" i="3"/>
  <c r="AD260" i="3"/>
  <c r="M260" i="3"/>
  <c r="L260" i="3"/>
  <c r="K260" i="3"/>
  <c r="AG259" i="3"/>
  <c r="AF259" i="3"/>
  <c r="AE259" i="3"/>
  <c r="AD259" i="3"/>
  <c r="M259" i="3"/>
  <c r="L259" i="3"/>
  <c r="K259" i="3"/>
  <c r="AG258" i="3"/>
  <c r="AF258" i="3"/>
  <c r="AE258" i="3"/>
  <c r="AD258" i="3"/>
  <c r="L258" i="3"/>
  <c r="K258" i="3"/>
  <c r="AG257" i="3"/>
  <c r="AF257" i="3"/>
  <c r="AE257" i="3"/>
  <c r="AD257" i="3"/>
  <c r="P257" i="3"/>
  <c r="M257" i="3"/>
  <c r="L257" i="3"/>
  <c r="K257" i="3"/>
  <c r="AG256" i="3"/>
  <c r="AF256" i="3"/>
  <c r="AE256" i="3"/>
  <c r="AD256" i="3"/>
  <c r="T256" i="3"/>
  <c r="Q256" i="3"/>
  <c r="P256" i="3"/>
  <c r="O256" i="3"/>
  <c r="M256" i="3"/>
  <c r="M258" i="3" s="1"/>
  <c r="AG255" i="3"/>
  <c r="AF255" i="3"/>
  <c r="AE255" i="3"/>
  <c r="AD255" i="3"/>
  <c r="AG254" i="3"/>
  <c r="AF254" i="3"/>
  <c r="AE254" i="3"/>
  <c r="AD254" i="3"/>
  <c r="S254" i="3"/>
  <c r="Q254" i="3"/>
  <c r="P254" i="3"/>
  <c r="T254" i="3" s="1"/>
  <c r="O254" i="3"/>
  <c r="M254" i="3"/>
  <c r="U254" i="3" s="1"/>
  <c r="AG253" i="3"/>
  <c r="AF253" i="3"/>
  <c r="AE253" i="3"/>
  <c r="AD253" i="3"/>
  <c r="T253" i="3"/>
  <c r="Q253" i="3"/>
  <c r="U253" i="3" s="1"/>
  <c r="P253" i="3"/>
  <c r="O253" i="3"/>
  <c r="K253" i="3"/>
  <c r="M253" i="3" s="1"/>
  <c r="AG252" i="3"/>
  <c r="AF252" i="3"/>
  <c r="AE252" i="3"/>
  <c r="AD252" i="3"/>
  <c r="T252" i="3"/>
  <c r="Q252" i="3"/>
  <c r="P252" i="3"/>
  <c r="O252" i="3"/>
  <c r="K252" i="3"/>
  <c r="M252" i="3" s="1"/>
  <c r="AG251" i="3"/>
  <c r="AF251" i="3"/>
  <c r="AE251" i="3"/>
  <c r="AD251" i="3"/>
  <c r="T251" i="3"/>
  <c r="Q251" i="3"/>
  <c r="U251" i="3" s="1"/>
  <c r="P251" i="3"/>
  <c r="O251" i="3"/>
  <c r="S251" i="3" s="1"/>
  <c r="K251" i="3"/>
  <c r="M251" i="3" s="1"/>
  <c r="AG250" i="3"/>
  <c r="AF250" i="3"/>
  <c r="AE250" i="3"/>
  <c r="AD250" i="3"/>
  <c r="Q250" i="3"/>
  <c r="U250" i="3" s="1"/>
  <c r="P250" i="3"/>
  <c r="O250" i="3"/>
  <c r="S250" i="3" s="1"/>
  <c r="L250" i="3"/>
  <c r="K250" i="3"/>
  <c r="M250" i="3" s="1"/>
  <c r="AB250" i="3" s="1"/>
  <c r="AG249" i="3"/>
  <c r="AF249" i="3"/>
  <c r="AE249" i="3"/>
  <c r="AD249" i="3"/>
  <c r="AG248" i="3"/>
  <c r="AF248" i="3"/>
  <c r="AE248" i="3"/>
  <c r="AD248" i="3"/>
  <c r="M248" i="3"/>
  <c r="L248" i="3"/>
  <c r="AG247" i="3"/>
  <c r="AF247" i="3"/>
  <c r="AE247" i="3"/>
  <c r="AD247" i="3"/>
  <c r="M247" i="3"/>
  <c r="L247" i="3"/>
  <c r="AG246" i="3"/>
  <c r="AF246" i="3"/>
  <c r="AE246" i="3"/>
  <c r="AD246" i="3"/>
  <c r="M246" i="3"/>
  <c r="L246" i="3"/>
  <c r="K246" i="3"/>
  <c r="AG245" i="3"/>
  <c r="AF245" i="3"/>
  <c r="AE245" i="3"/>
  <c r="AD245" i="3"/>
  <c r="Q245" i="3"/>
  <c r="O245" i="3"/>
  <c r="M245" i="3"/>
  <c r="L245" i="3"/>
  <c r="AG244" i="3"/>
  <c r="AF244" i="3"/>
  <c r="AE244" i="3"/>
  <c r="AD244" i="3"/>
  <c r="U244" i="3"/>
  <c r="Q244" i="3"/>
  <c r="P244" i="3"/>
  <c r="O244" i="3"/>
  <c r="K244" i="3"/>
  <c r="AG243" i="3"/>
  <c r="AF243" i="3"/>
  <c r="AE243" i="3"/>
  <c r="AD243" i="3"/>
  <c r="AG242" i="3"/>
  <c r="AF242" i="3"/>
  <c r="AE242" i="3"/>
  <c r="AD242" i="3"/>
  <c r="M242" i="3"/>
  <c r="L242" i="3"/>
  <c r="AG241" i="3"/>
  <c r="AF241" i="3"/>
  <c r="AE241" i="3"/>
  <c r="AD241" i="3"/>
  <c r="P241" i="3"/>
  <c r="M241" i="3"/>
  <c r="L241" i="3"/>
  <c r="K241" i="3"/>
  <c r="AG240" i="3"/>
  <c r="AF240" i="3"/>
  <c r="AE240" i="3"/>
  <c r="AD240" i="3"/>
  <c r="T240" i="3"/>
  <c r="Q240" i="3"/>
  <c r="P240" i="3"/>
  <c r="O240" i="3"/>
  <c r="K240" i="3"/>
  <c r="K242" i="3" s="1"/>
  <c r="AG239" i="3"/>
  <c r="AF239" i="3"/>
  <c r="AE239" i="3"/>
  <c r="AD239" i="3"/>
  <c r="AG238" i="3"/>
  <c r="AF238" i="3"/>
  <c r="AE238" i="3"/>
  <c r="AD238" i="3"/>
  <c r="M238" i="3"/>
  <c r="K238" i="3"/>
  <c r="I14" i="2" s="1"/>
  <c r="AG237" i="3"/>
  <c r="AF237" i="3"/>
  <c r="AE237" i="3"/>
  <c r="AD237" i="3"/>
  <c r="L237" i="3"/>
  <c r="AG236" i="3"/>
  <c r="AF236" i="3"/>
  <c r="AE236" i="3"/>
  <c r="AD236" i="3"/>
  <c r="P236" i="3"/>
  <c r="M236" i="3"/>
  <c r="K236" i="3"/>
  <c r="AG235" i="3"/>
  <c r="AF235" i="3"/>
  <c r="AE235" i="3"/>
  <c r="AD235" i="3"/>
  <c r="Q235" i="3"/>
  <c r="P235" i="3"/>
  <c r="O235" i="3"/>
  <c r="M235" i="3"/>
  <c r="M237" i="3" s="1"/>
  <c r="L235" i="3"/>
  <c r="K235" i="3"/>
  <c r="K237" i="3" s="1"/>
  <c r="AG234" i="3"/>
  <c r="AF234" i="3"/>
  <c r="AE234" i="3"/>
  <c r="AD234" i="3"/>
  <c r="AG233" i="3"/>
  <c r="AF233" i="3"/>
  <c r="AE233" i="3"/>
  <c r="AD233" i="3"/>
  <c r="M233" i="3"/>
  <c r="K233" i="3"/>
  <c r="AG232" i="3"/>
  <c r="AF232" i="3"/>
  <c r="AE232" i="3"/>
  <c r="AD232" i="3"/>
  <c r="AG231" i="3"/>
  <c r="AF231" i="3"/>
  <c r="AE231" i="3"/>
  <c r="AD231" i="3"/>
  <c r="P231" i="3"/>
  <c r="M231" i="3"/>
  <c r="K231" i="3"/>
  <c r="AG230" i="3"/>
  <c r="AF230" i="3"/>
  <c r="AE230" i="3"/>
  <c r="AD230" i="3"/>
  <c r="Q230" i="3"/>
  <c r="P230" i="3"/>
  <c r="O230" i="3"/>
  <c r="M230" i="3"/>
  <c r="M232" i="3" s="1"/>
  <c r="L230" i="3"/>
  <c r="K230" i="3"/>
  <c r="K232" i="3" s="1"/>
  <c r="AG229" i="3"/>
  <c r="AF229" i="3"/>
  <c r="AE229" i="3"/>
  <c r="AD229" i="3"/>
  <c r="AG228" i="3"/>
  <c r="AF228" i="3"/>
  <c r="AE228" i="3"/>
  <c r="AD228" i="3"/>
  <c r="M228" i="3"/>
  <c r="AG227" i="3"/>
  <c r="AF227" i="3"/>
  <c r="AE227" i="3"/>
  <c r="AD227" i="3"/>
  <c r="M227" i="3"/>
  <c r="L227" i="3"/>
  <c r="AG226" i="3"/>
  <c r="AF226" i="3"/>
  <c r="AE226" i="3"/>
  <c r="AD226" i="3"/>
  <c r="P226" i="3"/>
  <c r="M226" i="3"/>
  <c r="K226" i="3"/>
  <c r="AG225" i="3"/>
  <c r="AF225" i="3"/>
  <c r="AE225" i="3"/>
  <c r="AD225" i="3"/>
  <c r="T225" i="3"/>
  <c r="Q225" i="3"/>
  <c r="P225" i="3"/>
  <c r="O225" i="3"/>
  <c r="L225" i="3"/>
  <c r="L226" i="3" s="1"/>
  <c r="K225" i="3"/>
  <c r="K227" i="3" s="1"/>
  <c r="AG224" i="3"/>
  <c r="AF224" i="3"/>
  <c r="AE224" i="3"/>
  <c r="AD224" i="3"/>
  <c r="AG223" i="3"/>
  <c r="AF223" i="3"/>
  <c r="AE223" i="3"/>
  <c r="AD223" i="3"/>
  <c r="M223" i="3"/>
  <c r="L223" i="3"/>
  <c r="AG222" i="3"/>
  <c r="AF222" i="3"/>
  <c r="AE222" i="3"/>
  <c r="AD222" i="3"/>
  <c r="M222" i="3"/>
  <c r="L222" i="3"/>
  <c r="AG221" i="3"/>
  <c r="AF221" i="3"/>
  <c r="AE221" i="3"/>
  <c r="AD221" i="3"/>
  <c r="O221" i="3"/>
  <c r="M221" i="3"/>
  <c r="L221" i="3"/>
  <c r="AG220" i="3"/>
  <c r="AF220" i="3"/>
  <c r="AE220" i="3"/>
  <c r="AD220" i="3"/>
  <c r="M220" i="3"/>
  <c r="L220" i="3"/>
  <c r="K220" i="3"/>
  <c r="S220" i="3" s="1"/>
  <c r="AG219" i="3"/>
  <c r="AF219" i="3"/>
  <c r="AE219" i="3"/>
  <c r="AD219" i="3"/>
  <c r="AB219" i="3"/>
  <c r="U219" i="3"/>
  <c r="Q219" i="3"/>
  <c r="Q220" i="3" s="1"/>
  <c r="P219" i="3"/>
  <c r="T219" i="3" s="1"/>
  <c r="O219" i="3"/>
  <c r="O220" i="3" s="1"/>
  <c r="K219" i="3"/>
  <c r="AG218" i="3"/>
  <c r="AF218" i="3"/>
  <c r="AE218" i="3"/>
  <c r="AD218" i="3"/>
  <c r="AG217" i="3"/>
  <c r="AF217" i="3"/>
  <c r="AE217" i="3"/>
  <c r="AD217" i="3"/>
  <c r="L217" i="3"/>
  <c r="AG216" i="3"/>
  <c r="AF216" i="3"/>
  <c r="AE216" i="3"/>
  <c r="AD216" i="3"/>
  <c r="M216" i="3"/>
  <c r="K216" i="3"/>
  <c r="AG215" i="3"/>
  <c r="AF215" i="3"/>
  <c r="AE215" i="3"/>
  <c r="AD215" i="3"/>
  <c r="Q215" i="3"/>
  <c r="P215" i="3"/>
  <c r="T215" i="3" s="1"/>
  <c r="O215" i="3"/>
  <c r="M215" i="3"/>
  <c r="M217" i="3" s="1"/>
  <c r="L215" i="3"/>
  <c r="L216" i="3" s="1"/>
  <c r="K215" i="3"/>
  <c r="K217" i="3" s="1"/>
  <c r="AG214" i="3"/>
  <c r="AF214" i="3"/>
  <c r="AE214" i="3"/>
  <c r="AD214" i="3"/>
  <c r="AG213" i="3"/>
  <c r="AF213" i="3"/>
  <c r="AE213" i="3"/>
  <c r="AD213" i="3"/>
  <c r="L213" i="3"/>
  <c r="K213" i="3"/>
  <c r="AG212" i="3"/>
  <c r="AF212" i="3"/>
  <c r="AE212" i="3"/>
  <c r="AD212" i="3"/>
  <c r="Q212" i="3"/>
  <c r="M212" i="3"/>
  <c r="L212" i="3"/>
  <c r="AG211" i="3"/>
  <c r="AF211" i="3"/>
  <c r="AE211" i="3"/>
  <c r="AD211" i="3"/>
  <c r="M211" i="3"/>
  <c r="AG210" i="3"/>
  <c r="AF210" i="3"/>
  <c r="AE210" i="3"/>
  <c r="AD210" i="3"/>
  <c r="U210" i="3"/>
  <c r="T210" i="3"/>
  <c r="Q210" i="3"/>
  <c r="Q211" i="3" s="1"/>
  <c r="P210" i="3"/>
  <c r="P211" i="3" s="1"/>
  <c r="O210" i="3"/>
  <c r="M210" i="3"/>
  <c r="M213" i="3" s="1"/>
  <c r="L210" i="3"/>
  <c r="L211" i="3" s="1"/>
  <c r="K210" i="3"/>
  <c r="K212" i="3" s="1"/>
  <c r="AG209" i="3"/>
  <c r="AF209" i="3"/>
  <c r="AE209" i="3"/>
  <c r="AD209" i="3"/>
  <c r="AG208" i="3"/>
  <c r="AF208" i="3"/>
  <c r="AE208" i="3"/>
  <c r="AD208" i="3"/>
  <c r="X208" i="3"/>
  <c r="X319" i="3" s="1"/>
  <c r="M208" i="3"/>
  <c r="L208" i="3"/>
  <c r="AG207" i="3"/>
  <c r="AF207" i="3"/>
  <c r="AE207" i="3"/>
  <c r="AD207" i="3"/>
  <c r="M207" i="3"/>
  <c r="AG206" i="3"/>
  <c r="AF206" i="3"/>
  <c r="AD206" i="3"/>
  <c r="I206" i="3"/>
  <c r="AG205" i="3"/>
  <c r="AF205" i="3"/>
  <c r="AE205" i="3"/>
  <c r="AD205" i="3"/>
  <c r="M205" i="3"/>
  <c r="L205" i="3"/>
  <c r="AG204" i="3"/>
  <c r="AF204" i="3"/>
  <c r="AE204" i="3"/>
  <c r="AD204" i="3"/>
  <c r="M204" i="3"/>
  <c r="AG203" i="3"/>
  <c r="AF203" i="3"/>
  <c r="AE203" i="3"/>
  <c r="AD203" i="3"/>
  <c r="U203" i="3"/>
  <c r="T203" i="3"/>
  <c r="Q203" i="3"/>
  <c r="Q204" i="3" s="1"/>
  <c r="P203" i="3"/>
  <c r="P204" i="3" s="1"/>
  <c r="O203" i="3"/>
  <c r="M203" i="3"/>
  <c r="M206" i="3" s="1"/>
  <c r="L203" i="3"/>
  <c r="L207" i="3" s="1"/>
  <c r="K203" i="3"/>
  <c r="K208" i="3" s="1"/>
  <c r="AG202" i="3"/>
  <c r="AF202" i="3"/>
  <c r="AE202" i="3"/>
  <c r="AD202" i="3"/>
  <c r="AG201" i="3"/>
  <c r="AF201" i="3"/>
  <c r="AE201" i="3"/>
  <c r="AD201" i="3"/>
  <c r="L201" i="3"/>
  <c r="K201" i="3"/>
  <c r="AG200" i="3"/>
  <c r="AF200" i="3"/>
  <c r="AE200" i="3"/>
  <c r="AD200" i="3"/>
  <c r="Q200" i="3"/>
  <c r="M200" i="3"/>
  <c r="L200" i="3"/>
  <c r="AG199" i="3"/>
  <c r="AF199" i="3"/>
  <c r="AE199" i="3"/>
  <c r="AD199" i="3"/>
  <c r="M199" i="3"/>
  <c r="AG198" i="3"/>
  <c r="AF198" i="3"/>
  <c r="AE198" i="3"/>
  <c r="AD198" i="3"/>
  <c r="U198" i="3"/>
  <c r="T198" i="3"/>
  <c r="Q198" i="3"/>
  <c r="Q199" i="3" s="1"/>
  <c r="P198" i="3"/>
  <c r="P199" i="3" s="1"/>
  <c r="O198" i="3"/>
  <c r="M198" i="3"/>
  <c r="M201" i="3" s="1"/>
  <c r="L198" i="3"/>
  <c r="L199" i="3" s="1"/>
  <c r="K198" i="3"/>
  <c r="K200" i="3" s="1"/>
  <c r="AG197" i="3"/>
  <c r="AF197" i="3"/>
  <c r="AE197" i="3"/>
  <c r="AD197" i="3"/>
  <c r="AG196" i="3"/>
  <c r="AF196" i="3"/>
  <c r="AE196" i="3"/>
  <c r="AD196" i="3"/>
  <c r="M196" i="3"/>
  <c r="L196" i="3"/>
  <c r="K196" i="3"/>
  <c r="AG195" i="3"/>
  <c r="AF195" i="3"/>
  <c r="AE195" i="3"/>
  <c r="AD195" i="3"/>
  <c r="Q195" i="3"/>
  <c r="M195" i="3"/>
  <c r="L195" i="3"/>
  <c r="K195" i="3"/>
  <c r="AG194" i="3"/>
  <c r="AF194" i="3"/>
  <c r="AE194" i="3"/>
  <c r="AD194" i="3"/>
  <c r="M194" i="3"/>
  <c r="L194" i="3"/>
  <c r="K194" i="3"/>
  <c r="AG193" i="3"/>
  <c r="AF193" i="3"/>
  <c r="AE193" i="3"/>
  <c r="AD193" i="3"/>
  <c r="U193" i="3"/>
  <c r="T193" i="3"/>
  <c r="Q193" i="3"/>
  <c r="Q194" i="3" s="1"/>
  <c r="U194" i="3" s="1"/>
  <c r="P193" i="3"/>
  <c r="P194" i="3" s="1"/>
  <c r="O193" i="3"/>
  <c r="AG192" i="3"/>
  <c r="AF192" i="3"/>
  <c r="AE192" i="3"/>
  <c r="AD192" i="3"/>
  <c r="AG191" i="3"/>
  <c r="AF191" i="3"/>
  <c r="AE191" i="3"/>
  <c r="AD191" i="3"/>
  <c r="Q191" i="3"/>
  <c r="P191" i="3"/>
  <c r="M191" i="3"/>
  <c r="AG190" i="3"/>
  <c r="AF190" i="3"/>
  <c r="AE190" i="3"/>
  <c r="AD190" i="3"/>
  <c r="Q190" i="3"/>
  <c r="P190" i="3"/>
  <c r="AG189" i="3"/>
  <c r="AF189" i="3"/>
  <c r="AE189" i="3"/>
  <c r="AD189" i="3"/>
  <c r="Q189" i="3"/>
  <c r="P189" i="3"/>
  <c r="O189" i="3"/>
  <c r="K189" i="3"/>
  <c r="AG188" i="3"/>
  <c r="AF188" i="3"/>
  <c r="AE188" i="3"/>
  <c r="AD188" i="3"/>
  <c r="Q188" i="3"/>
  <c r="P188" i="3"/>
  <c r="K188" i="3"/>
  <c r="AG187" i="3"/>
  <c r="AF187" i="3"/>
  <c r="AE187" i="3"/>
  <c r="AD187" i="3"/>
  <c r="S187" i="3"/>
  <c r="Q187" i="3"/>
  <c r="U187" i="3" s="1"/>
  <c r="P187" i="3"/>
  <c r="O187" i="3"/>
  <c r="O188" i="3" s="1"/>
  <c r="S188" i="3" s="1"/>
  <c r="M187" i="3"/>
  <c r="L187" i="3"/>
  <c r="K187" i="3"/>
  <c r="K191" i="3" s="1"/>
  <c r="AG186" i="3"/>
  <c r="AF186" i="3"/>
  <c r="AE186" i="3"/>
  <c r="AD186" i="3"/>
  <c r="AG185" i="3"/>
  <c r="AF185" i="3"/>
  <c r="AE185" i="3"/>
  <c r="AD185" i="3"/>
  <c r="AG184" i="3"/>
  <c r="AF184" i="3"/>
  <c r="AE184" i="3"/>
  <c r="AD184" i="3"/>
  <c r="P184" i="3"/>
  <c r="K184" i="3"/>
  <c r="AG183" i="3"/>
  <c r="AF183" i="3"/>
  <c r="AE183" i="3"/>
  <c r="AD183" i="3"/>
  <c r="Q183" i="3"/>
  <c r="P183" i="3"/>
  <c r="L183" i="3"/>
  <c r="K183" i="3"/>
  <c r="AG182" i="3"/>
  <c r="AF182" i="3"/>
  <c r="AE182" i="3"/>
  <c r="AD182" i="3"/>
  <c r="Q182" i="3"/>
  <c r="M182" i="3"/>
  <c r="M183" i="3" s="1"/>
  <c r="L182" i="3"/>
  <c r="AG181" i="3"/>
  <c r="AF181" i="3"/>
  <c r="AE181" i="3"/>
  <c r="AD181" i="3"/>
  <c r="T181" i="3"/>
  <c r="Q181" i="3"/>
  <c r="U181" i="3" s="1"/>
  <c r="P181" i="3"/>
  <c r="P182" i="3" s="1"/>
  <c r="T182" i="3" s="1"/>
  <c r="O181" i="3"/>
  <c r="M181" i="3"/>
  <c r="M184" i="3" s="1"/>
  <c r="L181" i="3"/>
  <c r="L185" i="3" s="1"/>
  <c r="K181" i="3"/>
  <c r="K182" i="3" s="1"/>
  <c r="AG180" i="3"/>
  <c r="AF180" i="3"/>
  <c r="AE180" i="3"/>
  <c r="AD180" i="3"/>
  <c r="AG179" i="3"/>
  <c r="AF179" i="3"/>
  <c r="AE179" i="3"/>
  <c r="AD179" i="3"/>
  <c r="P179" i="3"/>
  <c r="T179" i="3" s="1"/>
  <c r="K179" i="3"/>
  <c r="AG178" i="3"/>
  <c r="AF178" i="3"/>
  <c r="AE178" i="3"/>
  <c r="AD178" i="3"/>
  <c r="Q178" i="3"/>
  <c r="Q179" i="3" s="1"/>
  <c r="P178" i="3"/>
  <c r="L178" i="3"/>
  <c r="K178" i="3"/>
  <c r="AG177" i="3"/>
  <c r="AF177" i="3"/>
  <c r="AE177" i="3"/>
  <c r="AD177" i="3"/>
  <c r="S177" i="3"/>
  <c r="Q177" i="3"/>
  <c r="P177" i="3"/>
  <c r="T177" i="3" s="1"/>
  <c r="O177" i="3"/>
  <c r="O178" i="3" s="1"/>
  <c r="S178" i="3" s="1"/>
  <c r="M177" i="3"/>
  <c r="L177" i="3"/>
  <c r="L179" i="3" s="1"/>
  <c r="AG176" i="3"/>
  <c r="AF176" i="3"/>
  <c r="AE176" i="3"/>
  <c r="AD176" i="3"/>
  <c r="AG175" i="3"/>
  <c r="AF175" i="3"/>
  <c r="AE175" i="3"/>
  <c r="AD175" i="3"/>
  <c r="M175" i="3"/>
  <c r="L175" i="3"/>
  <c r="K175" i="3"/>
  <c r="AG174" i="3"/>
  <c r="AF174" i="3"/>
  <c r="AE174" i="3"/>
  <c r="AD174" i="3"/>
  <c r="M174" i="3"/>
  <c r="L174" i="3"/>
  <c r="K174" i="3"/>
  <c r="AG173" i="3"/>
  <c r="AF173" i="3"/>
  <c r="AE173" i="3"/>
  <c r="AD173" i="3"/>
  <c r="P173" i="3"/>
  <c r="M173" i="3"/>
  <c r="L173" i="3"/>
  <c r="K173" i="3"/>
  <c r="AG172" i="3"/>
  <c r="AF172" i="3"/>
  <c r="AE172" i="3"/>
  <c r="AD172" i="3"/>
  <c r="M172" i="3"/>
  <c r="L172" i="3"/>
  <c r="K172" i="3"/>
  <c r="AG171" i="3"/>
  <c r="AF171" i="3"/>
  <c r="AE171" i="3"/>
  <c r="AD171" i="3"/>
  <c r="P171" i="3"/>
  <c r="P172" i="3" s="1"/>
  <c r="M171" i="3"/>
  <c r="L171" i="3"/>
  <c r="K171" i="3"/>
  <c r="AG170" i="3"/>
  <c r="AF170" i="3"/>
  <c r="AE170" i="3"/>
  <c r="AD170" i="3"/>
  <c r="T170" i="3"/>
  <c r="Q170" i="3"/>
  <c r="Q171" i="3" s="1"/>
  <c r="P170" i="3"/>
  <c r="O170" i="3"/>
  <c r="AG169" i="3"/>
  <c r="AF169" i="3"/>
  <c r="AE169" i="3"/>
  <c r="AD169" i="3"/>
  <c r="AG168" i="3"/>
  <c r="AF168" i="3"/>
  <c r="AE168" i="3"/>
  <c r="AD168" i="3"/>
  <c r="L168" i="3"/>
  <c r="AG167" i="3"/>
  <c r="AF167" i="3"/>
  <c r="AE167" i="3"/>
  <c r="AD167" i="3"/>
  <c r="M167" i="3"/>
  <c r="L167" i="3"/>
  <c r="AG166" i="3"/>
  <c r="AF166" i="3"/>
  <c r="AE166" i="3"/>
  <c r="AD166" i="3"/>
  <c r="O166" i="3"/>
  <c r="L166" i="3"/>
  <c r="AG165" i="3"/>
  <c r="AF165" i="3"/>
  <c r="AE165" i="3"/>
  <c r="AD165" i="3"/>
  <c r="P165" i="3"/>
  <c r="M165" i="3"/>
  <c r="L165" i="3"/>
  <c r="AG164" i="3"/>
  <c r="AF164" i="3"/>
  <c r="AE164" i="3"/>
  <c r="AD164" i="3"/>
  <c r="T164" i="3"/>
  <c r="Q164" i="3"/>
  <c r="P164" i="3"/>
  <c r="O164" i="3"/>
  <c r="O165" i="3" s="1"/>
  <c r="M164" i="3"/>
  <c r="M166" i="3" s="1"/>
  <c r="K164" i="3"/>
  <c r="K165" i="3" s="1"/>
  <c r="AG163" i="3"/>
  <c r="AF163" i="3"/>
  <c r="AE163" i="3"/>
  <c r="AD163" i="3"/>
  <c r="AG162" i="3"/>
  <c r="AF162" i="3"/>
  <c r="AE162" i="3"/>
  <c r="AD162" i="3"/>
  <c r="AG161" i="3"/>
  <c r="AF161" i="3"/>
  <c r="AE161" i="3"/>
  <c r="AD161" i="3"/>
  <c r="M161" i="3"/>
  <c r="AG160" i="3"/>
  <c r="AF160" i="3"/>
  <c r="AE160" i="3"/>
  <c r="AD160" i="3"/>
  <c r="AG159" i="3"/>
  <c r="AF159" i="3"/>
  <c r="AE159" i="3"/>
  <c r="AD159" i="3"/>
  <c r="P159" i="3"/>
  <c r="M159" i="3"/>
  <c r="K159" i="3"/>
  <c r="AG158" i="3"/>
  <c r="AF158" i="3"/>
  <c r="AE158" i="3"/>
  <c r="AD158" i="3"/>
  <c r="Q158" i="3"/>
  <c r="P158" i="3"/>
  <c r="O158" i="3"/>
  <c r="O159" i="3" s="1"/>
  <c r="S159" i="3" s="1"/>
  <c r="M158" i="3"/>
  <c r="M160" i="3" s="1"/>
  <c r="L158" i="3"/>
  <c r="K158" i="3"/>
  <c r="K162" i="3" s="1"/>
  <c r="AG157" i="3"/>
  <c r="AF157" i="3"/>
  <c r="AE157" i="3"/>
  <c r="AD157" i="3"/>
  <c r="AG156" i="3"/>
  <c r="AF156" i="3"/>
  <c r="AE156" i="3"/>
  <c r="AD156" i="3"/>
  <c r="M156" i="3"/>
  <c r="AG155" i="3"/>
  <c r="AF155" i="3"/>
  <c r="AE155" i="3"/>
  <c r="AD155" i="3"/>
  <c r="AG154" i="3"/>
  <c r="AF154" i="3"/>
  <c r="AE154" i="3"/>
  <c r="AD154" i="3"/>
  <c r="P154" i="3"/>
  <c r="M154" i="3"/>
  <c r="K154" i="3"/>
  <c r="AG153" i="3"/>
  <c r="AF153" i="3"/>
  <c r="AE153" i="3"/>
  <c r="AD153" i="3"/>
  <c r="Q153" i="3"/>
  <c r="P153" i="3"/>
  <c r="O153" i="3"/>
  <c r="O154" i="3" s="1"/>
  <c r="M153" i="3"/>
  <c r="M155" i="3" s="1"/>
  <c r="L153" i="3"/>
  <c r="K153" i="3"/>
  <c r="K156" i="3" s="1"/>
  <c r="AG152" i="3"/>
  <c r="AF152" i="3"/>
  <c r="AE152" i="3"/>
  <c r="AD152" i="3"/>
  <c r="AG151" i="3"/>
  <c r="AF151" i="3"/>
  <c r="AE151" i="3"/>
  <c r="AD151" i="3"/>
  <c r="M151" i="3"/>
  <c r="L151" i="3"/>
  <c r="AG150" i="3"/>
  <c r="AF150" i="3"/>
  <c r="AE150" i="3"/>
  <c r="AD150" i="3"/>
  <c r="Q150" i="3"/>
  <c r="Q151" i="3" s="1"/>
  <c r="U151" i="3" s="1"/>
  <c r="I18" i="1" s="1"/>
  <c r="O150" i="3"/>
  <c r="M150" i="3"/>
  <c r="L150" i="3"/>
  <c r="AG149" i="3"/>
  <c r="AF149" i="3"/>
  <c r="AE149" i="3"/>
  <c r="AD149" i="3"/>
  <c r="U149" i="3"/>
  <c r="Q149" i="3"/>
  <c r="P149" i="3"/>
  <c r="O149" i="3"/>
  <c r="S149" i="3" s="1"/>
  <c r="K149" i="3"/>
  <c r="K151" i="3" s="1"/>
  <c r="AG148" i="3"/>
  <c r="AF148" i="3"/>
  <c r="AE148" i="3"/>
  <c r="AD148" i="3"/>
  <c r="AG147" i="3"/>
  <c r="AF147" i="3"/>
  <c r="AE147" i="3"/>
  <c r="AD147" i="3"/>
  <c r="AG146" i="3"/>
  <c r="AF146" i="3"/>
  <c r="AE146" i="3"/>
  <c r="AD146" i="3"/>
  <c r="P146" i="3"/>
  <c r="K146" i="3"/>
  <c r="AG145" i="3"/>
  <c r="AF145" i="3"/>
  <c r="AE145" i="3"/>
  <c r="AD145" i="3"/>
  <c r="L145" i="3"/>
  <c r="AG144" i="3"/>
  <c r="AF144" i="3"/>
  <c r="AE144" i="3"/>
  <c r="AD144" i="3"/>
  <c r="P144" i="3"/>
  <c r="P145" i="3" s="1"/>
  <c r="T145" i="3" s="1"/>
  <c r="M144" i="3"/>
  <c r="AG143" i="3"/>
  <c r="AF143" i="3"/>
  <c r="AE143" i="3"/>
  <c r="AD143" i="3"/>
  <c r="T143" i="3"/>
  <c r="Q143" i="3"/>
  <c r="Q144" i="3" s="1"/>
  <c r="P143" i="3"/>
  <c r="O143" i="3"/>
  <c r="M143" i="3"/>
  <c r="M147" i="3" s="1"/>
  <c r="L143" i="3"/>
  <c r="L144" i="3" s="1"/>
  <c r="K143" i="3"/>
  <c r="K145" i="3" s="1"/>
  <c r="AG142" i="3"/>
  <c r="AF142" i="3"/>
  <c r="AE142" i="3"/>
  <c r="AD142" i="3"/>
  <c r="AG141" i="3"/>
  <c r="AF141" i="3"/>
  <c r="AE141" i="3"/>
  <c r="AD141" i="3"/>
  <c r="U141" i="3"/>
  <c r="Q141" i="3"/>
  <c r="P141" i="3"/>
  <c r="T141" i="3" s="1"/>
  <c r="R31" i="2" s="1"/>
  <c r="O141" i="3"/>
  <c r="M141" i="3"/>
  <c r="L141" i="3"/>
  <c r="K141" i="3"/>
  <c r="O31" i="2" s="1"/>
  <c r="AG140" i="3"/>
  <c r="AF140" i="3"/>
  <c r="AE140" i="3"/>
  <c r="AD140" i="3"/>
  <c r="Q140" i="3"/>
  <c r="U140" i="3" s="1"/>
  <c r="P140" i="3"/>
  <c r="O140" i="3"/>
  <c r="M140" i="3"/>
  <c r="L140" i="3"/>
  <c r="AG139" i="3"/>
  <c r="AF139" i="3"/>
  <c r="AE139" i="3"/>
  <c r="AD139" i="3"/>
  <c r="Q139" i="3"/>
  <c r="P139" i="3"/>
  <c r="T139" i="3" s="1"/>
  <c r="O139" i="3"/>
  <c r="M139" i="3"/>
  <c r="L139" i="3"/>
  <c r="AG138" i="3"/>
  <c r="AF138" i="3"/>
  <c r="AE138" i="3"/>
  <c r="AD138" i="3"/>
  <c r="T138" i="3"/>
  <c r="Q138" i="3"/>
  <c r="U138" i="3" s="1"/>
  <c r="P138" i="3"/>
  <c r="O138" i="3"/>
  <c r="M138" i="3"/>
  <c r="L138" i="3"/>
  <c r="AG137" i="3"/>
  <c r="AF137" i="3"/>
  <c r="AE137" i="3"/>
  <c r="AD137" i="3"/>
  <c r="AB137" i="3"/>
  <c r="Q137" i="3"/>
  <c r="U137" i="3" s="1"/>
  <c r="P137" i="3"/>
  <c r="T137" i="3" s="1"/>
  <c r="O137" i="3"/>
  <c r="S137" i="3" s="1"/>
  <c r="K137" i="3"/>
  <c r="K140" i="3" s="1"/>
  <c r="AG136" i="3"/>
  <c r="AF136" i="3"/>
  <c r="AE136" i="3"/>
  <c r="AD136" i="3"/>
  <c r="AG135" i="3"/>
  <c r="AF135" i="3"/>
  <c r="AE135" i="3"/>
  <c r="AD135" i="3"/>
  <c r="P135" i="3"/>
  <c r="T135" i="3" s="1"/>
  <c r="M135" i="3"/>
  <c r="K135" i="3"/>
  <c r="AG134" i="3"/>
  <c r="AF134" i="3"/>
  <c r="AE134" i="3"/>
  <c r="AD134" i="3"/>
  <c r="Q134" i="3"/>
  <c r="P134" i="3"/>
  <c r="T134" i="3" s="1"/>
  <c r="M134" i="3"/>
  <c r="L134" i="3"/>
  <c r="AG133" i="3"/>
  <c r="AF133" i="3"/>
  <c r="AE133" i="3"/>
  <c r="AD133" i="3"/>
  <c r="S133" i="3"/>
  <c r="Q133" i="3"/>
  <c r="U133" i="3" s="1"/>
  <c r="P133" i="3"/>
  <c r="T133" i="3" s="1"/>
  <c r="O133" i="3"/>
  <c r="O134" i="3" s="1"/>
  <c r="L133" i="3"/>
  <c r="L135" i="3" s="1"/>
  <c r="K133" i="3"/>
  <c r="K134" i="3" s="1"/>
  <c r="AG132" i="3"/>
  <c r="AF132" i="3"/>
  <c r="AE132" i="3"/>
  <c r="AD132" i="3"/>
  <c r="AG131" i="3"/>
  <c r="AF131" i="3"/>
  <c r="AE131" i="3"/>
  <c r="AD131" i="3"/>
  <c r="L131" i="3"/>
  <c r="AG130" i="3"/>
  <c r="AF130" i="3"/>
  <c r="AE130" i="3"/>
  <c r="AD130" i="3"/>
  <c r="L130" i="3"/>
  <c r="AG129" i="3"/>
  <c r="AF129" i="3"/>
  <c r="AE129" i="3"/>
  <c r="AD129" i="3"/>
  <c r="P129" i="3"/>
  <c r="L129" i="3"/>
  <c r="K129" i="3"/>
  <c r="AG128" i="3"/>
  <c r="AF128" i="3"/>
  <c r="AE128" i="3"/>
  <c r="AD128" i="3"/>
  <c r="Q128" i="3"/>
  <c r="P128" i="3"/>
  <c r="L128" i="3"/>
  <c r="AG127" i="3"/>
  <c r="AF127" i="3"/>
  <c r="AE127" i="3"/>
  <c r="AD127" i="3"/>
  <c r="S127" i="3"/>
  <c r="Q127" i="3"/>
  <c r="P127" i="3"/>
  <c r="T127" i="3" s="1"/>
  <c r="O127" i="3"/>
  <c r="O128" i="3" s="1"/>
  <c r="M127" i="3"/>
  <c r="K127" i="3"/>
  <c r="K131" i="3" s="1"/>
  <c r="AG126" i="3"/>
  <c r="AF126" i="3"/>
  <c r="AE126" i="3"/>
  <c r="AD126" i="3"/>
  <c r="AG125" i="3"/>
  <c r="AF125" i="3"/>
  <c r="AE125" i="3"/>
  <c r="AD125" i="3"/>
  <c r="M125" i="3"/>
  <c r="L125" i="3"/>
  <c r="AG124" i="3"/>
  <c r="AF124" i="3"/>
  <c r="AE124" i="3"/>
  <c r="AD124" i="3"/>
  <c r="L124" i="3"/>
  <c r="AG123" i="3"/>
  <c r="AF123" i="3"/>
  <c r="AE123" i="3"/>
  <c r="AD123" i="3"/>
  <c r="P123" i="3"/>
  <c r="L123" i="3"/>
  <c r="K123" i="3"/>
  <c r="AG122" i="3"/>
  <c r="AF122" i="3"/>
  <c r="AE122" i="3"/>
  <c r="AD122" i="3"/>
  <c r="Q122" i="3"/>
  <c r="P122" i="3"/>
  <c r="L122" i="3"/>
  <c r="AG121" i="3"/>
  <c r="AF121" i="3"/>
  <c r="AE121" i="3"/>
  <c r="AD121" i="3"/>
  <c r="S121" i="3"/>
  <c r="Q121" i="3"/>
  <c r="P121" i="3"/>
  <c r="T121" i="3" s="1"/>
  <c r="O121" i="3"/>
  <c r="O122" i="3" s="1"/>
  <c r="M121" i="3"/>
  <c r="K121" i="3"/>
  <c r="K122" i="3" s="1"/>
  <c r="AG120" i="3"/>
  <c r="AF120" i="3"/>
  <c r="AE120" i="3"/>
  <c r="AD120" i="3"/>
  <c r="AG119" i="3"/>
  <c r="AF119" i="3"/>
  <c r="AE119" i="3"/>
  <c r="AD119" i="3"/>
  <c r="M119" i="3"/>
  <c r="AG118" i="3"/>
  <c r="AF118" i="3"/>
  <c r="AE118" i="3"/>
  <c r="AD118" i="3"/>
  <c r="O118" i="3"/>
  <c r="M118" i="3"/>
  <c r="AG117" i="3"/>
  <c r="AF117" i="3"/>
  <c r="AE117" i="3"/>
  <c r="AD117" i="3"/>
  <c r="P117" i="3"/>
  <c r="O117" i="3"/>
  <c r="S117" i="3" s="1"/>
  <c r="K117" i="3"/>
  <c r="AG116" i="3"/>
  <c r="AF116" i="3"/>
  <c r="AE116" i="3"/>
  <c r="AD116" i="3"/>
  <c r="Q116" i="3"/>
  <c r="P116" i="3"/>
  <c r="T116" i="3" s="1"/>
  <c r="O116" i="3"/>
  <c r="S116" i="3" s="1"/>
  <c r="M116" i="3"/>
  <c r="M117" i="3" s="1"/>
  <c r="L116" i="3"/>
  <c r="K116" i="3"/>
  <c r="K119" i="3" s="1"/>
  <c r="C23" i="2" s="1"/>
  <c r="AG115" i="3"/>
  <c r="AF115" i="3"/>
  <c r="AE115" i="3"/>
  <c r="AD115" i="3"/>
  <c r="AG114" i="3"/>
  <c r="AF114" i="3"/>
  <c r="AE114" i="3"/>
  <c r="AD114" i="3"/>
  <c r="AG113" i="3"/>
  <c r="AF113" i="3"/>
  <c r="AE113" i="3"/>
  <c r="AD113" i="3"/>
  <c r="AG112" i="3"/>
  <c r="AF112" i="3"/>
  <c r="AE112" i="3"/>
  <c r="AD112" i="3"/>
  <c r="P112" i="3"/>
  <c r="K112" i="3"/>
  <c r="AG111" i="3"/>
  <c r="AF111" i="3"/>
  <c r="AE111" i="3"/>
  <c r="AD111" i="3"/>
  <c r="Q111" i="3"/>
  <c r="P111" i="3"/>
  <c r="T111" i="3" s="1"/>
  <c r="L111" i="3"/>
  <c r="K111" i="3"/>
  <c r="AG110" i="3"/>
  <c r="AF110" i="3"/>
  <c r="AE110" i="3"/>
  <c r="AD110" i="3"/>
  <c r="S110" i="3"/>
  <c r="Q110" i="3"/>
  <c r="P110" i="3"/>
  <c r="T110" i="3" s="1"/>
  <c r="O110" i="3"/>
  <c r="O111" i="3" s="1"/>
  <c r="M110" i="3"/>
  <c r="L110" i="3"/>
  <c r="L114" i="3" s="1"/>
  <c r="K110" i="3"/>
  <c r="K114" i="3" s="1"/>
  <c r="AG109" i="3"/>
  <c r="AF109" i="3"/>
  <c r="AE109" i="3"/>
  <c r="AD109" i="3"/>
  <c r="AG108" i="3"/>
  <c r="AF108" i="3"/>
  <c r="AE108" i="3"/>
  <c r="AD108" i="3"/>
  <c r="AG107" i="3"/>
  <c r="AF107" i="3"/>
  <c r="AE107" i="3"/>
  <c r="AD107" i="3"/>
  <c r="K107" i="3"/>
  <c r="AG106" i="3"/>
  <c r="AF106" i="3"/>
  <c r="AE106" i="3"/>
  <c r="AD106" i="3"/>
  <c r="Q106" i="3"/>
  <c r="L106" i="3"/>
  <c r="K106" i="3"/>
  <c r="AG105" i="3"/>
  <c r="AF105" i="3"/>
  <c r="AE105" i="3"/>
  <c r="AD105" i="3"/>
  <c r="Q105" i="3"/>
  <c r="U105" i="3" s="1"/>
  <c r="M105" i="3"/>
  <c r="L105" i="3"/>
  <c r="AG104" i="3"/>
  <c r="AF104" i="3"/>
  <c r="AE104" i="3"/>
  <c r="AD104" i="3"/>
  <c r="T104" i="3"/>
  <c r="Q104" i="3"/>
  <c r="U104" i="3" s="1"/>
  <c r="P104" i="3"/>
  <c r="P105" i="3" s="1"/>
  <c r="O104" i="3"/>
  <c r="M104" i="3"/>
  <c r="M108" i="3" s="1"/>
  <c r="L104" i="3"/>
  <c r="L108" i="3" s="1"/>
  <c r="K108" i="3" s="1"/>
  <c r="I11" i="2" s="1"/>
  <c r="K104" i="3"/>
  <c r="K105" i="3" s="1"/>
  <c r="AG103" i="3"/>
  <c r="AF103" i="3"/>
  <c r="AE103" i="3"/>
  <c r="AD103" i="3"/>
  <c r="AG102" i="3"/>
  <c r="AF102" i="3"/>
  <c r="AE102" i="3"/>
  <c r="AD102" i="3"/>
  <c r="Q102" i="3"/>
  <c r="P102" i="3"/>
  <c r="O102" i="3"/>
  <c r="S102" i="3" s="1"/>
  <c r="K102" i="3"/>
  <c r="AG101" i="3"/>
  <c r="AF101" i="3"/>
  <c r="AE101" i="3"/>
  <c r="AD101" i="3"/>
  <c r="Q101" i="3"/>
  <c r="P101" i="3"/>
  <c r="O101" i="3"/>
  <c r="AG100" i="3"/>
  <c r="AF100" i="3"/>
  <c r="AE100" i="3"/>
  <c r="AD100" i="3"/>
  <c r="Q100" i="3"/>
  <c r="P100" i="3"/>
  <c r="O100" i="3"/>
  <c r="M100" i="3"/>
  <c r="AG99" i="3"/>
  <c r="AF99" i="3"/>
  <c r="AE99" i="3"/>
  <c r="AD99" i="3"/>
  <c r="Q99" i="3"/>
  <c r="P99" i="3"/>
  <c r="O99" i="3"/>
  <c r="M99" i="3"/>
  <c r="U99" i="3" s="1"/>
  <c r="AG98" i="3"/>
  <c r="AF98" i="3"/>
  <c r="AE98" i="3"/>
  <c r="AD98" i="3"/>
  <c r="AB98" i="3"/>
  <c r="Q98" i="3"/>
  <c r="U98" i="3" s="1"/>
  <c r="P98" i="3"/>
  <c r="T98" i="3" s="1"/>
  <c r="O98" i="3"/>
  <c r="S98" i="3" s="1"/>
  <c r="M98" i="3"/>
  <c r="M102" i="3" s="1"/>
  <c r="U102" i="3" s="1"/>
  <c r="L98" i="3"/>
  <c r="K98" i="3"/>
  <c r="K101" i="3" s="1"/>
  <c r="AG97" i="3"/>
  <c r="AF97" i="3"/>
  <c r="AE97" i="3"/>
  <c r="AD97" i="3"/>
  <c r="AG96" i="3"/>
  <c r="AF96" i="3"/>
  <c r="AE96" i="3"/>
  <c r="AD96" i="3"/>
  <c r="M96" i="3"/>
  <c r="K96" i="3"/>
  <c r="AG95" i="3"/>
  <c r="AF95" i="3"/>
  <c r="AE95" i="3"/>
  <c r="AD95" i="3"/>
  <c r="O95" i="3"/>
  <c r="M95" i="3"/>
  <c r="K95" i="3"/>
  <c r="AG94" i="3"/>
  <c r="AF94" i="3"/>
  <c r="AE94" i="3"/>
  <c r="AD94" i="3"/>
  <c r="P94" i="3"/>
  <c r="O94" i="3"/>
  <c r="S94" i="3" s="1"/>
  <c r="K94" i="3"/>
  <c r="AG93" i="3"/>
  <c r="AF93" i="3"/>
  <c r="AE93" i="3"/>
  <c r="AD93" i="3"/>
  <c r="Q93" i="3"/>
  <c r="P93" i="3"/>
  <c r="O93" i="3"/>
  <c r="S93" i="3" s="1"/>
  <c r="M93" i="3"/>
  <c r="M94" i="3" s="1"/>
  <c r="L93" i="3"/>
  <c r="AG92" i="3"/>
  <c r="AF92" i="3"/>
  <c r="AE92" i="3"/>
  <c r="AD92" i="3"/>
  <c r="AG91" i="3"/>
  <c r="AF91" i="3"/>
  <c r="AE91" i="3"/>
  <c r="AD91" i="3"/>
  <c r="Q91" i="3"/>
  <c r="P91" i="3"/>
  <c r="T91" i="3" s="1"/>
  <c r="L91" i="3"/>
  <c r="K91" i="3"/>
  <c r="AG90" i="3"/>
  <c r="AF90" i="3"/>
  <c r="AE90" i="3"/>
  <c r="AD90" i="3"/>
  <c r="S90" i="3"/>
  <c r="Q90" i="3"/>
  <c r="P90" i="3"/>
  <c r="T90" i="3" s="1"/>
  <c r="O90" i="3"/>
  <c r="O91" i="3" s="1"/>
  <c r="S91" i="3" s="1"/>
  <c r="P21" i="2" s="1"/>
  <c r="Q21" i="2" s="1"/>
  <c r="M90" i="3"/>
  <c r="M91" i="3" s="1"/>
  <c r="L90" i="3"/>
  <c r="AG89" i="3"/>
  <c r="AF89" i="3"/>
  <c r="AE89" i="3"/>
  <c r="AD89" i="3"/>
  <c r="AG88" i="3"/>
  <c r="AF88" i="3"/>
  <c r="AE88" i="3"/>
  <c r="AD88" i="3"/>
  <c r="M88" i="3"/>
  <c r="L88" i="3"/>
  <c r="K88" i="3"/>
  <c r="AG87" i="3"/>
  <c r="AF87" i="3"/>
  <c r="AE87" i="3"/>
  <c r="AD87" i="3"/>
  <c r="O87" i="3"/>
  <c r="M87" i="3"/>
  <c r="K87" i="3"/>
  <c r="AG86" i="3"/>
  <c r="AF86" i="3"/>
  <c r="AE86" i="3"/>
  <c r="AD86" i="3"/>
  <c r="U86" i="3"/>
  <c r="Q86" i="3"/>
  <c r="Q87" i="3" s="1"/>
  <c r="P86" i="3"/>
  <c r="O86" i="3"/>
  <c r="S86" i="3" s="1"/>
  <c r="M86" i="3"/>
  <c r="L86" i="3"/>
  <c r="L87" i="3" s="1"/>
  <c r="AG85" i="3"/>
  <c r="AF85" i="3"/>
  <c r="AE85" i="3"/>
  <c r="AD85" i="3"/>
  <c r="AG84" i="3"/>
  <c r="AF84" i="3"/>
  <c r="AE84" i="3"/>
  <c r="AD84" i="3"/>
  <c r="AG83" i="3"/>
  <c r="AF83" i="3"/>
  <c r="AE83" i="3"/>
  <c r="AD83" i="3"/>
  <c r="L83" i="3"/>
  <c r="AG82" i="3"/>
  <c r="AF82" i="3"/>
  <c r="AE82" i="3"/>
  <c r="AD82" i="3"/>
  <c r="M82" i="3"/>
  <c r="AG81" i="3"/>
  <c r="AF81" i="3"/>
  <c r="AE81" i="3"/>
  <c r="AD81" i="3"/>
  <c r="O81" i="3"/>
  <c r="M81" i="3"/>
  <c r="AG80" i="3"/>
  <c r="AF80" i="3"/>
  <c r="AE80" i="3"/>
  <c r="AD80" i="3"/>
  <c r="U80" i="3"/>
  <c r="Q80" i="3"/>
  <c r="Q81" i="3" s="1"/>
  <c r="P80" i="3"/>
  <c r="O80" i="3"/>
  <c r="M80" i="3"/>
  <c r="M84" i="3" s="1"/>
  <c r="L80" i="3"/>
  <c r="L82" i="3" s="1"/>
  <c r="K80" i="3"/>
  <c r="AG79" i="3"/>
  <c r="AF79" i="3"/>
  <c r="AE79" i="3"/>
  <c r="AD79" i="3"/>
  <c r="AG78" i="3"/>
  <c r="AF78" i="3"/>
  <c r="AE78" i="3"/>
  <c r="AD78" i="3"/>
  <c r="AG77" i="3"/>
  <c r="AF77" i="3"/>
  <c r="AE77" i="3"/>
  <c r="AD77" i="3"/>
  <c r="Q77" i="3"/>
  <c r="U77" i="3" s="1"/>
  <c r="M77" i="3"/>
  <c r="L77" i="3"/>
  <c r="AG76" i="3"/>
  <c r="AF76" i="3"/>
  <c r="AE76" i="3"/>
  <c r="AD76" i="3"/>
  <c r="M76" i="3"/>
  <c r="AG75" i="3"/>
  <c r="AF75" i="3"/>
  <c r="AE75" i="3"/>
  <c r="AD75" i="3"/>
  <c r="U75" i="3"/>
  <c r="O75" i="3"/>
  <c r="AG74" i="3"/>
  <c r="AF74" i="3"/>
  <c r="AE74" i="3"/>
  <c r="AD74" i="3"/>
  <c r="U74" i="3"/>
  <c r="Q74" i="3"/>
  <c r="Q75" i="3" s="1"/>
  <c r="Q76" i="3" s="1"/>
  <c r="P74" i="3"/>
  <c r="O74" i="3"/>
  <c r="M74" i="3"/>
  <c r="M75" i="3" s="1"/>
  <c r="L74" i="3"/>
  <c r="K74" i="3"/>
  <c r="K75" i="3" s="1"/>
  <c r="AG73" i="3"/>
  <c r="AF73" i="3"/>
  <c r="AE73" i="3"/>
  <c r="AD73" i="3"/>
  <c r="AG72" i="3"/>
  <c r="AF72" i="3"/>
  <c r="AE72" i="3"/>
  <c r="AD72" i="3"/>
  <c r="M72" i="3"/>
  <c r="L72" i="3"/>
  <c r="K72" i="3"/>
  <c r="AG71" i="3"/>
  <c r="AF71" i="3"/>
  <c r="AE71" i="3"/>
  <c r="AD71" i="3"/>
  <c r="M71" i="3"/>
  <c r="K71" i="3"/>
  <c r="AG70" i="3"/>
  <c r="AF70" i="3"/>
  <c r="AE70" i="3"/>
  <c r="AD70" i="3"/>
  <c r="P70" i="3"/>
  <c r="P71" i="3" s="1"/>
  <c r="M70" i="3"/>
  <c r="K70" i="3"/>
  <c r="AG69" i="3"/>
  <c r="AF69" i="3"/>
  <c r="AE69" i="3"/>
  <c r="AD69" i="3"/>
  <c r="P69" i="3"/>
  <c r="M69" i="3"/>
  <c r="L69" i="3"/>
  <c r="K69" i="3"/>
  <c r="AG68" i="3"/>
  <c r="AF68" i="3"/>
  <c r="AE68" i="3"/>
  <c r="AD68" i="3"/>
  <c r="S68" i="3"/>
  <c r="Q68" i="3"/>
  <c r="P68" i="3"/>
  <c r="T68" i="3" s="1"/>
  <c r="O68" i="3"/>
  <c r="O69" i="3" s="1"/>
  <c r="S69" i="3" s="1"/>
  <c r="L68" i="3"/>
  <c r="AG67" i="3"/>
  <c r="AF67" i="3"/>
  <c r="AE67" i="3"/>
  <c r="AD67" i="3"/>
  <c r="AG66" i="3"/>
  <c r="AF66" i="3"/>
  <c r="AE66" i="3"/>
  <c r="AD66" i="3"/>
  <c r="L66" i="3"/>
  <c r="AG65" i="3"/>
  <c r="AF65" i="3"/>
  <c r="AE65" i="3"/>
  <c r="AD65" i="3"/>
  <c r="M65" i="3"/>
  <c r="L65" i="3"/>
  <c r="AG64" i="3"/>
  <c r="AF64" i="3"/>
  <c r="AE64" i="3"/>
  <c r="AD64" i="3"/>
  <c r="M64" i="3"/>
  <c r="L64" i="3"/>
  <c r="AG63" i="3"/>
  <c r="AF63" i="3"/>
  <c r="AE63" i="3"/>
  <c r="AD63" i="3"/>
  <c r="P63" i="3"/>
  <c r="O63" i="3"/>
  <c r="L63" i="3"/>
  <c r="AG62" i="3"/>
  <c r="AF62" i="3"/>
  <c r="AE62" i="3"/>
  <c r="AD62" i="3"/>
  <c r="U62" i="3"/>
  <c r="Q62" i="3"/>
  <c r="Q63" i="3" s="1"/>
  <c r="P62" i="3"/>
  <c r="T62" i="3" s="1"/>
  <c r="O62" i="3"/>
  <c r="M62" i="3"/>
  <c r="M63" i="3" s="1"/>
  <c r="K62" i="3"/>
  <c r="K66" i="3" s="1"/>
  <c r="C30" i="2" s="1"/>
  <c r="AG61" i="3"/>
  <c r="AF61" i="3"/>
  <c r="AE61" i="3"/>
  <c r="AD61" i="3"/>
  <c r="AG60" i="3"/>
  <c r="AF60" i="3"/>
  <c r="AE60" i="3"/>
  <c r="AD60" i="3"/>
  <c r="P60" i="3"/>
  <c r="L60" i="3"/>
  <c r="AG59" i="3"/>
  <c r="AF59" i="3"/>
  <c r="AE59" i="3"/>
  <c r="AD59" i="3"/>
  <c r="M59" i="3"/>
  <c r="L59" i="3"/>
  <c r="AG58" i="3"/>
  <c r="AF58" i="3"/>
  <c r="AE58" i="3"/>
  <c r="AD58" i="3"/>
  <c r="O58" i="3"/>
  <c r="O59" i="3" s="1"/>
  <c r="M58" i="3"/>
  <c r="AG57" i="3"/>
  <c r="AF57" i="3"/>
  <c r="AE57" i="3"/>
  <c r="AD57" i="3"/>
  <c r="U57" i="3"/>
  <c r="T57" i="3"/>
  <c r="Q57" i="3"/>
  <c r="Q58" i="3" s="1"/>
  <c r="U58" i="3" s="1"/>
  <c r="P57" i="3"/>
  <c r="P58" i="3" s="1"/>
  <c r="P59" i="3" s="1"/>
  <c r="T59" i="3" s="1"/>
  <c r="O57" i="3"/>
  <c r="M57" i="3"/>
  <c r="M60" i="3" s="1"/>
  <c r="L57" i="3"/>
  <c r="L58" i="3" s="1"/>
  <c r="K57" i="3"/>
  <c r="AG56" i="3"/>
  <c r="AF56" i="3"/>
  <c r="AE56" i="3"/>
  <c r="AD56" i="3"/>
  <c r="AG55" i="3"/>
  <c r="AF55" i="3"/>
  <c r="AE55" i="3"/>
  <c r="AD55" i="3"/>
  <c r="P55" i="3"/>
  <c r="AG54" i="3"/>
  <c r="AF54" i="3"/>
  <c r="AE54" i="3"/>
  <c r="AD54" i="3"/>
  <c r="Q54" i="3"/>
  <c r="U54" i="3" s="1"/>
  <c r="M54" i="3"/>
  <c r="AG53" i="3"/>
  <c r="AF53" i="3"/>
  <c r="AE53" i="3"/>
  <c r="AD53" i="3"/>
  <c r="O53" i="3"/>
  <c r="O54" i="3" s="1"/>
  <c r="O55" i="3" s="1"/>
  <c r="M53" i="3"/>
  <c r="AG52" i="3"/>
  <c r="AF52" i="3"/>
  <c r="AE52" i="3"/>
  <c r="AD52" i="3"/>
  <c r="P52" i="3"/>
  <c r="P53" i="3" s="1"/>
  <c r="P54" i="3" s="1"/>
  <c r="O52" i="3"/>
  <c r="K52" i="3"/>
  <c r="AG51" i="3"/>
  <c r="AF51" i="3"/>
  <c r="AE51" i="3"/>
  <c r="AD51" i="3"/>
  <c r="U51" i="3"/>
  <c r="Q51" i="3"/>
  <c r="Q52" i="3" s="1"/>
  <c r="Q53" i="3" s="1"/>
  <c r="U53" i="3" s="1"/>
  <c r="P51" i="3"/>
  <c r="O51" i="3"/>
  <c r="S51" i="3" s="1"/>
  <c r="M51" i="3"/>
  <c r="M52" i="3" s="1"/>
  <c r="U52" i="3" s="1"/>
  <c r="L51" i="3"/>
  <c r="L54" i="3" s="1"/>
  <c r="K51" i="3"/>
  <c r="AG50" i="3"/>
  <c r="AF50" i="3"/>
  <c r="AE50" i="3"/>
  <c r="AD50" i="3"/>
  <c r="AG49" i="3"/>
  <c r="AF49" i="3"/>
  <c r="AE49" i="3"/>
  <c r="AD49" i="3"/>
  <c r="Q49" i="3"/>
  <c r="AG48" i="3"/>
  <c r="AF48" i="3"/>
  <c r="AE48" i="3"/>
  <c r="AD48" i="3"/>
  <c r="AG47" i="3"/>
  <c r="AF47" i="3"/>
  <c r="AE47" i="3"/>
  <c r="AD47" i="3"/>
  <c r="P47" i="3"/>
  <c r="P48" i="3" s="1"/>
  <c r="P49" i="3" s="1"/>
  <c r="K47" i="3"/>
  <c r="AG46" i="3"/>
  <c r="AF46" i="3"/>
  <c r="AE46" i="3"/>
  <c r="AD46" i="3"/>
  <c r="Q46" i="3"/>
  <c r="Q47" i="3" s="1"/>
  <c r="Q48" i="3" s="1"/>
  <c r="P46" i="3"/>
  <c r="L46" i="3"/>
  <c r="K46" i="3"/>
  <c r="AG45" i="3"/>
  <c r="AF45" i="3"/>
  <c r="AE45" i="3"/>
  <c r="AD45" i="3"/>
  <c r="S45" i="3"/>
  <c r="Q45" i="3"/>
  <c r="P45" i="3"/>
  <c r="T45" i="3" s="1"/>
  <c r="O45" i="3"/>
  <c r="O46" i="3" s="1"/>
  <c r="M45" i="3"/>
  <c r="M48" i="3" s="1"/>
  <c r="L45" i="3"/>
  <c r="K45" i="3"/>
  <c r="K49" i="3" s="1"/>
  <c r="C27" i="2" s="1"/>
  <c r="AG44" i="3"/>
  <c r="AF44" i="3"/>
  <c r="AE44" i="3"/>
  <c r="AD44" i="3"/>
  <c r="AG43" i="3"/>
  <c r="AF43" i="3"/>
  <c r="AE43" i="3"/>
  <c r="AD43" i="3"/>
  <c r="M43" i="3"/>
  <c r="AG42" i="3"/>
  <c r="AF42" i="3"/>
  <c r="AE42" i="3"/>
  <c r="AD42" i="3"/>
  <c r="O42" i="3"/>
  <c r="K42" i="3"/>
  <c r="AG41" i="3"/>
  <c r="AF41" i="3"/>
  <c r="AE41" i="3"/>
  <c r="AD41" i="3"/>
  <c r="P41" i="3"/>
  <c r="K41" i="3"/>
  <c r="AG40" i="3"/>
  <c r="AF40" i="3"/>
  <c r="AE40" i="3"/>
  <c r="AD40" i="3"/>
  <c r="S40" i="3"/>
  <c r="Q40" i="3"/>
  <c r="P40" i="3"/>
  <c r="O40" i="3"/>
  <c r="O41" i="3" s="1"/>
  <c r="S41" i="3" s="1"/>
  <c r="M40" i="3"/>
  <c r="L40" i="3"/>
  <c r="K40" i="3"/>
  <c r="K43" i="3" s="1"/>
  <c r="AG39" i="3"/>
  <c r="AF39" i="3"/>
  <c r="AE39" i="3"/>
  <c r="AD39" i="3"/>
  <c r="AG38" i="3"/>
  <c r="AF38" i="3"/>
  <c r="AE38" i="3"/>
  <c r="AD38" i="3"/>
  <c r="AG37" i="3"/>
  <c r="AF37" i="3"/>
  <c r="AE37" i="3"/>
  <c r="AD37" i="3"/>
  <c r="O37" i="3"/>
  <c r="S37" i="3" s="1"/>
  <c r="K37" i="3"/>
  <c r="AG36" i="3"/>
  <c r="AF36" i="3"/>
  <c r="AE36" i="3"/>
  <c r="AD36" i="3"/>
  <c r="P36" i="3"/>
  <c r="T36" i="3" s="1"/>
  <c r="L36" i="3"/>
  <c r="K36" i="3"/>
  <c r="AG35" i="3"/>
  <c r="AF35" i="3"/>
  <c r="AE35" i="3"/>
  <c r="AD35" i="3"/>
  <c r="S35" i="3"/>
  <c r="Q35" i="3"/>
  <c r="L35" i="3"/>
  <c r="AG34" i="3"/>
  <c r="AF34" i="3"/>
  <c r="AE34" i="3"/>
  <c r="AD34" i="3"/>
  <c r="T34" i="3"/>
  <c r="S34" i="3"/>
  <c r="Q34" i="3"/>
  <c r="P34" i="3"/>
  <c r="P35" i="3" s="1"/>
  <c r="T35" i="3" s="1"/>
  <c r="O34" i="3"/>
  <c r="O35" i="3" s="1"/>
  <c r="O36" i="3" s="1"/>
  <c r="S36" i="3" s="1"/>
  <c r="M34" i="3"/>
  <c r="L34" i="3"/>
  <c r="L38" i="3" s="1"/>
  <c r="K34" i="3"/>
  <c r="K35" i="3" s="1"/>
  <c r="AG33" i="3"/>
  <c r="AF33" i="3"/>
  <c r="AE33" i="3"/>
  <c r="AD33" i="3"/>
  <c r="AG32" i="3"/>
  <c r="AF32" i="3"/>
  <c r="AE32" i="3"/>
  <c r="AD32" i="3"/>
  <c r="K32" i="3"/>
  <c r="C22" i="2" s="1"/>
  <c r="AG31" i="3"/>
  <c r="AF31" i="3"/>
  <c r="AE31" i="3"/>
  <c r="AD31" i="3"/>
  <c r="L31" i="3"/>
  <c r="K31" i="3"/>
  <c r="AG30" i="3"/>
  <c r="AF30" i="3"/>
  <c r="AE30" i="3"/>
  <c r="AD30" i="3"/>
  <c r="M30" i="3"/>
  <c r="L30" i="3"/>
  <c r="AG29" i="3"/>
  <c r="AF29" i="3"/>
  <c r="AE29" i="3"/>
  <c r="AD29" i="3"/>
  <c r="M29" i="3"/>
  <c r="AG28" i="3"/>
  <c r="AF28" i="3"/>
  <c r="AE28" i="3"/>
  <c r="AD28" i="3"/>
  <c r="T28" i="3"/>
  <c r="Q28" i="3"/>
  <c r="Q29" i="3" s="1"/>
  <c r="Q30" i="3" s="1"/>
  <c r="P28" i="3"/>
  <c r="P29" i="3" s="1"/>
  <c r="P30" i="3" s="1"/>
  <c r="O28" i="3"/>
  <c r="S28" i="3" s="1"/>
  <c r="M28" i="3"/>
  <c r="L28" i="3"/>
  <c r="K28" i="3"/>
  <c r="K30" i="3" s="1"/>
  <c r="AG27" i="3"/>
  <c r="AF27" i="3"/>
  <c r="AE27" i="3"/>
  <c r="AD27" i="3"/>
  <c r="AG26" i="3"/>
  <c r="AF26" i="3"/>
  <c r="AE26" i="3"/>
  <c r="AD26" i="3"/>
  <c r="K26" i="3"/>
  <c r="O18" i="2" s="1"/>
  <c r="AG25" i="3"/>
  <c r="AF25" i="3"/>
  <c r="AE25" i="3"/>
  <c r="AD25" i="3"/>
  <c r="P25" i="3"/>
  <c r="L25" i="3"/>
  <c r="AG24" i="3"/>
  <c r="AF24" i="3"/>
  <c r="AE24" i="3"/>
  <c r="AD24" i="3"/>
  <c r="M24" i="3"/>
  <c r="L24" i="3"/>
  <c r="AG23" i="3"/>
  <c r="AF23" i="3"/>
  <c r="AE23" i="3"/>
  <c r="AD23" i="3"/>
  <c r="O23" i="3"/>
  <c r="O24" i="3" s="1"/>
  <c r="O25" i="3" s="1"/>
  <c r="O26" i="3" s="1"/>
  <c r="S26" i="3" s="1"/>
  <c r="P18" i="2" s="1"/>
  <c r="M23" i="3"/>
  <c r="AG22" i="3"/>
  <c r="AF22" i="3"/>
  <c r="AE22" i="3"/>
  <c r="AD22" i="3"/>
  <c r="U22" i="3"/>
  <c r="T22" i="3"/>
  <c r="Q22" i="3"/>
  <c r="Q23" i="3" s="1"/>
  <c r="U23" i="3" s="1"/>
  <c r="P22" i="3"/>
  <c r="P23" i="3" s="1"/>
  <c r="P24" i="3" s="1"/>
  <c r="T24" i="3" s="1"/>
  <c r="O22" i="3"/>
  <c r="M22" i="3"/>
  <c r="M26" i="3" s="1"/>
  <c r="L22" i="3"/>
  <c r="L23" i="3" s="1"/>
  <c r="K22" i="3"/>
  <c r="AG21" i="3"/>
  <c r="AF21" i="3"/>
  <c r="AE21" i="3"/>
  <c r="AD21" i="3"/>
  <c r="AG20" i="3"/>
  <c r="AF20" i="3"/>
  <c r="AE20" i="3"/>
  <c r="AD20" i="3"/>
  <c r="P20" i="3"/>
  <c r="AG19" i="3"/>
  <c r="AF19" i="3"/>
  <c r="AE19" i="3"/>
  <c r="AD19" i="3"/>
  <c r="Q19" i="3"/>
  <c r="U19" i="3" s="1"/>
  <c r="M19" i="3"/>
  <c r="AG18" i="3"/>
  <c r="AF18" i="3"/>
  <c r="AE18" i="3"/>
  <c r="AD18" i="3"/>
  <c r="O18" i="3"/>
  <c r="O19" i="3" s="1"/>
  <c r="O20" i="3" s="1"/>
  <c r="M18" i="3"/>
  <c r="AG17" i="3"/>
  <c r="AF17" i="3"/>
  <c r="AE17" i="3"/>
  <c r="AD17" i="3"/>
  <c r="P17" i="3"/>
  <c r="P18" i="3" s="1"/>
  <c r="P19" i="3" s="1"/>
  <c r="O17" i="3"/>
  <c r="K17" i="3"/>
  <c r="AG16" i="3"/>
  <c r="AF16" i="3"/>
  <c r="AE16" i="3"/>
  <c r="AD16" i="3"/>
  <c r="U16" i="3"/>
  <c r="Q16" i="3"/>
  <c r="Q17" i="3" s="1"/>
  <c r="Q18" i="3" s="1"/>
  <c r="U18" i="3" s="1"/>
  <c r="P16" i="3"/>
  <c r="O16" i="3"/>
  <c r="S16" i="3" s="1"/>
  <c r="M16" i="3"/>
  <c r="M17" i="3" s="1"/>
  <c r="U17" i="3" s="1"/>
  <c r="L16" i="3"/>
  <c r="L19" i="3" s="1"/>
  <c r="K16" i="3"/>
  <c r="AG15" i="3"/>
  <c r="AF15" i="3"/>
  <c r="AE15" i="3"/>
  <c r="AD15" i="3"/>
  <c r="AG14" i="3"/>
  <c r="AF14" i="3"/>
  <c r="AE14" i="3"/>
  <c r="AD14" i="3"/>
  <c r="Q14" i="3"/>
  <c r="AG13" i="3"/>
  <c r="AF13" i="3"/>
  <c r="AE13" i="3"/>
  <c r="AD13" i="3"/>
  <c r="M13" i="3"/>
  <c r="AG12" i="3"/>
  <c r="AF12" i="3"/>
  <c r="AE12" i="3"/>
  <c r="AD12" i="3"/>
  <c r="T12" i="3"/>
  <c r="P12" i="3"/>
  <c r="P13" i="3" s="1"/>
  <c r="P14" i="3" s="1"/>
  <c r="K12" i="3"/>
  <c r="AG11" i="3"/>
  <c r="AF11" i="3"/>
  <c r="AE11" i="3"/>
  <c r="AD11" i="3"/>
  <c r="Q11" i="3"/>
  <c r="Q12" i="3" s="1"/>
  <c r="Q13" i="3" s="1"/>
  <c r="U13" i="3" s="1"/>
  <c r="P11" i="3"/>
  <c r="L11" i="3"/>
  <c r="K11" i="3"/>
  <c r="AG10" i="3"/>
  <c r="AF10" i="3"/>
  <c r="AE10" i="3"/>
  <c r="AD10" i="3"/>
  <c r="S10" i="3"/>
  <c r="Q10" i="3"/>
  <c r="P10" i="3"/>
  <c r="T10" i="3" s="1"/>
  <c r="O10" i="3"/>
  <c r="O11" i="3" s="1"/>
  <c r="S11" i="3" s="1"/>
  <c r="M10" i="3"/>
  <c r="L10" i="3"/>
  <c r="L12" i="3" s="1"/>
  <c r="K10" i="3"/>
  <c r="K14" i="3" s="1"/>
  <c r="I24" i="2" s="1"/>
  <c r="AG9" i="3"/>
  <c r="AF9" i="3"/>
  <c r="AE9" i="3"/>
  <c r="AD9" i="3"/>
  <c r="AG8" i="3"/>
  <c r="AF8" i="3"/>
  <c r="AE8" i="3"/>
  <c r="AD8" i="3"/>
  <c r="K8" i="3"/>
  <c r="AG7" i="3"/>
  <c r="AF7" i="3"/>
  <c r="AE7" i="3"/>
  <c r="AD7" i="3"/>
  <c r="O7" i="3"/>
  <c r="S7" i="3" s="1"/>
  <c r="K7" i="3"/>
  <c r="AG6" i="3"/>
  <c r="AF6" i="3"/>
  <c r="AE6" i="3"/>
  <c r="AD6" i="3"/>
  <c r="P6" i="3"/>
  <c r="K6" i="3"/>
  <c r="AG5" i="3"/>
  <c r="AF5" i="3"/>
  <c r="AE5" i="3"/>
  <c r="AD5" i="3"/>
  <c r="S5" i="3"/>
  <c r="Q5" i="3"/>
  <c r="U5" i="3" s="1"/>
  <c r="P5" i="3"/>
  <c r="O5" i="3"/>
  <c r="O6" i="3" s="1"/>
  <c r="S6" i="3" s="1"/>
  <c r="M5" i="3"/>
  <c r="L5" i="3"/>
  <c r="Q42" i="2"/>
  <c r="R33" i="2"/>
  <c r="Q33" i="2"/>
  <c r="P33" i="2"/>
  <c r="O33" i="2"/>
  <c r="R32" i="2"/>
  <c r="Q32" i="2"/>
  <c r="P32" i="2"/>
  <c r="O32" i="2"/>
  <c r="R30" i="2"/>
  <c r="O30" i="2"/>
  <c r="P29" i="2"/>
  <c r="O29" i="2"/>
  <c r="C28" i="2"/>
  <c r="O27" i="2"/>
  <c r="O26" i="2"/>
  <c r="C26" i="2"/>
  <c r="C25" i="2"/>
  <c r="O24" i="2"/>
  <c r="C24" i="2"/>
  <c r="I23" i="2"/>
  <c r="O22" i="2"/>
  <c r="I22" i="2"/>
  <c r="R21" i="2"/>
  <c r="O21" i="2"/>
  <c r="C21" i="2"/>
  <c r="R20" i="2"/>
  <c r="O20" i="2"/>
  <c r="I20" i="2"/>
  <c r="Q19" i="2"/>
  <c r="I19" i="2"/>
  <c r="C19" i="2"/>
  <c r="C17" i="2"/>
  <c r="O16" i="2"/>
  <c r="J16" i="2"/>
  <c r="K16" i="2" s="1"/>
  <c r="I16" i="2"/>
  <c r="O15" i="2"/>
  <c r="C15" i="2"/>
  <c r="O14" i="2"/>
  <c r="O13" i="2"/>
  <c r="I13" i="2"/>
  <c r="C13" i="2"/>
  <c r="O12" i="2"/>
  <c r="I12" i="2"/>
  <c r="C12" i="2"/>
  <c r="N35" i="1"/>
  <c r="M35" i="1"/>
  <c r="N34" i="1"/>
  <c r="M34" i="1"/>
  <c r="N33" i="1"/>
  <c r="M33" i="1"/>
  <c r="M32" i="1"/>
  <c r="M31" i="1"/>
  <c r="M30" i="1"/>
  <c r="M29" i="1"/>
  <c r="C29" i="1"/>
  <c r="M28" i="1"/>
  <c r="C28" i="1"/>
  <c r="M27" i="1"/>
  <c r="C27" i="1"/>
  <c r="M26" i="1"/>
  <c r="C26" i="1"/>
  <c r="M25" i="1"/>
  <c r="C25" i="1"/>
  <c r="M24" i="1"/>
  <c r="H24" i="1"/>
  <c r="C24" i="1"/>
  <c r="M23" i="1"/>
  <c r="H23" i="1"/>
  <c r="C23" i="1"/>
  <c r="M22" i="1"/>
  <c r="H22" i="1"/>
  <c r="C22" i="1"/>
  <c r="M21" i="1"/>
  <c r="H21" i="1"/>
  <c r="C21" i="1"/>
  <c r="M20" i="1"/>
  <c r="H20" i="1"/>
  <c r="C20" i="1"/>
  <c r="M19" i="1"/>
  <c r="H19" i="1"/>
  <c r="C19" i="1"/>
  <c r="M18" i="1"/>
  <c r="H18" i="1"/>
  <c r="C18" i="1"/>
  <c r="N17" i="1"/>
  <c r="M17" i="1"/>
  <c r="H17" i="1"/>
  <c r="C17" i="1"/>
  <c r="M16" i="1"/>
  <c r="H16" i="1"/>
  <c r="C16" i="1"/>
  <c r="M15" i="1"/>
  <c r="H15" i="1"/>
  <c r="C15" i="1"/>
  <c r="M14" i="1"/>
  <c r="H14" i="1"/>
  <c r="C14" i="1"/>
  <c r="M13" i="1"/>
  <c r="H13" i="1"/>
  <c r="C13" i="1"/>
  <c r="M12" i="1"/>
  <c r="H12" i="1"/>
  <c r="C12" i="1"/>
  <c r="M11" i="1"/>
  <c r="H11" i="1"/>
  <c r="C11" i="1"/>
  <c r="L2623" i="4" l="1"/>
  <c r="E2622" i="4"/>
  <c r="E2623" i="4" s="1"/>
  <c r="I2622" i="4"/>
  <c r="P2623" i="4"/>
  <c r="D2623" i="4"/>
  <c r="H2623" i="4"/>
  <c r="E2621" i="4"/>
  <c r="I2621" i="4"/>
  <c r="M2621" i="4"/>
  <c r="Q2621" i="4"/>
  <c r="Q2622" i="4" s="1"/>
  <c r="Q2623" i="4" s="1"/>
  <c r="I2623" i="4"/>
  <c r="F2621" i="4"/>
  <c r="F2622" i="4" s="1"/>
  <c r="F2623" i="4" s="1"/>
  <c r="J2621" i="4"/>
  <c r="J2622" i="4" s="1"/>
  <c r="N2621" i="4"/>
  <c r="N2622" i="4" s="1"/>
  <c r="N2623" i="4" s="1"/>
  <c r="G2621" i="4"/>
  <c r="K2621" i="4"/>
  <c r="K2622" i="4" s="1"/>
  <c r="K2623" i="4" s="1"/>
  <c r="O2621" i="4"/>
  <c r="Q29" i="2"/>
  <c r="O33" i="1"/>
  <c r="O17" i="1"/>
  <c r="J18" i="1"/>
  <c r="Q18" i="2"/>
  <c r="U40" i="3"/>
  <c r="Q41" i="3"/>
  <c r="O82" i="3"/>
  <c r="O123" i="3"/>
  <c r="S122" i="3"/>
  <c r="Q107" i="3"/>
  <c r="U116" i="3"/>
  <c r="Q117" i="3"/>
  <c r="O129" i="3"/>
  <c r="U171" i="3"/>
  <c r="Q172" i="3"/>
  <c r="L190" i="3"/>
  <c r="T190" i="3" s="1"/>
  <c r="L189" i="3"/>
  <c r="T189" i="3" s="1"/>
  <c r="L191" i="3"/>
  <c r="L188" i="3"/>
  <c r="O216" i="3"/>
  <c r="S215" i="3"/>
  <c r="P37" i="3"/>
  <c r="L43" i="3"/>
  <c r="L42" i="3"/>
  <c r="M7" i="3"/>
  <c r="M6" i="3"/>
  <c r="Q6" i="3"/>
  <c r="M8" i="3"/>
  <c r="Q20" i="3"/>
  <c r="T25" i="3"/>
  <c r="S46" i="3"/>
  <c r="O47" i="3"/>
  <c r="U68" i="3"/>
  <c r="Q69" i="3"/>
  <c r="Q82" i="3"/>
  <c r="U81" i="3"/>
  <c r="T86" i="3"/>
  <c r="P87" i="3"/>
  <c r="L119" i="3"/>
  <c r="L117" i="3"/>
  <c r="L118" i="3" s="1"/>
  <c r="AD319" i="3"/>
  <c r="O8" i="3"/>
  <c r="U10" i="3"/>
  <c r="T11" i="3"/>
  <c r="O12" i="3"/>
  <c r="L14" i="3"/>
  <c r="K19" i="3"/>
  <c r="S19" i="3" s="1"/>
  <c r="K18" i="3"/>
  <c r="S18" i="3" s="1"/>
  <c r="T16" i="3"/>
  <c r="S17" i="3"/>
  <c r="K20" i="3"/>
  <c r="I25" i="2" s="1"/>
  <c r="S22" i="3"/>
  <c r="T23" i="3"/>
  <c r="P26" i="3"/>
  <c r="U30" i="3"/>
  <c r="Q31" i="3"/>
  <c r="O29" i="3"/>
  <c r="O38" i="3"/>
  <c r="S42" i="3"/>
  <c r="O43" i="3"/>
  <c r="S43" i="3" s="1"/>
  <c r="D15" i="2" s="1"/>
  <c r="E15" i="2" s="1"/>
  <c r="Q55" i="3"/>
  <c r="T60" i="3"/>
  <c r="L15" i="2" s="1"/>
  <c r="O64" i="3"/>
  <c r="P72" i="3"/>
  <c r="T72" i="3" s="1"/>
  <c r="L22" i="2" s="1"/>
  <c r="S74" i="3"/>
  <c r="Q88" i="3"/>
  <c r="U88" i="3" s="1"/>
  <c r="N13" i="1" s="1"/>
  <c r="O13" i="1" s="1"/>
  <c r="U87" i="3"/>
  <c r="S87" i="3"/>
  <c r="O88" i="3"/>
  <c r="S88" i="3" s="1"/>
  <c r="P13" i="2" s="1"/>
  <c r="Q13" i="2" s="1"/>
  <c r="N32" i="1"/>
  <c r="O32" i="1" s="1"/>
  <c r="R29" i="2"/>
  <c r="T128" i="3"/>
  <c r="T129" i="3"/>
  <c r="P130" i="3"/>
  <c r="L8" i="3"/>
  <c r="L7" i="3"/>
  <c r="U14" i="3"/>
  <c r="I24" i="1" s="1"/>
  <c r="J24" i="1" s="1"/>
  <c r="T20" i="3"/>
  <c r="L25" i="2" s="1"/>
  <c r="P42" i="3"/>
  <c r="O60" i="3"/>
  <c r="S59" i="3"/>
  <c r="Q59" i="3"/>
  <c r="K83" i="3"/>
  <c r="K82" i="3"/>
  <c r="K81" i="3"/>
  <c r="S81" i="3" s="1"/>
  <c r="K84" i="3"/>
  <c r="O28" i="2" s="1"/>
  <c r="T80" i="3"/>
  <c r="P81" i="3"/>
  <c r="L96" i="3"/>
  <c r="L95" i="3"/>
  <c r="L94" i="3"/>
  <c r="U93" i="3"/>
  <c r="Q94" i="3"/>
  <c r="O112" i="3"/>
  <c r="S111" i="3"/>
  <c r="T117" i="3"/>
  <c r="P118" i="3"/>
  <c r="U144" i="3"/>
  <c r="Q145" i="3"/>
  <c r="S282" i="3"/>
  <c r="O283" i="3"/>
  <c r="O307" i="3"/>
  <c r="S306" i="3"/>
  <c r="P7" i="3"/>
  <c r="Q24" i="3"/>
  <c r="M37" i="3"/>
  <c r="M36" i="3"/>
  <c r="M35" i="3"/>
  <c r="U35" i="3" s="1"/>
  <c r="Q36" i="3"/>
  <c r="M38" i="3"/>
  <c r="T5" i="3"/>
  <c r="AE319" i="3"/>
  <c r="L6" i="3"/>
  <c r="T6" i="3" s="1"/>
  <c r="M12" i="3"/>
  <c r="U12" i="3" s="1"/>
  <c r="M11" i="3"/>
  <c r="U11" i="3" s="1"/>
  <c r="T14" i="3"/>
  <c r="L24" i="2" s="1"/>
  <c r="M14" i="3"/>
  <c r="L18" i="3"/>
  <c r="T18" i="3" s="1"/>
  <c r="L17" i="3"/>
  <c r="T17" i="3" s="1"/>
  <c r="T19" i="3"/>
  <c r="S20" i="3"/>
  <c r="J25" i="2" s="1"/>
  <c r="L20" i="3"/>
  <c r="K24" i="3"/>
  <c r="S24" i="3" s="1"/>
  <c r="K23" i="3"/>
  <c r="S23" i="3" s="1"/>
  <c r="K25" i="3"/>
  <c r="S25" i="3" s="1"/>
  <c r="M32" i="3"/>
  <c r="M31" i="3"/>
  <c r="T40" i="3"/>
  <c r="L41" i="3"/>
  <c r="T41" i="3" s="1"/>
  <c r="K65" i="3"/>
  <c r="K64" i="3"/>
  <c r="K63" i="3"/>
  <c r="S63" i="3" s="1"/>
  <c r="Q64" i="3"/>
  <c r="U63" i="3"/>
  <c r="P64" i="3"/>
  <c r="T63" i="3"/>
  <c r="K77" i="3"/>
  <c r="K76" i="3"/>
  <c r="T74" i="3"/>
  <c r="P75" i="3"/>
  <c r="S75" i="3"/>
  <c r="O76" i="3"/>
  <c r="K78" i="3"/>
  <c r="I18" i="2" s="1"/>
  <c r="U91" i="3"/>
  <c r="N22" i="1" s="1"/>
  <c r="O22" i="1" s="1"/>
  <c r="T93" i="3"/>
  <c r="T94" i="3"/>
  <c r="P95" i="3"/>
  <c r="S95" i="3"/>
  <c r="O96" i="3"/>
  <c r="S96" i="3" s="1"/>
  <c r="P22" i="2" s="1"/>
  <c r="Q22" i="2" s="1"/>
  <c r="U100" i="3"/>
  <c r="U101" i="3"/>
  <c r="M113" i="3"/>
  <c r="M112" i="3"/>
  <c r="M111" i="3"/>
  <c r="M114" i="3"/>
  <c r="U111" i="3"/>
  <c r="Q112" i="3"/>
  <c r="M124" i="3"/>
  <c r="M123" i="3"/>
  <c r="M122" i="3"/>
  <c r="U122" i="3" s="1"/>
  <c r="L161" i="3"/>
  <c r="L160" i="3"/>
  <c r="T158" i="3"/>
  <c r="L159" i="3"/>
  <c r="L162" i="3"/>
  <c r="U158" i="3"/>
  <c r="Q159" i="3"/>
  <c r="AF319" i="3"/>
  <c r="K13" i="3"/>
  <c r="M20" i="3"/>
  <c r="M25" i="3"/>
  <c r="L26" i="3"/>
  <c r="T30" i="3"/>
  <c r="U28" i="3"/>
  <c r="P31" i="3"/>
  <c r="M42" i="3"/>
  <c r="M41" i="3"/>
  <c r="L48" i="3"/>
  <c r="T48" i="3" s="1"/>
  <c r="L47" i="3"/>
  <c r="T47" i="3" s="1"/>
  <c r="U45" i="3"/>
  <c r="T46" i="3"/>
  <c r="L49" i="3"/>
  <c r="K54" i="3"/>
  <c r="S54" i="3" s="1"/>
  <c r="K53" i="3"/>
  <c r="S53" i="3" s="1"/>
  <c r="T51" i="3"/>
  <c r="S52" i="3"/>
  <c r="K55" i="3"/>
  <c r="I21" i="2" s="1"/>
  <c r="S57" i="3"/>
  <c r="T58" i="3"/>
  <c r="S62" i="3"/>
  <c r="L71" i="3"/>
  <c r="T71" i="3" s="1"/>
  <c r="L70" i="3"/>
  <c r="T70" i="3" s="1"/>
  <c r="T69" i="3"/>
  <c r="L76" i="3"/>
  <c r="L75" i="3"/>
  <c r="U76" i="3"/>
  <c r="L78" i="3"/>
  <c r="L100" i="3"/>
  <c r="L99" i="3"/>
  <c r="T99" i="3" s="1"/>
  <c r="L102" i="3"/>
  <c r="T102" i="3" s="1"/>
  <c r="L101" i="3"/>
  <c r="T101" i="3" s="1"/>
  <c r="S104" i="3"/>
  <c r="O105" i="3"/>
  <c r="P113" i="3"/>
  <c r="T122" i="3"/>
  <c r="T123" i="3"/>
  <c r="P124" i="3"/>
  <c r="U127" i="3"/>
  <c r="Q129" i="3"/>
  <c r="AG319" i="3"/>
  <c r="L13" i="3"/>
  <c r="T13" i="3" s="1"/>
  <c r="L29" i="3"/>
  <c r="L32" i="3"/>
  <c r="U29" i="3"/>
  <c r="K29" i="3"/>
  <c r="T29" i="3"/>
  <c r="U34" i="3"/>
  <c r="M47" i="3"/>
  <c r="U47" i="3" s="1"/>
  <c r="M46" i="3"/>
  <c r="U46" i="3" s="1"/>
  <c r="U48" i="3"/>
  <c r="T49" i="3"/>
  <c r="F27" i="2" s="1"/>
  <c r="M49" i="3"/>
  <c r="U49" i="3" s="1"/>
  <c r="N30" i="1" s="1"/>
  <c r="O30" i="1" s="1"/>
  <c r="L53" i="3"/>
  <c r="T53" i="3" s="1"/>
  <c r="L52" i="3"/>
  <c r="T52" i="3" s="1"/>
  <c r="T54" i="3"/>
  <c r="S55" i="3"/>
  <c r="J21" i="2" s="1"/>
  <c r="L55" i="3"/>
  <c r="T55" i="3" s="1"/>
  <c r="L21" i="2" s="1"/>
  <c r="K59" i="3"/>
  <c r="K58" i="3"/>
  <c r="S58" i="3" s="1"/>
  <c r="K60" i="3"/>
  <c r="I15" i="2" s="1"/>
  <c r="O70" i="3"/>
  <c r="Q78" i="3"/>
  <c r="U78" i="3" s="1"/>
  <c r="N20" i="1" s="1"/>
  <c r="O20" i="1" s="1"/>
  <c r="S80" i="3"/>
  <c r="U90" i="3"/>
  <c r="T100" i="3"/>
  <c r="S101" i="3"/>
  <c r="P106" i="3"/>
  <c r="T105" i="3"/>
  <c r="U110" i="3"/>
  <c r="S118" i="3"/>
  <c r="O119" i="3"/>
  <c r="S119" i="3" s="1"/>
  <c r="D23" i="2" s="1"/>
  <c r="E23" i="2" s="1"/>
  <c r="U121" i="3"/>
  <c r="Q123" i="3"/>
  <c r="M130" i="3"/>
  <c r="M129" i="3"/>
  <c r="M131" i="3"/>
  <c r="M128" i="3"/>
  <c r="U128" i="3" s="1"/>
  <c r="T146" i="3"/>
  <c r="P147" i="3"/>
  <c r="S154" i="3"/>
  <c r="O155" i="3"/>
  <c r="T165" i="3"/>
  <c r="P166" i="3"/>
  <c r="O182" i="3"/>
  <c r="S181" i="3"/>
  <c r="L37" i="3"/>
  <c r="K38" i="3"/>
  <c r="O23" i="2" s="1"/>
  <c r="K48" i="3"/>
  <c r="M55" i="3"/>
  <c r="M66" i="3"/>
  <c r="M78" i="3"/>
  <c r="M83" i="3"/>
  <c r="L84" i="3"/>
  <c r="K99" i="3"/>
  <c r="S99" i="3" s="1"/>
  <c r="M101" i="3"/>
  <c r="M106" i="3"/>
  <c r="U106" i="3" s="1"/>
  <c r="L107" i="3"/>
  <c r="L112" i="3"/>
  <c r="T112" i="3" s="1"/>
  <c r="K113" i="3"/>
  <c r="K118" i="3"/>
  <c r="K124" i="3"/>
  <c r="K130" i="3"/>
  <c r="U134" i="3"/>
  <c r="Q135" i="3"/>
  <c r="U135" i="3" s="1"/>
  <c r="N21" i="1" s="1"/>
  <c r="O21" i="1" s="1"/>
  <c r="U139" i="3"/>
  <c r="S140" i="3"/>
  <c r="P155" i="3"/>
  <c r="O160" i="3"/>
  <c r="S165" i="3"/>
  <c r="T172" i="3"/>
  <c r="P185" i="3"/>
  <c r="T185" i="3" s="1"/>
  <c r="R11" i="2" s="1"/>
  <c r="T184" i="3"/>
  <c r="U212" i="3"/>
  <c r="Q213" i="3"/>
  <c r="U213" i="3" s="1"/>
  <c r="D15" i="1" s="1"/>
  <c r="E15" i="1" s="1"/>
  <c r="O222" i="3"/>
  <c r="S221" i="3"/>
  <c r="Q263" i="3"/>
  <c r="U262" i="3"/>
  <c r="L81" i="3"/>
  <c r="K100" i="3"/>
  <c r="S100" i="3" s="1"/>
  <c r="M107" i="3"/>
  <c r="L113" i="3"/>
  <c r="K125" i="3"/>
  <c r="O25" i="2" s="1"/>
  <c r="O135" i="3"/>
  <c r="S135" i="3" s="1"/>
  <c r="P20" i="2" s="1"/>
  <c r="Q20" i="2" s="1"/>
  <c r="S134" i="3"/>
  <c r="T140" i="3"/>
  <c r="S143" i="3"/>
  <c r="O144" i="3"/>
  <c r="T149" i="3"/>
  <c r="P150" i="3"/>
  <c r="L156" i="3"/>
  <c r="L155" i="3"/>
  <c r="T153" i="3"/>
  <c r="L154" i="3"/>
  <c r="T154" i="3" s="1"/>
  <c r="U153" i="3"/>
  <c r="Q154" i="3"/>
  <c r="S170" i="3"/>
  <c r="O171" i="3"/>
  <c r="T173" i="3"/>
  <c r="P174" i="3"/>
  <c r="S189" i="3"/>
  <c r="O190" i="3"/>
  <c r="AE206" i="3"/>
  <c r="Q206" i="3"/>
  <c r="P212" i="3"/>
  <c r="T211" i="3"/>
  <c r="K128" i="3"/>
  <c r="S128" i="3" s="1"/>
  <c r="S141" i="3"/>
  <c r="P31" i="2" s="1"/>
  <c r="Q31" i="2" s="1"/>
  <c r="S150" i="3"/>
  <c r="O151" i="3"/>
  <c r="S151" i="3" s="1"/>
  <c r="J19" i="2" s="1"/>
  <c r="K19" i="2" s="1"/>
  <c r="T159" i="3"/>
  <c r="P160" i="3"/>
  <c r="K168" i="3"/>
  <c r="C11" i="2" s="1"/>
  <c r="K167" i="3"/>
  <c r="K166" i="3"/>
  <c r="S166" i="3" s="1"/>
  <c r="U164" i="3"/>
  <c r="Q165" i="3"/>
  <c r="O167" i="3"/>
  <c r="Q184" i="3"/>
  <c r="U183" i="3"/>
  <c r="T188" i="3"/>
  <c r="U190" i="3"/>
  <c r="S193" i="3"/>
  <c r="O194" i="3"/>
  <c r="U195" i="3"/>
  <c r="Q196" i="3"/>
  <c r="U196" i="3" s="1"/>
  <c r="I23" i="1" s="1"/>
  <c r="J23" i="1" s="1"/>
  <c r="U204" i="3"/>
  <c r="Q205" i="3"/>
  <c r="U205" i="3" s="1"/>
  <c r="K138" i="3"/>
  <c r="S138" i="3" s="1"/>
  <c r="U143" i="3"/>
  <c r="T144" i="3"/>
  <c r="M145" i="3"/>
  <c r="L146" i="3"/>
  <c r="K147" i="3"/>
  <c r="C29" i="2" s="1"/>
  <c r="K150" i="3"/>
  <c r="U150" i="3"/>
  <c r="S153" i="3"/>
  <c r="K155" i="3"/>
  <c r="S158" i="3"/>
  <c r="K160" i="3"/>
  <c r="M162" i="3"/>
  <c r="S164" i="3"/>
  <c r="M168" i="3"/>
  <c r="U170" i="3"/>
  <c r="T171" i="3"/>
  <c r="U177" i="3"/>
  <c r="T178" i="3"/>
  <c r="O179" i="3"/>
  <c r="S179" i="3" s="1"/>
  <c r="P30" i="2" s="1"/>
  <c r="Q30" i="2" s="1"/>
  <c r="M189" i="3"/>
  <c r="U189" i="3" s="1"/>
  <c r="M188" i="3"/>
  <c r="U188" i="3" s="1"/>
  <c r="M190" i="3"/>
  <c r="T191" i="3"/>
  <c r="R12" i="2" s="1"/>
  <c r="P195" i="3"/>
  <c r="T194" i="3"/>
  <c r="S198" i="3"/>
  <c r="O199" i="3"/>
  <c r="U211" i="3"/>
  <c r="S225" i="3"/>
  <c r="O226" i="3"/>
  <c r="T272" i="3"/>
  <c r="P273" i="3"/>
  <c r="K139" i="3"/>
  <c r="S139" i="3" s="1"/>
  <c r="K144" i="3"/>
  <c r="M146" i="3"/>
  <c r="L147" i="3"/>
  <c r="K161" i="3"/>
  <c r="M179" i="3"/>
  <c r="U179" i="3" s="1"/>
  <c r="D29" i="1" s="1"/>
  <c r="E29" i="1" s="1"/>
  <c r="M178" i="3"/>
  <c r="U178" i="3" s="1"/>
  <c r="U191" i="3"/>
  <c r="N12" i="1" s="1"/>
  <c r="O12" i="1" s="1"/>
  <c r="P200" i="3"/>
  <c r="T199" i="3"/>
  <c r="U200" i="3"/>
  <c r="Q201" i="3"/>
  <c r="U201" i="3" s="1"/>
  <c r="I12" i="1" s="1"/>
  <c r="J12" i="1" s="1"/>
  <c r="S203" i="3"/>
  <c r="O204" i="3"/>
  <c r="P232" i="3"/>
  <c r="T231" i="3"/>
  <c r="U240" i="3"/>
  <c r="Q241" i="3"/>
  <c r="O265" i="3"/>
  <c r="S265" i="3" s="1"/>
  <c r="J20" i="2" s="1"/>
  <c r="K20" i="2" s="1"/>
  <c r="S264" i="3"/>
  <c r="O268" i="3"/>
  <c r="U182" i="3"/>
  <c r="T183" i="3"/>
  <c r="M185" i="3"/>
  <c r="T187" i="3"/>
  <c r="U199" i="3"/>
  <c r="P205" i="3"/>
  <c r="T204" i="3"/>
  <c r="S210" i="3"/>
  <c r="O211" i="3"/>
  <c r="Q221" i="3"/>
  <c r="U220" i="3"/>
  <c r="L231" i="3"/>
  <c r="L233" i="3"/>
  <c r="L232" i="3"/>
  <c r="T230" i="3"/>
  <c r="Q231" i="3"/>
  <c r="U230" i="3"/>
  <c r="T257" i="3"/>
  <c r="P258" i="3"/>
  <c r="K206" i="3"/>
  <c r="K221" i="3"/>
  <c r="K223" i="3"/>
  <c r="C18" i="2" s="1"/>
  <c r="S219" i="3"/>
  <c r="L236" i="3"/>
  <c r="L238" i="3"/>
  <c r="Q236" i="3"/>
  <c r="U235" i="3"/>
  <c r="P237" i="3"/>
  <c r="T236" i="3"/>
  <c r="T241" i="3"/>
  <c r="P242" i="3"/>
  <c r="T242" i="3" s="1"/>
  <c r="F24" i="2" s="1"/>
  <c r="K247" i="3"/>
  <c r="K245" i="3"/>
  <c r="S244" i="3"/>
  <c r="S245" i="3"/>
  <c r="O246" i="3"/>
  <c r="S252" i="3"/>
  <c r="O257" i="3"/>
  <c r="S256" i="3"/>
  <c r="P269" i="3"/>
  <c r="T268" i="3"/>
  <c r="U277" i="3"/>
  <c r="Q278" i="3"/>
  <c r="L184" i="3"/>
  <c r="K185" i="3"/>
  <c r="O11" i="2" s="1"/>
  <c r="K190" i="3"/>
  <c r="K199" i="3"/>
  <c r="K204" i="3"/>
  <c r="L206" i="3"/>
  <c r="K207" i="3"/>
  <c r="K211" i="3"/>
  <c r="U215" i="3"/>
  <c r="Q216" i="3"/>
  <c r="P216" i="3"/>
  <c r="Q226" i="3"/>
  <c r="U225" i="3"/>
  <c r="P227" i="3"/>
  <c r="T226" i="3"/>
  <c r="K228" i="3"/>
  <c r="C16" i="2" s="1"/>
  <c r="S230" i="3"/>
  <c r="O231" i="3"/>
  <c r="T235" i="3"/>
  <c r="O241" i="3"/>
  <c r="S240" i="3"/>
  <c r="Q246" i="3"/>
  <c r="U245" i="3"/>
  <c r="S253" i="3"/>
  <c r="U268" i="3"/>
  <c r="L204" i="3"/>
  <c r="K205" i="3"/>
  <c r="P220" i="3"/>
  <c r="K222" i="3"/>
  <c r="S235" i="3"/>
  <c r="O236" i="3"/>
  <c r="T244" i="3"/>
  <c r="P245" i="3"/>
  <c r="K248" i="3"/>
  <c r="C20" i="2" s="1"/>
  <c r="U252" i="3"/>
  <c r="U256" i="3"/>
  <c r="Q257" i="3"/>
  <c r="Q270" i="3"/>
  <c r="U270" i="3" s="1"/>
  <c r="D18" i="1" s="1"/>
  <c r="E18" i="1" s="1"/>
  <c r="O277" i="3"/>
  <c r="T279" i="3"/>
  <c r="P280" i="3"/>
  <c r="T280" i="3" s="1"/>
  <c r="L23" i="2" s="1"/>
  <c r="L228" i="3"/>
  <c r="K274" i="3"/>
  <c r="O17" i="2" s="1"/>
  <c r="S272" i="3"/>
  <c r="P283" i="3"/>
  <c r="T282" i="3"/>
  <c r="T294" i="3"/>
  <c r="S295" i="3"/>
  <c r="M300" i="3"/>
  <c r="M299" i="3"/>
  <c r="M301" i="3"/>
  <c r="T299" i="3"/>
  <c r="P301" i="3"/>
  <c r="T300" i="3"/>
  <c r="L306" i="3"/>
  <c r="L305" i="3"/>
  <c r="L307" i="3"/>
  <c r="Q305" i="3"/>
  <c r="U304" i="3"/>
  <c r="P306" i="3"/>
  <c r="T305" i="3"/>
  <c r="O313" i="3"/>
  <c r="U317" i="3"/>
  <c r="N18" i="1" s="1"/>
  <c r="O18" i="1" s="1"/>
  <c r="U283" i="3"/>
  <c r="Q284" i="3"/>
  <c r="S290" i="3"/>
  <c r="S291" i="3"/>
  <c r="L296" i="3"/>
  <c r="L295" i="3"/>
  <c r="Q295" i="3"/>
  <c r="U294" i="3"/>
  <c r="P296" i="3"/>
  <c r="T296" i="3" s="1"/>
  <c r="L16" i="2" s="1"/>
  <c r="T295" i="3"/>
  <c r="S299" i="3"/>
  <c r="O300" i="3"/>
  <c r="Q300" i="3"/>
  <c r="U299" i="3"/>
  <c r="M302" i="3"/>
  <c r="K313" i="3"/>
  <c r="K312" i="3"/>
  <c r="S312" i="3" s="1"/>
  <c r="S310" i="3"/>
  <c r="K314" i="3"/>
  <c r="I17" i="2" s="1"/>
  <c r="Q311" i="3"/>
  <c r="U310" i="3"/>
  <c r="P312" i="3"/>
  <c r="T311" i="3"/>
  <c r="P263" i="3"/>
  <c r="K273" i="3"/>
  <c r="S273" i="3" s="1"/>
  <c r="K311" i="3"/>
  <c r="S311" i="3" s="1"/>
  <c r="S317" i="3"/>
  <c r="P19" i="2" s="1"/>
  <c r="K289" i="3"/>
  <c r="S289" i="3" s="1"/>
  <c r="M291" i="3"/>
  <c r="U291" i="3" s="1"/>
  <c r="M296" i="3"/>
  <c r="L302" i="3"/>
  <c r="M306" i="3"/>
  <c r="K308" i="3"/>
  <c r="C14" i="2" s="1"/>
  <c r="M312" i="3"/>
  <c r="T316" i="3"/>
  <c r="P5" i="6"/>
  <c r="P45" i="6" s="1"/>
  <c r="L273" i="3"/>
  <c r="K283" i="3"/>
  <c r="K291" i="3"/>
  <c r="M308" i="3"/>
  <c r="M314" i="3"/>
  <c r="AB288" i="3"/>
  <c r="AB319" i="3" s="1"/>
  <c r="G2623" i="4" l="1"/>
  <c r="O2623" i="4"/>
  <c r="G2622" i="4"/>
  <c r="J2623" i="4"/>
  <c r="M2622" i="4"/>
  <c r="M2623" i="4" s="1"/>
  <c r="O2622" i="4"/>
  <c r="K21" i="2"/>
  <c r="K25" i="2"/>
  <c r="O308" i="3"/>
  <c r="S308" i="3" s="1"/>
  <c r="D14" i="2" s="1"/>
  <c r="E14" i="2" s="1"/>
  <c r="S307" i="3"/>
  <c r="S112" i="3"/>
  <c r="O113" i="3"/>
  <c r="U59" i="3"/>
  <c r="Q60" i="3"/>
  <c r="U60" i="3" s="1"/>
  <c r="I13" i="1" s="1"/>
  <c r="J13" i="1" s="1"/>
  <c r="U55" i="3"/>
  <c r="D21" i="1" s="1"/>
  <c r="E21" i="1" s="1"/>
  <c r="O30" i="3"/>
  <c r="S29" i="3"/>
  <c r="E12" i="2"/>
  <c r="S8" i="3"/>
  <c r="P88" i="3"/>
  <c r="T88" i="3" s="1"/>
  <c r="R13" i="2" s="1"/>
  <c r="T87" i="3"/>
  <c r="Q70" i="3"/>
  <c r="U69" i="3"/>
  <c r="S47" i="3"/>
  <c r="O48" i="3"/>
  <c r="O83" i="3"/>
  <c r="S82" i="3"/>
  <c r="P313" i="3"/>
  <c r="T312" i="3"/>
  <c r="U284" i="3"/>
  <c r="Q285" i="3"/>
  <c r="O314" i="3"/>
  <c r="S314" i="3" s="1"/>
  <c r="J17" i="2" s="1"/>
  <c r="K17" i="2" s="1"/>
  <c r="S313" i="3"/>
  <c r="P221" i="3"/>
  <c r="T220" i="3"/>
  <c r="O242" i="3"/>
  <c r="S242" i="3" s="1"/>
  <c r="D24" i="2" s="1"/>
  <c r="E24" i="2" s="1"/>
  <c r="S241" i="3"/>
  <c r="Q227" i="3"/>
  <c r="U226" i="3"/>
  <c r="U278" i="3"/>
  <c r="Q279" i="3"/>
  <c r="P259" i="3"/>
  <c r="T258" i="3"/>
  <c r="O269" i="3"/>
  <c r="S268" i="3"/>
  <c r="T200" i="3"/>
  <c r="P201" i="3"/>
  <c r="T201" i="3" s="1"/>
  <c r="L13" i="2" s="1"/>
  <c r="O168" i="3"/>
  <c r="S167" i="3"/>
  <c r="Q207" i="3"/>
  <c r="U206" i="3"/>
  <c r="P175" i="3"/>
  <c r="T175" i="3" s="1"/>
  <c r="R14" i="2" s="1"/>
  <c r="T174" i="3"/>
  <c r="Q155" i="3"/>
  <c r="U154" i="3"/>
  <c r="O145" i="3"/>
  <c r="S144" i="3"/>
  <c r="S160" i="3"/>
  <c r="O161" i="3"/>
  <c r="T106" i="3"/>
  <c r="P107" i="3"/>
  <c r="P125" i="3"/>
  <c r="T125" i="3" s="1"/>
  <c r="R25" i="2" s="1"/>
  <c r="T124" i="3"/>
  <c r="P76" i="3"/>
  <c r="T75" i="3"/>
  <c r="Q301" i="3"/>
  <c r="U300" i="3"/>
  <c r="Q306" i="3"/>
  <c r="U305" i="3"/>
  <c r="O278" i="3"/>
  <c r="S277" i="3"/>
  <c r="S236" i="3"/>
  <c r="O237" i="3"/>
  <c r="T216" i="3"/>
  <c r="P217" i="3"/>
  <c r="T217" i="3" s="1"/>
  <c r="R15" i="2" s="1"/>
  <c r="O258" i="3"/>
  <c r="S257" i="3"/>
  <c r="U236" i="3"/>
  <c r="Q237" i="3"/>
  <c r="U221" i="3"/>
  <c r="Q222" i="3"/>
  <c r="T205" i="3"/>
  <c r="P206" i="3"/>
  <c r="P274" i="3"/>
  <c r="T274" i="3" s="1"/>
  <c r="R17" i="2" s="1"/>
  <c r="T273" i="3"/>
  <c r="T195" i="3"/>
  <c r="P196" i="3"/>
  <c r="T196" i="3" s="1"/>
  <c r="R24" i="2" s="1"/>
  <c r="S274" i="3"/>
  <c r="P17" i="2" s="1"/>
  <c r="Q17" i="2" s="1"/>
  <c r="O223" i="3"/>
  <c r="S223" i="3" s="1"/>
  <c r="D18" i="2" s="1"/>
  <c r="E18" i="2" s="1"/>
  <c r="S222" i="3"/>
  <c r="P156" i="3"/>
  <c r="T156" i="3" s="1"/>
  <c r="F26" i="2" s="1"/>
  <c r="T155" i="3"/>
  <c r="S155" i="3"/>
  <c r="O156" i="3"/>
  <c r="S156" i="3" s="1"/>
  <c r="D26" i="2" s="1"/>
  <c r="E26" i="2" s="1"/>
  <c r="Q124" i="3"/>
  <c r="U123" i="3"/>
  <c r="Q130" i="3"/>
  <c r="U129" i="3"/>
  <c r="O106" i="3"/>
  <c r="S105" i="3"/>
  <c r="T31" i="3"/>
  <c r="P32" i="3"/>
  <c r="T32" i="3" s="1"/>
  <c r="F22" i="2" s="1"/>
  <c r="Q160" i="3"/>
  <c r="U159" i="3"/>
  <c r="P96" i="3"/>
  <c r="T96" i="3" s="1"/>
  <c r="R22" i="2" s="1"/>
  <c r="T95" i="3"/>
  <c r="P65" i="3"/>
  <c r="T64" i="3"/>
  <c r="Q37" i="3"/>
  <c r="U36" i="3"/>
  <c r="U24" i="3"/>
  <c r="Q25" i="3"/>
  <c r="O284" i="3"/>
  <c r="S283" i="3"/>
  <c r="P119" i="3"/>
  <c r="T119" i="3" s="1"/>
  <c r="F23" i="2" s="1"/>
  <c r="T118" i="3"/>
  <c r="Q95" i="3"/>
  <c r="U94" i="3"/>
  <c r="O65" i="3"/>
  <c r="S64" i="3"/>
  <c r="Q32" i="3"/>
  <c r="U32" i="3" s="1"/>
  <c r="I22" i="1" s="1"/>
  <c r="J22" i="1" s="1"/>
  <c r="U31" i="3"/>
  <c r="S12" i="3"/>
  <c r="O13" i="3"/>
  <c r="Q7" i="3"/>
  <c r="U6" i="3"/>
  <c r="Q108" i="3"/>
  <c r="U108" i="3" s="1"/>
  <c r="D11" i="1" s="1"/>
  <c r="E11" i="1" s="1"/>
  <c r="U107" i="3"/>
  <c r="P264" i="3"/>
  <c r="T263" i="3"/>
  <c r="Q312" i="3"/>
  <c r="U311" i="3"/>
  <c r="S300" i="3"/>
  <c r="O301" i="3"/>
  <c r="P302" i="3"/>
  <c r="T302" i="3" s="1"/>
  <c r="R27" i="2" s="1"/>
  <c r="T301" i="3"/>
  <c r="P284" i="3"/>
  <c r="T283" i="3"/>
  <c r="Q247" i="3"/>
  <c r="U246" i="3"/>
  <c r="S231" i="3"/>
  <c r="O232" i="3"/>
  <c r="T227" i="3"/>
  <c r="P228" i="3"/>
  <c r="T228" i="3" s="1"/>
  <c r="F16" i="2" s="1"/>
  <c r="Q217" i="3"/>
  <c r="U217" i="3" s="1"/>
  <c r="N14" i="1" s="1"/>
  <c r="O14" i="1" s="1"/>
  <c r="U216" i="3"/>
  <c r="O212" i="3"/>
  <c r="S211" i="3"/>
  <c r="T232" i="3"/>
  <c r="P233" i="3"/>
  <c r="T233" i="3" s="1"/>
  <c r="F17" i="2" s="1"/>
  <c r="O200" i="3"/>
  <c r="S199" i="3"/>
  <c r="O195" i="3"/>
  <c r="S194" i="3"/>
  <c r="Q166" i="3"/>
  <c r="U165" i="3"/>
  <c r="O191" i="3"/>
  <c r="S191" i="3" s="1"/>
  <c r="P12" i="2" s="1"/>
  <c r="Q12" i="2" s="1"/>
  <c r="S190" i="3"/>
  <c r="O172" i="3"/>
  <c r="S171" i="3"/>
  <c r="P151" i="3"/>
  <c r="T151" i="3" s="1"/>
  <c r="L19" i="2" s="1"/>
  <c r="T150" i="3"/>
  <c r="O183" i="3"/>
  <c r="S182" i="3"/>
  <c r="O77" i="3"/>
  <c r="S76" i="3"/>
  <c r="P8" i="3"/>
  <c r="T8" i="3" s="1"/>
  <c r="F12" i="2" s="1"/>
  <c r="T7" i="3"/>
  <c r="P82" i="3"/>
  <c r="T81" i="3"/>
  <c r="S60" i="3"/>
  <c r="J15" i="2" s="1"/>
  <c r="K15" i="2" s="1"/>
  <c r="P38" i="3"/>
  <c r="T38" i="3" s="1"/>
  <c r="R23" i="2" s="1"/>
  <c r="T37" i="3"/>
  <c r="S216" i="3"/>
  <c r="O217" i="3"/>
  <c r="S217" i="3" s="1"/>
  <c r="P15" i="2" s="1"/>
  <c r="Q15" i="2" s="1"/>
  <c r="S129" i="3"/>
  <c r="O130" i="3"/>
  <c r="S123" i="3"/>
  <c r="O124" i="3"/>
  <c r="Q42" i="3"/>
  <c r="U41" i="3"/>
  <c r="Q296" i="3"/>
  <c r="U296" i="3" s="1"/>
  <c r="N16" i="1" s="1"/>
  <c r="O16" i="1" s="1"/>
  <c r="U295" i="3"/>
  <c r="P307" i="3"/>
  <c r="T306" i="3"/>
  <c r="Q258" i="3"/>
  <c r="U257" i="3"/>
  <c r="P246" i="3"/>
  <c r="T245" i="3"/>
  <c r="P270" i="3"/>
  <c r="T270" i="3" s="1"/>
  <c r="F19" i="2" s="1"/>
  <c r="T269" i="3"/>
  <c r="S246" i="3"/>
  <c r="O247" i="3"/>
  <c r="T237" i="3"/>
  <c r="P238" i="3"/>
  <c r="T238" i="3" s="1"/>
  <c r="L14" i="2" s="1"/>
  <c r="U231" i="3"/>
  <c r="Q232" i="3"/>
  <c r="Q242" i="3"/>
  <c r="U242" i="3" s="1"/>
  <c r="D23" i="1" s="1"/>
  <c r="E23" i="1" s="1"/>
  <c r="U241" i="3"/>
  <c r="O205" i="3"/>
  <c r="S204" i="3"/>
  <c r="O227" i="3"/>
  <c r="S226" i="3"/>
  <c r="Q185" i="3"/>
  <c r="U185" i="3" s="1"/>
  <c r="N11" i="1" s="1"/>
  <c r="O11" i="1" s="1"/>
  <c r="U184" i="3"/>
  <c r="P161" i="3"/>
  <c r="T160" i="3"/>
  <c r="T212" i="3"/>
  <c r="P213" i="3"/>
  <c r="T213" i="3" s="1"/>
  <c r="F13" i="2" s="1"/>
  <c r="Q264" i="3"/>
  <c r="U263" i="3"/>
  <c r="P167" i="3"/>
  <c r="T166" i="3"/>
  <c r="T147" i="3"/>
  <c r="F29" i="2" s="1"/>
  <c r="S70" i="3"/>
  <c r="O71" i="3"/>
  <c r="P114" i="3"/>
  <c r="T114" i="3" s="1"/>
  <c r="R16" i="2" s="1"/>
  <c r="T113" i="3"/>
  <c r="Q113" i="3"/>
  <c r="U112" i="3"/>
  <c r="U64" i="3"/>
  <c r="Q65" i="3"/>
  <c r="U145" i="3"/>
  <c r="Q146" i="3"/>
  <c r="P43" i="3"/>
  <c r="T43" i="3" s="1"/>
  <c r="F15" i="2" s="1"/>
  <c r="T42" i="3"/>
  <c r="P131" i="3"/>
  <c r="T131" i="3" s="1"/>
  <c r="F28" i="2" s="1"/>
  <c r="T130" i="3"/>
  <c r="S38" i="3"/>
  <c r="P23" i="2" s="1"/>
  <c r="Q23" i="2" s="1"/>
  <c r="T26" i="3"/>
  <c r="R18" i="2" s="1"/>
  <c r="U82" i="3"/>
  <c r="Q83" i="3"/>
  <c r="U20" i="3"/>
  <c r="D28" i="1" s="1"/>
  <c r="E28" i="1" s="1"/>
  <c r="U172" i="3"/>
  <c r="Q173" i="3"/>
  <c r="Q118" i="3"/>
  <c r="U117" i="3"/>
  <c r="O233" i="3" l="1"/>
  <c r="S233" i="3" s="1"/>
  <c r="D17" i="2" s="1"/>
  <c r="E17" i="2" s="1"/>
  <c r="S232" i="3"/>
  <c r="O302" i="3"/>
  <c r="S302" i="3" s="1"/>
  <c r="P27" i="2" s="1"/>
  <c r="Q27" i="2" s="1"/>
  <c r="S301" i="3"/>
  <c r="Q156" i="3"/>
  <c r="U156" i="3" s="1"/>
  <c r="D24" i="1" s="1"/>
  <c r="E24" i="1" s="1"/>
  <c r="U155" i="3"/>
  <c r="U227" i="3"/>
  <c r="Q228" i="3"/>
  <c r="U228" i="3" s="1"/>
  <c r="D17" i="1" s="1"/>
  <c r="E17" i="1" s="1"/>
  <c r="Q71" i="3"/>
  <c r="U70" i="3"/>
  <c r="Q119" i="3"/>
  <c r="U119" i="3" s="1"/>
  <c r="D22" i="1" s="1"/>
  <c r="E22" i="1" s="1"/>
  <c r="U118" i="3"/>
  <c r="U83" i="3"/>
  <c r="Q84" i="3"/>
  <c r="U84" i="3" s="1"/>
  <c r="N31" i="1" s="1"/>
  <c r="O31" i="1" s="1"/>
  <c r="Q147" i="3"/>
  <c r="U147" i="3" s="1"/>
  <c r="D27" i="1" s="1"/>
  <c r="E27" i="1" s="1"/>
  <c r="U146" i="3"/>
  <c r="O72" i="3"/>
  <c r="S72" i="3" s="1"/>
  <c r="J22" i="2" s="1"/>
  <c r="K22" i="2" s="1"/>
  <c r="S71" i="3"/>
  <c r="P168" i="3"/>
  <c r="T168" i="3" s="1"/>
  <c r="F11" i="2" s="1"/>
  <c r="T167" i="3"/>
  <c r="S205" i="3"/>
  <c r="O206" i="3"/>
  <c r="P247" i="3"/>
  <c r="T246" i="3"/>
  <c r="T307" i="3"/>
  <c r="P308" i="3"/>
  <c r="T308" i="3" s="1"/>
  <c r="F14" i="2" s="1"/>
  <c r="Q43" i="3"/>
  <c r="U43" i="3" s="1"/>
  <c r="D16" i="1" s="1"/>
  <c r="E16" i="1" s="1"/>
  <c r="U42" i="3"/>
  <c r="O14" i="3"/>
  <c r="S14" i="3" s="1"/>
  <c r="S13" i="3"/>
  <c r="Q26" i="3"/>
  <c r="U26" i="3" s="1"/>
  <c r="N19" i="1" s="1"/>
  <c r="O19" i="1" s="1"/>
  <c r="U25" i="3"/>
  <c r="S258" i="3"/>
  <c r="O259" i="3"/>
  <c r="U306" i="3"/>
  <c r="Q307" i="3"/>
  <c r="P77" i="3"/>
  <c r="T76" i="3"/>
  <c r="O146" i="3"/>
  <c r="S145" i="3"/>
  <c r="S168" i="3"/>
  <c r="D11" i="2" s="1"/>
  <c r="E11" i="2"/>
  <c r="O270" i="3"/>
  <c r="S270" i="3" s="1"/>
  <c r="E19" i="2" s="1"/>
  <c r="S269" i="3"/>
  <c r="T313" i="3"/>
  <c r="P314" i="3"/>
  <c r="T314" i="3" s="1"/>
  <c r="L17" i="2" s="1"/>
  <c r="O31" i="3"/>
  <c r="S30" i="3"/>
  <c r="S113" i="3"/>
  <c r="O114" i="3"/>
  <c r="S114" i="3" s="1"/>
  <c r="P16" i="2" s="1"/>
  <c r="Q16" i="2" s="1"/>
  <c r="U65" i="3"/>
  <c r="Q66" i="3"/>
  <c r="U66" i="3" s="1"/>
  <c r="D25" i="1" s="1"/>
  <c r="E25" i="1" s="1"/>
  <c r="Q265" i="3"/>
  <c r="U265" i="3" s="1"/>
  <c r="D20" i="1" s="1"/>
  <c r="E20" i="1" s="1"/>
  <c r="U264" i="3"/>
  <c r="P162" i="3"/>
  <c r="T162" i="3" s="1"/>
  <c r="F21" i="2" s="1"/>
  <c r="T161" i="3"/>
  <c r="O228" i="3"/>
  <c r="S228" i="3" s="1"/>
  <c r="D16" i="2" s="1"/>
  <c r="E16" i="2" s="1"/>
  <c r="S227" i="3"/>
  <c r="Q259" i="3"/>
  <c r="U258" i="3"/>
  <c r="O279" i="3"/>
  <c r="S278" i="3"/>
  <c r="U301" i="3"/>
  <c r="Q302" i="3"/>
  <c r="U302" i="3" s="1"/>
  <c r="N28" i="1" s="1"/>
  <c r="O28" i="1" s="1"/>
  <c r="U207" i="3"/>
  <c r="Q208" i="3"/>
  <c r="U208" i="3" s="1"/>
  <c r="I11" i="1" s="1"/>
  <c r="J11" i="1" s="1"/>
  <c r="P260" i="3"/>
  <c r="T260" i="3" s="1"/>
  <c r="R26" i="2" s="1"/>
  <c r="T259" i="3"/>
  <c r="P222" i="3"/>
  <c r="T221" i="3"/>
  <c r="O84" i="3"/>
  <c r="S84" i="3" s="1"/>
  <c r="P28" i="2" s="1"/>
  <c r="Q28" i="2" s="1"/>
  <c r="S83" i="3"/>
  <c r="Q174" i="3"/>
  <c r="U173" i="3"/>
  <c r="Q114" i="3"/>
  <c r="U114" i="3" s="1"/>
  <c r="N15" i="1" s="1"/>
  <c r="O15" i="1" s="1"/>
  <c r="U113" i="3"/>
  <c r="S124" i="3"/>
  <c r="O125" i="3"/>
  <c r="S125" i="3" s="1"/>
  <c r="P25" i="2" s="1"/>
  <c r="Q25" i="2" s="1"/>
  <c r="S183" i="3"/>
  <c r="O184" i="3"/>
  <c r="O173" i="3"/>
  <c r="S172" i="3"/>
  <c r="Q167" i="3"/>
  <c r="U166" i="3"/>
  <c r="O201" i="3"/>
  <c r="S201" i="3" s="1"/>
  <c r="J13" i="2" s="1"/>
  <c r="K13" i="2" s="1"/>
  <c r="S200" i="3"/>
  <c r="O213" i="3"/>
  <c r="S213" i="3" s="1"/>
  <c r="D13" i="2" s="1"/>
  <c r="E13" i="2" s="1"/>
  <c r="S212" i="3"/>
  <c r="U247" i="3"/>
  <c r="Q248" i="3"/>
  <c r="U248" i="3" s="1"/>
  <c r="I19" i="1" s="1"/>
  <c r="J19" i="1" s="1"/>
  <c r="U312" i="3"/>
  <c r="Q313" i="3"/>
  <c r="O66" i="3"/>
  <c r="S66" i="3" s="1"/>
  <c r="D30" i="2" s="1"/>
  <c r="E30" i="2" s="1"/>
  <c r="S65" i="3"/>
  <c r="T65" i="3"/>
  <c r="P66" i="3"/>
  <c r="T66" i="3" s="1"/>
  <c r="F30" i="2" s="1"/>
  <c r="Q161" i="3"/>
  <c r="U160" i="3"/>
  <c r="O107" i="3"/>
  <c r="S106" i="3"/>
  <c r="Q125" i="3"/>
  <c r="U125" i="3" s="1"/>
  <c r="N26" i="1" s="1"/>
  <c r="O26" i="1" s="1"/>
  <c r="U124" i="3"/>
  <c r="P207" i="3"/>
  <c r="T206" i="3"/>
  <c r="U237" i="3"/>
  <c r="Q238" i="3"/>
  <c r="U238" i="3" s="1"/>
  <c r="D12" i="1" s="1"/>
  <c r="E12" i="1" s="1"/>
  <c r="O162" i="3"/>
  <c r="S162" i="3" s="1"/>
  <c r="D21" i="2" s="1"/>
  <c r="E21" i="2" s="1"/>
  <c r="S161" i="3"/>
  <c r="Q286" i="3"/>
  <c r="U286" i="3" s="1"/>
  <c r="N27" i="1" s="1"/>
  <c r="O27" i="1" s="1"/>
  <c r="U285" i="3"/>
  <c r="J24" i="2"/>
  <c r="K24" i="2" s="1"/>
  <c r="D12" i="2"/>
  <c r="U232" i="3"/>
  <c r="Q233" i="3"/>
  <c r="U233" i="3" s="1"/>
  <c r="I17" i="1" s="1"/>
  <c r="J17" i="1" s="1"/>
  <c r="O248" i="3"/>
  <c r="S248" i="3" s="1"/>
  <c r="D20" i="2" s="1"/>
  <c r="E20" i="2" s="1"/>
  <c r="S247" i="3"/>
  <c r="O131" i="3"/>
  <c r="S131" i="3" s="1"/>
  <c r="D28" i="2" s="1"/>
  <c r="E28" i="2" s="1"/>
  <c r="S130" i="3"/>
  <c r="P83" i="3"/>
  <c r="T82" i="3"/>
  <c r="O78" i="3"/>
  <c r="S78" i="3" s="1"/>
  <c r="J18" i="2" s="1"/>
  <c r="K18" i="2" s="1"/>
  <c r="S77" i="3"/>
  <c r="O196" i="3"/>
  <c r="S196" i="3" s="1"/>
  <c r="P24" i="2" s="1"/>
  <c r="Q24" i="2" s="1"/>
  <c r="S195" i="3"/>
  <c r="T284" i="3"/>
  <c r="P285" i="3"/>
  <c r="P265" i="3"/>
  <c r="T265" i="3" s="1"/>
  <c r="L20" i="2" s="1"/>
  <c r="T264" i="3"/>
  <c r="Q8" i="3"/>
  <c r="U8" i="3" s="1"/>
  <c r="D14" i="1" s="1"/>
  <c r="E14" i="1" s="1"/>
  <c r="U7" i="3"/>
  <c r="Q96" i="3"/>
  <c r="U96" i="3" s="1"/>
  <c r="N24" i="1" s="1"/>
  <c r="O24" i="1" s="1"/>
  <c r="U95" i="3"/>
  <c r="O285" i="3"/>
  <c r="S284" i="3"/>
  <c r="Q38" i="3"/>
  <c r="U38" i="3" s="1"/>
  <c r="N25" i="1" s="1"/>
  <c r="O25" i="1" s="1"/>
  <c r="U37" i="3"/>
  <c r="U130" i="3"/>
  <c r="Q131" i="3"/>
  <c r="U131" i="3" s="1"/>
  <c r="D26" i="1" s="1"/>
  <c r="E26" i="1" s="1"/>
  <c r="U222" i="3"/>
  <c r="Q223" i="3"/>
  <c r="U223" i="3" s="1"/>
  <c r="D19" i="1" s="1"/>
  <c r="E19" i="1" s="1"/>
  <c r="O238" i="3"/>
  <c r="S238" i="3" s="1"/>
  <c r="J14" i="2" s="1"/>
  <c r="K14" i="2" s="1"/>
  <c r="S237" i="3"/>
  <c r="T107" i="3"/>
  <c r="P108" i="3"/>
  <c r="T108" i="3" s="1"/>
  <c r="L11" i="2" s="1"/>
  <c r="Q280" i="3"/>
  <c r="U280" i="3" s="1"/>
  <c r="N23" i="1" s="1"/>
  <c r="O23" i="1" s="1"/>
  <c r="U279" i="3"/>
  <c r="O49" i="3"/>
  <c r="S49" i="3" s="1"/>
  <c r="D27" i="2" s="1"/>
  <c r="E27" i="2" s="1"/>
  <c r="S48" i="3"/>
  <c r="T83" i="3" l="1"/>
  <c r="P84" i="3"/>
  <c r="T84" i="3" s="1"/>
  <c r="R28" i="2" s="1"/>
  <c r="P208" i="3"/>
  <c r="T208" i="3" s="1"/>
  <c r="L12" i="2" s="1"/>
  <c r="T207" i="3"/>
  <c r="S107" i="3"/>
  <c r="O108" i="3"/>
  <c r="S108" i="3" s="1"/>
  <c r="J11" i="2" s="1"/>
  <c r="K11" i="2" s="1"/>
  <c r="U167" i="3"/>
  <c r="Q168" i="3"/>
  <c r="U168" i="3" s="1"/>
  <c r="D13" i="1" s="1"/>
  <c r="E13" i="1" s="1"/>
  <c r="Q260" i="3"/>
  <c r="U260" i="3" s="1"/>
  <c r="N29" i="1" s="1"/>
  <c r="O29" i="1" s="1"/>
  <c r="U259" i="3"/>
  <c r="S31" i="3"/>
  <c r="O32" i="3"/>
  <c r="S32" i="3" s="1"/>
  <c r="D22" i="2" s="1"/>
  <c r="E22" i="2" s="1"/>
  <c r="S146" i="3"/>
  <c r="O147" i="3"/>
  <c r="S147" i="3" s="1"/>
  <c r="D29" i="2" s="1"/>
  <c r="E29" i="2" s="1"/>
  <c r="P248" i="3"/>
  <c r="T248" i="3" s="1"/>
  <c r="F20" i="2" s="1"/>
  <c r="T247" i="3"/>
  <c r="T285" i="3"/>
  <c r="P286" i="3"/>
  <c r="T286" i="3" s="1"/>
  <c r="F25" i="2" s="1"/>
  <c r="S259" i="3"/>
  <c r="O260" i="3"/>
  <c r="S260" i="3" s="1"/>
  <c r="P26" i="2" s="1"/>
  <c r="Q26" i="2" s="1"/>
  <c r="S206" i="3"/>
  <c r="O207" i="3"/>
  <c r="U313" i="3"/>
  <c r="Q314" i="3"/>
  <c r="U314" i="3" s="1"/>
  <c r="I16" i="1" s="1"/>
  <c r="J16" i="1" s="1"/>
  <c r="S184" i="3"/>
  <c r="O185" i="3"/>
  <c r="S185" i="3" s="1"/>
  <c r="P11" i="2" s="1"/>
  <c r="Q11" i="2" s="1"/>
  <c r="U307" i="3"/>
  <c r="Q308" i="3"/>
  <c r="U308" i="3" s="1"/>
  <c r="I15" i="1" s="1"/>
  <c r="J15" i="1" s="1"/>
  <c r="S285" i="3"/>
  <c r="O286" i="3"/>
  <c r="S286" i="3" s="1"/>
  <c r="D25" i="2" s="1"/>
  <c r="E25" i="2" s="1"/>
  <c r="U161" i="3"/>
  <c r="Q162" i="3"/>
  <c r="U162" i="3" s="1"/>
  <c r="I21" i="1" s="1"/>
  <c r="J21" i="1" s="1"/>
  <c r="S173" i="3"/>
  <c r="O174" i="3"/>
  <c r="U174" i="3"/>
  <c r="Q175" i="3"/>
  <c r="U175" i="3" s="1"/>
  <c r="I14" i="1" s="1"/>
  <c r="J14" i="1" s="1"/>
  <c r="T222" i="3"/>
  <c r="P223" i="3"/>
  <c r="T223" i="3" s="1"/>
  <c r="F18" i="2" s="1"/>
  <c r="S279" i="3"/>
  <c r="O280" i="3"/>
  <c r="S280" i="3" s="1"/>
  <c r="J23" i="2" s="1"/>
  <c r="K23" i="2" s="1"/>
  <c r="P78" i="3"/>
  <c r="T78" i="3" s="1"/>
  <c r="L18" i="2" s="1"/>
  <c r="T77" i="3"/>
  <c r="U71" i="3"/>
  <c r="Q72" i="3"/>
  <c r="U72" i="3" s="1"/>
  <c r="I20" i="1" s="1"/>
  <c r="J20" i="1" s="1"/>
  <c r="O175" i="3" l="1"/>
  <c r="S175" i="3" s="1"/>
  <c r="P14" i="2" s="1"/>
  <c r="Q14" i="2" s="1"/>
  <c r="S174" i="3"/>
  <c r="O208" i="3"/>
  <c r="S208" i="3" s="1"/>
  <c r="J12" i="2" s="1"/>
  <c r="K12" i="2" s="1"/>
  <c r="S20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2" authorId="0" shapeId="0" xr:uid="{D66BCBB0-21DE-F243-9C9B-ABE4C9D12EE6}">
      <text>
        <r>
          <rPr>
            <b/>
            <sz val="9"/>
            <color indexed="81"/>
            <rFont val="Tahoma"/>
            <family val="2"/>
          </rPr>
          <t>Author:</t>
        </r>
        <r>
          <rPr>
            <sz val="9"/>
            <color indexed="81"/>
            <rFont val="Tahoma"/>
            <family val="2"/>
          </rPr>
          <t xml:space="preserve">
Some jurisdictions submitted APRs for projection period units that are dated before the planning period, this column places these units within the first year of the planning period where jurisdictions are directed to count projection period units going forward</t>
        </r>
      </text>
    </comment>
  </commentList>
</comments>
</file>

<file path=xl/sharedStrings.xml><?xml version="1.0" encoding="utf-8"?>
<sst xmlns="http://schemas.openxmlformats.org/spreadsheetml/2006/main" count="13837" uniqueCount="1361">
  <si>
    <r>
      <rPr>
        <b/>
        <sz val="24"/>
        <rFont val="Arial"/>
        <family val="2"/>
      </rPr>
      <t xml:space="preserve"> COUNTY HOUSING PROGRESS</t>
    </r>
    <r>
      <rPr>
        <sz val="10"/>
        <color rgb="FF000000"/>
        <rFont val="Arial"/>
        <family val="2"/>
      </rPr>
      <t xml:space="preserve"> (Totals includes very low income, low income, moderate and luxury housing)</t>
    </r>
  </si>
  <si>
    <r>
      <rPr>
        <b/>
        <sz val="24"/>
        <rFont val="Arial"/>
        <family val="2"/>
      </rPr>
      <t>COUNTY PROGRESS ON LOW-INCOME HOUSING TARGETS</t>
    </r>
    <r>
      <rPr>
        <sz val="10"/>
        <color rgb="FF000000"/>
        <rFont val="Arial"/>
        <family val="2"/>
      </rPr>
      <t xml:space="preserve"> (includes very low income and low income)</t>
    </r>
  </si>
  <si>
    <t>Counties at 30% or more of Low Income Prorated Housing Target</t>
  </si>
  <si>
    <t>Cumulative Prorated RHNA Targets</t>
  </si>
  <si>
    <t>Counties between 5% and 30% of Low Income Prorated Housing Target</t>
  </si>
  <si>
    <t>Counties at 5% or less than Prorated Housing Target</t>
  </si>
  <si>
    <t>Counties at 85% or more of Prorated Housing Target</t>
  </si>
  <si>
    <t>ALL COUNTIES, APART FROM GLENN, HAVE STRUGGLED WITH THEIR LOW-INCOME HOUSING TARGETS. OF THE MOST URBAN COUNTIES SAN FRANCISCO HAS COME CLOSEST TO SUCCESS</t>
  </si>
  <si>
    <t xml:space="preserve">Cumulative Progress in Cycle </t>
  </si>
  <si>
    <t>Progress as a Percentage against Cumulative Target</t>
  </si>
  <si>
    <t>LOS ANGELES, SAN DIEGO, AND SANTA CLARA FELL WELL SHORT ON THEIR LOW-INCOME TARGETS BUT GROSSLY EXCEEDED THEIR MARKET-RATE QUOTAS</t>
  </si>
  <si>
    <t>RIVERSIDE,SACRAMENTO,KERN and PLACER REPRESENT ALMOST 20% OF THE SHORTFALL IN LOW-INCOME HOUSING</t>
  </si>
  <si>
    <t>Counties at 50% or less than Prorated Housing Target</t>
  </si>
  <si>
    <t>County</t>
  </si>
  <si>
    <t>POPULOUS URBANIZED REGIONS ARE MOVING FAST TOWARD APPROVING STATE-REQUIRED HOUSING TARGETS</t>
  </si>
  <si>
    <t>Cycle Length</t>
  </si>
  <si>
    <t>LESS POPULOUS RURAL COUNTIES  STRUGGLE TO REACH STATE-REQUIRED HOUSING TARGETS</t>
  </si>
  <si>
    <t>Cycle Period</t>
  </si>
  <si>
    <t>COUNTY</t>
  </si>
  <si>
    <t>Year</t>
  </si>
  <si>
    <t>Very Low</t>
  </si>
  <si>
    <t># of low-income housing units should have approved by end of 2018</t>
  </si>
  <si>
    <t>% Low-income Target Achieved</t>
  </si>
  <si>
    <t>Low</t>
  </si>
  <si>
    <t>Mod</t>
  </si>
  <si>
    <t>Above Mod</t>
  </si>
  <si>
    <t>Total</t>
  </si>
  <si>
    <t>Low Income Housing Approved</t>
  </si>
  <si>
    <t>% Market-Rate Housing Approved</t>
  </si>
  <si>
    <t>Very Low + Low</t>
  </si>
  <si>
    <t xml:space="preserve"> Total </t>
  </si>
  <si>
    <t xml:space="preserve"> Above Mod</t>
  </si>
  <si>
    <t>5th cycle total</t>
  </si>
  <si>
    <t>2018 Cumulative RHNA 5th cycle target</t>
  </si>
  <si>
    <t>Cumulative Permits issued in 5th cycle by end of 2018</t>
  </si>
  <si>
    <t>Annualized 5th cycle RHNA Target</t>
  </si>
  <si>
    <t>2015 Approvals</t>
  </si>
  <si>
    <t>2016 Approvals</t>
  </si>
  <si>
    <t>2017 Approvals</t>
  </si>
  <si>
    <t>2018 Approvals</t>
  </si>
  <si>
    <t>ALAMEDA</t>
  </si>
  <si>
    <t>Number of housing units county should have approved by end of 2018</t>
  </si>
  <si>
    <t>Actual Percentage Achieved</t>
  </si>
  <si>
    <t>Actual Housing Approved</t>
  </si>
  <si>
    <t>1/31/2015 - 1/31-2023</t>
  </si>
  <si>
    <t>Los Angeles</t>
  </si>
  <si>
    <t>San Diego</t>
  </si>
  <si>
    <t>Orange</t>
  </si>
  <si>
    <t xml:space="preserve">Los Angeles </t>
  </si>
  <si>
    <t>Riverside</t>
  </si>
  <si>
    <t>Santa Clara</t>
  </si>
  <si>
    <t>Alameda</t>
  </si>
  <si>
    <t>San Bernardino</t>
  </si>
  <si>
    <t>Sacramento</t>
  </si>
  <si>
    <t xml:space="preserve">San Diego </t>
  </si>
  <si>
    <t>Fresno</t>
  </si>
  <si>
    <t>Kern</t>
  </si>
  <si>
    <t>San Francisco</t>
  </si>
  <si>
    <t>Placer</t>
  </si>
  <si>
    <t>San Joaquin</t>
  </si>
  <si>
    <t>Ventura</t>
  </si>
  <si>
    <t>Madera</t>
  </si>
  <si>
    <t>Contra Costa</t>
  </si>
  <si>
    <t>Yolo</t>
  </si>
  <si>
    <t>Tulare</t>
  </si>
  <si>
    <t>San Mateo</t>
  </si>
  <si>
    <t>Santa Barbara</t>
  </si>
  <si>
    <t>Stanislaus</t>
  </si>
  <si>
    <t>ALPINE</t>
  </si>
  <si>
    <t>6/30/2014-6/30/2019</t>
  </si>
  <si>
    <t>Sonoma</t>
  </si>
  <si>
    <t>Monterey</t>
  </si>
  <si>
    <t>Yuba</t>
  </si>
  <si>
    <t>San Luis Obispo</t>
  </si>
  <si>
    <t>Shasta</t>
  </si>
  <si>
    <t xml:space="preserve">Santa Barbara </t>
  </si>
  <si>
    <t>Butte</t>
  </si>
  <si>
    <t>Solano</t>
  </si>
  <si>
    <t>Humboldt</t>
  </si>
  <si>
    <t>Imperial</t>
  </si>
  <si>
    <t>El Dorado</t>
  </si>
  <si>
    <t>Nevada</t>
  </si>
  <si>
    <t>Merced</t>
  </si>
  <si>
    <t>Marin</t>
  </si>
  <si>
    <t>Calaveras</t>
  </si>
  <si>
    <t>Kings</t>
  </si>
  <si>
    <t>Santa Cruz</t>
  </si>
  <si>
    <t>San Benito</t>
  </si>
  <si>
    <t xml:space="preserve">Sutter </t>
  </si>
  <si>
    <t>Napa</t>
  </si>
  <si>
    <t>AMADOR</t>
  </si>
  <si>
    <t>Alpine</t>
  </si>
  <si>
    <t xml:space="preserve">Lake </t>
  </si>
  <si>
    <t>Glenn</t>
  </si>
  <si>
    <t>Colusa</t>
  </si>
  <si>
    <t>Mendocino</t>
  </si>
  <si>
    <t>Mariposa</t>
  </si>
  <si>
    <t>Mono</t>
  </si>
  <si>
    <t>Tehama</t>
  </si>
  <si>
    <t>Amador</t>
  </si>
  <si>
    <t>Toulumne</t>
  </si>
  <si>
    <t>Plumas</t>
  </si>
  <si>
    <t>Siskiyou</t>
  </si>
  <si>
    <t>Del Norte</t>
  </si>
  <si>
    <t>Inyo</t>
  </si>
  <si>
    <t>Sutter</t>
  </si>
  <si>
    <t xml:space="preserve">Lassen </t>
  </si>
  <si>
    <t>Modoc</t>
  </si>
  <si>
    <t>Trinity</t>
  </si>
  <si>
    <t>BUTTE</t>
  </si>
  <si>
    <t>6/15/2014-6/15/2022</t>
  </si>
  <si>
    <t>Sierra</t>
  </si>
  <si>
    <t xml:space="preserve">By end of 2018, municipalities in these counties had issued permits for greater than 85% of the prorated total housing target the 5th housing element cycle.  Ten of the 13 most urban counties where transit is focused in California are moving fast toward required approvals. </t>
  </si>
  <si>
    <t>By the end of 2018, municipalities in these counties had issued permits in the range of 50% to 85% of their prorated total housing targets for the 5th housing element.  San Diego began their 5th cycle in 2013, two years before most other counties. Their cycle finishes in 2021. It is unlikely San DIego could permit sufficient housing in the remaining time to cover their current shortfall.</t>
  </si>
  <si>
    <t>By end of 2018, municipalities in these counties had issued permits for less than 50% of the prorated total housing target. Sacramento, Riverside and Kern distinguish themselves on this list as populous urban counties. Most of the counties that have fallen behind on their housing quotas are rural.</t>
  </si>
  <si>
    <t xml:space="preserve">Napa </t>
  </si>
  <si>
    <t>Tuolumne</t>
  </si>
  <si>
    <t xml:space="preserve">Mono </t>
  </si>
  <si>
    <t>CALAVERAS</t>
  </si>
  <si>
    <t>COLUSA</t>
  </si>
  <si>
    <t>CONTRA COSTA</t>
  </si>
  <si>
    <t>1/31/2015- 1/31/2023</t>
  </si>
  <si>
    <t>DEL NORTE</t>
  </si>
  <si>
    <t>EL DORADO</t>
  </si>
  <si>
    <t>10/15/2013-10/15/2021</t>
  </si>
  <si>
    <t>FRESNO</t>
  </si>
  <si>
    <t>12/31/2015-12/31/2023</t>
  </si>
  <si>
    <t>JURISDICTION</t>
  </si>
  <si>
    <t>APR YEAR</t>
  </si>
  <si>
    <t>MIN VLI RHNA</t>
  </si>
  <si>
    <t>SUM VLI PERMITS</t>
  </si>
  <si>
    <t>SUM VLI (DR) UNITS</t>
  </si>
  <si>
    <t>SUM VLI (NDR) UNITS</t>
  </si>
  <si>
    <t>MIN LI RHNA</t>
  </si>
  <si>
    <t>SUM LI PERMITS</t>
  </si>
  <si>
    <t>SUM LI (DR) UNITS</t>
  </si>
  <si>
    <t>SUM LI (NDR) UNITS</t>
  </si>
  <si>
    <t>MIN MOD RHNA</t>
  </si>
  <si>
    <t>SUM MOD PERMITS</t>
  </si>
  <si>
    <t>MIN ABOVE MOD RHNA</t>
  </si>
  <si>
    <t>SUM ABOVE MOD PERMITS</t>
  </si>
  <si>
    <t>MIN RHNA TOTAL</t>
  </si>
  <si>
    <t>SUM TOTAL PERMITS</t>
  </si>
  <si>
    <t>GLENN</t>
  </si>
  <si>
    <t>ALAMEDA COUNTY</t>
  </si>
  <si>
    <t>ALBANY</t>
  </si>
  <si>
    <t>BERKELEY</t>
  </si>
  <si>
    <r>
      <rPr>
        <sz val="14"/>
        <rFont val="Arial"/>
        <family val="2"/>
      </rPr>
      <t>California Department of Housing and Community Development - Division of Housing Policy Development
 Annual Progress Report Permit Summary Table</t>
    </r>
    <r>
      <rPr>
        <sz val="10"/>
        <color rgb="FF000000"/>
        <rFont val="Arial"/>
        <family val="2"/>
      </rPr>
      <t xml:space="preserve">
 </t>
    </r>
    <r>
      <rPr>
        <sz val="12"/>
        <rFont val="Arial"/>
        <family val="2"/>
      </rPr>
      <t>A summary of the housing units reported as permitted in the Housing Element Annual Progress Reports submitted to HCD for 5th Cycle compared to Regional Housing Needs Allocations (RHNAs). This table provides a summary of all 5th Cycle APR data received from a jurisdiction up to the 2018 APR received as of June 25, 2019; one line for each jurisdiction. Full definition of fields shown in row 2, recommend hiding this row for printing.</t>
    </r>
  </si>
  <si>
    <t>DUBLIN</t>
  </si>
  <si>
    <t>VLI RHNA</t>
  </si>
  <si>
    <t>VLI PERMITS</t>
  </si>
  <si>
    <t>VLI (DR) UNITS</t>
  </si>
  <si>
    <t>VLI (NDR) UNITS</t>
  </si>
  <si>
    <t>VLI REMAIN UNITS</t>
  </si>
  <si>
    <t>VLI % COMPLETE</t>
  </si>
  <si>
    <t>Prorated VLI RHNA</t>
  </si>
  <si>
    <t>Excess VLI</t>
  </si>
  <si>
    <t>EMERYVILLE</t>
  </si>
  <si>
    <t>LI RHNA</t>
  </si>
  <si>
    <t>LI PERMITS</t>
  </si>
  <si>
    <t>LI (DR) UNITS</t>
  </si>
  <si>
    <t>LI (NDR) UNITS</t>
  </si>
  <si>
    <t>LI REMAIN UNITS</t>
  </si>
  <si>
    <t>Lower Permits</t>
  </si>
  <si>
    <t>Lower Remain</t>
  </si>
  <si>
    <t>LI % COMPLETE</t>
  </si>
  <si>
    <t>% Lower Complete</t>
  </si>
  <si>
    <t>MOD RHNA</t>
  </si>
  <si>
    <t>FREMONT</t>
  </si>
  <si>
    <t>MOD PERMITS</t>
  </si>
  <si>
    <t>MOD REMAIN UNITS</t>
  </si>
  <si>
    <t>HUMBOLDT</t>
  </si>
  <si>
    <t>MOD % COMPLETE</t>
  </si>
  <si>
    <t>ABOVE MOD RHNA</t>
  </si>
  <si>
    <t>ABOVE MOD PERMITS</t>
  </si>
  <si>
    <t>ABOVE MOD REMAIN UNITS</t>
  </si>
  <si>
    <t>ABOVE MOD % COMPLETE</t>
  </si>
  <si>
    <t>RHNA TOTAL</t>
  </si>
  <si>
    <t>TOTAL PERMITS</t>
  </si>
  <si>
    <t>TOTAL RHNA REMAIN</t>
  </si>
  <si>
    <t>HAYWARD</t>
  </si>
  <si>
    <t>PRORATION FACTOR</t>
  </si>
  <si>
    <t>ADELANTO</t>
  </si>
  <si>
    <t>LIVERMORE</t>
  </si>
  <si>
    <t>AGOURA HILLS</t>
  </si>
  <si>
    <t>NEWARK</t>
  </si>
  <si>
    <t>OAKLAND</t>
  </si>
  <si>
    <t>PIEDMONT</t>
  </si>
  <si>
    <t>ALHAMBRA</t>
  </si>
  <si>
    <t>IMPERIAL</t>
  </si>
  <si>
    <t>PLEASANTON</t>
  </si>
  <si>
    <t>ALISO VIEJO</t>
  </si>
  <si>
    <t>ALPINE COUNTY</t>
  </si>
  <si>
    <t>ALTURAS</t>
  </si>
  <si>
    <t>SAN LEANDRO</t>
  </si>
  <si>
    <t>AMADOR CITY</t>
  </si>
  <si>
    <t>*</t>
  </si>
  <si>
    <t>UNION CITY</t>
  </si>
  <si>
    <t>AMADOR COUNTY</t>
  </si>
  <si>
    <t>AMERICAN CANYON</t>
  </si>
  <si>
    <t>ANAHEIM</t>
  </si>
  <si>
    <t>ANDERSON</t>
  </si>
  <si>
    <t>ANGELS CAMP</t>
  </si>
  <si>
    <t>ANTIOCH</t>
  </si>
  <si>
    <t>INYO</t>
  </si>
  <si>
    <t>APPLE VALLEY</t>
  </si>
  <si>
    <t>ARCADIA</t>
  </si>
  <si>
    <t>ARCATA</t>
  </si>
  <si>
    <t>ARROYO GRANDE</t>
  </si>
  <si>
    <t>ARTESIA</t>
  </si>
  <si>
    <t>ARVIN</t>
  </si>
  <si>
    <t>ATASCADERO</t>
  </si>
  <si>
    <t>ATHERTON</t>
  </si>
  <si>
    <t>ATWATER</t>
  </si>
  <si>
    <t>AUBURN</t>
  </si>
  <si>
    <t>AVALON</t>
  </si>
  <si>
    <t>AVENAL</t>
  </si>
  <si>
    <t>IONE</t>
  </si>
  <si>
    <t>AZUSA</t>
  </si>
  <si>
    <t>JACKSON</t>
  </si>
  <si>
    <t>KERN</t>
  </si>
  <si>
    <t>BAKERSFIELD</t>
  </si>
  <si>
    <t>BALDWIN PARK</t>
  </si>
  <si>
    <t>PLYMOUTH</t>
  </si>
  <si>
    <t>BANNING</t>
  </si>
  <si>
    <t>SUTTER CREEK</t>
  </si>
  <si>
    <t>BARSTOW</t>
  </si>
  <si>
    <t>BEAUMONT</t>
  </si>
  <si>
    <t>BELL</t>
  </si>
  <si>
    <t>KINGS</t>
  </si>
  <si>
    <t>1/31/2016-1/31/2024</t>
  </si>
  <si>
    <t>BIGGS</t>
  </si>
  <si>
    <t>BELL GARDENS</t>
  </si>
  <si>
    <t>BELLFLOWER</t>
  </si>
  <si>
    <t>BUTTE COUNTY</t>
  </si>
  <si>
    <t>BELMONT</t>
  </si>
  <si>
    <t>CHICO</t>
  </si>
  <si>
    <t>BELVEDERE</t>
  </si>
  <si>
    <t>BENICIA</t>
  </si>
  <si>
    <t>GRIDLEY</t>
  </si>
  <si>
    <t>LAKE</t>
  </si>
  <si>
    <t>BEVERLY HILLS</t>
  </si>
  <si>
    <t>OROVILLE</t>
  </si>
  <si>
    <t>BIG BEAR LAKE</t>
  </si>
  <si>
    <t>PARADISE</t>
  </si>
  <si>
    <t>BISHOP</t>
  </si>
  <si>
    <t>BLUE LAKE</t>
  </si>
  <si>
    <t>BLYTHE</t>
  </si>
  <si>
    <t>BRADBURY</t>
  </si>
  <si>
    <t>BRAWLEY</t>
  </si>
  <si>
    <t>BREA</t>
  </si>
  <si>
    <t>LASSEN</t>
  </si>
  <si>
    <t>BRENTWOOD</t>
  </si>
  <si>
    <t>CALAVERAS COUNTY</t>
  </si>
  <si>
    <t>BRISBANE</t>
  </si>
  <si>
    <t>BUELLTON</t>
  </si>
  <si>
    <t>BUENA PARK</t>
  </si>
  <si>
    <t>BURBANK</t>
  </si>
  <si>
    <t>COLUSA COUNTY</t>
  </si>
  <si>
    <t>BURLINGAME</t>
  </si>
  <si>
    <t>CALABASAS</t>
  </si>
  <si>
    <t>CALEXICO</t>
  </si>
  <si>
    <t>LOS ANGELES</t>
  </si>
  <si>
    <t>CALIFORNIA CITY</t>
  </si>
  <si>
    <t>10/15/2013-10/15/21</t>
  </si>
  <si>
    <t>CALIMESA</t>
  </si>
  <si>
    <t>CLAYTON</t>
  </si>
  <si>
    <t>CALIPATRIA</t>
  </si>
  <si>
    <t>CALISTOGA</t>
  </si>
  <si>
    <t>CAMARILLO</t>
  </si>
  <si>
    <t>CONCORD</t>
  </si>
  <si>
    <t>CAMPBELL</t>
  </si>
  <si>
    <t>CANYON LAKE</t>
  </si>
  <si>
    <t>CONTRA COSTA COUNTY</t>
  </si>
  <si>
    <t>CAPITOLA</t>
  </si>
  <si>
    <t>CARLSBAD</t>
  </si>
  <si>
    <t>DANVILLE</t>
  </si>
  <si>
    <t>CARMEL</t>
  </si>
  <si>
    <t>CARPINTERIA</t>
  </si>
  <si>
    <t>EL CERRITO</t>
  </si>
  <si>
    <t>CARSON</t>
  </si>
  <si>
    <t>MADERA</t>
  </si>
  <si>
    <t>6/30/2104-6/30/2019</t>
  </si>
  <si>
    <t>CATHEDRAL</t>
  </si>
  <si>
    <t>CERES</t>
  </si>
  <si>
    <t>HERCULES</t>
  </si>
  <si>
    <t>CERRITOS</t>
  </si>
  <si>
    <t>LAFAYETTE</t>
  </si>
  <si>
    <t>CHINO</t>
  </si>
  <si>
    <t>CHINO HILLS</t>
  </si>
  <si>
    <t>MARTINEZ</t>
  </si>
  <si>
    <t>CHOWCHILLA</t>
  </si>
  <si>
    <t>CHULA VISTA</t>
  </si>
  <si>
    <t>MORAGA</t>
  </si>
  <si>
    <t>CITRUS HEIGHTS</t>
  </si>
  <si>
    <t>CLAREMONT</t>
  </si>
  <si>
    <t>OAKLEY</t>
  </si>
  <si>
    <t>CLEARLAKE</t>
  </si>
  <si>
    <t>CLOVERDALE</t>
  </si>
  <si>
    <t>ORINDA</t>
  </si>
  <si>
    <t>CLOVIS</t>
  </si>
  <si>
    <t>MARIN</t>
  </si>
  <si>
    <t>COACHELLA</t>
  </si>
  <si>
    <t>PINOLE</t>
  </si>
  <si>
    <t>COALINGA</t>
  </si>
  <si>
    <t>COLFAX</t>
  </si>
  <si>
    <t>PITTSBURG</t>
  </si>
  <si>
    <t>COLMA</t>
  </si>
  <si>
    <t>COLTON</t>
  </si>
  <si>
    <t>PLEASANT HILL</t>
  </si>
  <si>
    <t>COMMERCE</t>
  </si>
  <si>
    <t>RICHMOND</t>
  </si>
  <si>
    <t>COMPTON</t>
  </si>
  <si>
    <t>SAN PABLO</t>
  </si>
  <si>
    <t>SAN RAMON</t>
  </si>
  <si>
    <t>CORCORAN</t>
  </si>
  <si>
    <t>CORNING</t>
  </si>
  <si>
    <t>MARIPOSA</t>
  </si>
  <si>
    <t>CORONA</t>
  </si>
  <si>
    <t>WALNUT CREEK</t>
  </si>
  <si>
    <t>CORONADO</t>
  </si>
  <si>
    <t>CORTE MADERA</t>
  </si>
  <si>
    <t>COSTA MESA</t>
  </si>
  <si>
    <t>COTATI</t>
  </si>
  <si>
    <t>COVINA</t>
  </si>
  <si>
    <t>CRESCENT CITY</t>
  </si>
  <si>
    <t>CUDAHY</t>
  </si>
  <si>
    <t>CULVER CITY</t>
  </si>
  <si>
    <t>CUPERTINO</t>
  </si>
  <si>
    <t>CYPRESS</t>
  </si>
  <si>
    <t>DALY CITY</t>
  </si>
  <si>
    <t>DANA POINT</t>
  </si>
  <si>
    <t>DAVIS</t>
  </si>
  <si>
    <t>DEL MAR</t>
  </si>
  <si>
    <t>MENDOCINO</t>
  </si>
  <si>
    <t>DEL NORTE COUNTY</t>
  </si>
  <si>
    <t>DEL REY OAKS</t>
  </si>
  <si>
    <t>DELANO</t>
  </si>
  <si>
    <t>EL DORADO COUNTY</t>
  </si>
  <si>
    <t>DESERT HOT SPRINGS</t>
  </si>
  <si>
    <t>DIAMOND BAR</t>
  </si>
  <si>
    <t>DINUBA</t>
  </si>
  <si>
    <t>DIXON</t>
  </si>
  <si>
    <t>PLACERVILLE</t>
  </si>
  <si>
    <t>DORRIS</t>
  </si>
  <si>
    <t>DOS PALOS</t>
  </si>
  <si>
    <t>DOWNEY</t>
  </si>
  <si>
    <t>SOUTH LAKE TAHOE</t>
  </si>
  <si>
    <t>DUARTE</t>
  </si>
  <si>
    <t>DUNSMUIR</t>
  </si>
  <si>
    <t>EAST PALO ALTO</t>
  </si>
  <si>
    <t>EASTVALE</t>
  </si>
  <si>
    <t>EL CAJON</t>
  </si>
  <si>
    <t>MERCED</t>
  </si>
  <si>
    <t>3/31/2016-3/31/2024</t>
  </si>
  <si>
    <t>EL CENTRO</t>
  </si>
  <si>
    <t>FIREBAUGH</t>
  </si>
  <si>
    <t>EL MONTE</t>
  </si>
  <si>
    <t>FRESNO COUNTY</t>
  </si>
  <si>
    <t>EL SEGUNDO</t>
  </si>
  <si>
    <t>ELK GROVE</t>
  </si>
  <si>
    <t>HURON</t>
  </si>
  <si>
    <t>ENCINITAS</t>
  </si>
  <si>
    <t>KERMAN</t>
  </si>
  <si>
    <t>ESCALON</t>
  </si>
  <si>
    <t>KINGSBURG</t>
  </si>
  <si>
    <t>ESCONDIDO</t>
  </si>
  <si>
    <t>PARLIER</t>
  </si>
  <si>
    <t>ETNA</t>
  </si>
  <si>
    <t>MODOC</t>
  </si>
  <si>
    <t>REEDLEY</t>
  </si>
  <si>
    <t>EUREKA</t>
  </si>
  <si>
    <t>EXETER</t>
  </si>
  <si>
    <t>SANGER</t>
  </si>
  <si>
    <t>FAIRFAX</t>
  </si>
  <si>
    <t>SELMA</t>
  </si>
  <si>
    <t>FAIRFIELD</t>
  </si>
  <si>
    <t>FARMERSVILLE</t>
  </si>
  <si>
    <t>FERNDALE</t>
  </si>
  <si>
    <t>FILLMORE</t>
  </si>
  <si>
    <t>FOLSOM</t>
  </si>
  <si>
    <t>ORANGE COVE</t>
  </si>
  <si>
    <t>FONTANA</t>
  </si>
  <si>
    <t>SAN JOAQUIN</t>
  </si>
  <si>
    <t>FORT BRAGG</t>
  </si>
  <si>
    <t>GLENN COUNTY</t>
  </si>
  <si>
    <t>FORT JONES</t>
  </si>
  <si>
    <t>FORTUNA</t>
  </si>
  <si>
    <t>ORLAND</t>
  </si>
  <si>
    <t>FOSTER CITY</t>
  </si>
  <si>
    <t>MONO</t>
  </si>
  <si>
    <t>FOUNTAIN VALLEY</t>
  </si>
  <si>
    <t>FOWLER</t>
  </si>
  <si>
    <t>WILLOWS</t>
  </si>
  <si>
    <t>FULLERTON</t>
  </si>
  <si>
    <t>GALT</t>
  </si>
  <si>
    <t>GARDEN GROVE</t>
  </si>
  <si>
    <t>GARDENA</t>
  </si>
  <si>
    <t>GILROY</t>
  </si>
  <si>
    <t>GLENDALE</t>
  </si>
  <si>
    <t>HUMBOLDT COUNTY</t>
  </si>
  <si>
    <t>GLENDORA</t>
  </si>
  <si>
    <t>GOLETA</t>
  </si>
  <si>
    <t>MONTEREY</t>
  </si>
  <si>
    <t>12/31/2015- 12/31/2023</t>
  </si>
  <si>
    <t>GONZALES</t>
  </si>
  <si>
    <t>RIO DELL</t>
  </si>
  <si>
    <t>GRAND TERRACE</t>
  </si>
  <si>
    <t>GRASS VALLEY</t>
  </si>
  <si>
    <t>GREENFIELD</t>
  </si>
  <si>
    <t>GROVER BEACH</t>
  </si>
  <si>
    <t>NAPA</t>
  </si>
  <si>
    <t>1/31/2015-1/31/2023</t>
  </si>
  <si>
    <t>GUADALUPE</t>
  </si>
  <si>
    <t>GUSTINE</t>
  </si>
  <si>
    <t>HALF MOON BAY</t>
  </si>
  <si>
    <t>HANFORD</t>
  </si>
  <si>
    <t>HAWAIIAN GARDENS</t>
  </si>
  <si>
    <t>HOLTVILLE</t>
  </si>
  <si>
    <t>HAWTHORNE</t>
  </si>
  <si>
    <t>HEALDSBURG</t>
  </si>
  <si>
    <t>IMPERIAL COUNTY</t>
  </si>
  <si>
    <t>HEMET</t>
  </si>
  <si>
    <t>WESTMORLAND</t>
  </si>
  <si>
    <t>HERMOSA BEACH</t>
  </si>
  <si>
    <t>NEVADA</t>
  </si>
  <si>
    <t>HESPERIA</t>
  </si>
  <si>
    <t>HIDDEN HILLS</t>
  </si>
  <si>
    <t>HIGHLAND</t>
  </si>
  <si>
    <t>HILLSBOROUGH</t>
  </si>
  <si>
    <t>HOLLISTER</t>
  </si>
  <si>
    <t>HUGHSON</t>
  </si>
  <si>
    <t>INYO COUNTY</t>
  </si>
  <si>
    <t>HUNTINGTON BEACH</t>
  </si>
  <si>
    <t>HUNTINGTON PARK</t>
  </si>
  <si>
    <t>IMPERIAL BEACH</t>
  </si>
  <si>
    <t>ORANGE</t>
  </si>
  <si>
    <t>INDIAN WELLS</t>
  </si>
  <si>
    <t>KERN COUNTY</t>
  </si>
  <si>
    <t>INDIO</t>
  </si>
  <si>
    <t>MCFARLAND</t>
  </si>
  <si>
    <t>INDUSTRY</t>
  </si>
  <si>
    <t>TAFT</t>
  </si>
  <si>
    <t>INGLEWOOD</t>
  </si>
  <si>
    <t>WASCO</t>
  </si>
  <si>
    <t>IRVINE</t>
  </si>
  <si>
    <t>IRWINDALE</t>
  </si>
  <si>
    <t>ISLETON</t>
  </si>
  <si>
    <t>TEHACHAPI</t>
  </si>
  <si>
    <t>JURUPA VALLEY</t>
  </si>
  <si>
    <t>KINGS COUNTY</t>
  </si>
  <si>
    <t>PLACER</t>
  </si>
  <si>
    <t>KING CITY</t>
  </si>
  <si>
    <t>LA CANADA FLINTRIDGE</t>
  </si>
  <si>
    <t>LA HABRA</t>
  </si>
  <si>
    <t>LAKEPORT</t>
  </si>
  <si>
    <t>LA HABRA HEIGHTS</t>
  </si>
  <si>
    <t>LAKE COUNTY</t>
  </si>
  <si>
    <t>LA MESA</t>
  </si>
  <si>
    <t>LA MIRADA</t>
  </si>
  <si>
    <t>LA PALMA</t>
  </si>
  <si>
    <t>LA PUENTE</t>
  </si>
  <si>
    <t>LA QUINTA</t>
  </si>
  <si>
    <t>LA VERNE</t>
  </si>
  <si>
    <t>LAGUNA BEACH</t>
  </si>
  <si>
    <t>LAGUNA HILLS</t>
  </si>
  <si>
    <t>LAGUNA NIGUEL</t>
  </si>
  <si>
    <t>PLUMAS</t>
  </si>
  <si>
    <t>6/30/2014- 6/30/2019</t>
  </si>
  <si>
    <t>LAGUNA WOODS</t>
  </si>
  <si>
    <t>LAKE ELSINORE</t>
  </si>
  <si>
    <t>LAKE FOREST</t>
  </si>
  <si>
    <t>LAKEWOOD</t>
  </si>
  <si>
    <t>LANCASTER</t>
  </si>
  <si>
    <t>LAWNDALE</t>
  </si>
  <si>
    <t>LOMITA</t>
  </si>
  <si>
    <t>LARKSPUR</t>
  </si>
  <si>
    <t>LONG BEACH</t>
  </si>
  <si>
    <t>LASSEN COUNTY</t>
  </si>
  <si>
    <t>LATHROP</t>
  </si>
  <si>
    <t>LOS ANGELES COUNTY</t>
  </si>
  <si>
    <t>RIVERSIDE</t>
  </si>
  <si>
    <t>MALIBU</t>
  </si>
  <si>
    <t>MANHATTAN BEACH</t>
  </si>
  <si>
    <t>MONROVIA</t>
  </si>
  <si>
    <t>LEMON GROVE</t>
  </si>
  <si>
    <t>NORWALK</t>
  </si>
  <si>
    <t>LEMOORE</t>
  </si>
  <si>
    <t>PALMDALE</t>
  </si>
  <si>
    <t>LINCOLN</t>
  </si>
  <si>
    <t>PARAMOUNT</t>
  </si>
  <si>
    <t>PASADENA</t>
  </si>
  <si>
    <t>LINDSAY</t>
  </si>
  <si>
    <t>RANCHO PALOS VERDES</t>
  </si>
  <si>
    <t>LIVE OAK</t>
  </si>
  <si>
    <t>REDONDO BEACH</t>
  </si>
  <si>
    <t>ROSEMEAD</t>
  </si>
  <si>
    <t>SAN DIMAS</t>
  </si>
  <si>
    <t>SAN FERNANDO</t>
  </si>
  <si>
    <t>LIVINGSTON</t>
  </si>
  <si>
    <t>SAN GABRIEL</t>
  </si>
  <si>
    <t>LODI</t>
  </si>
  <si>
    <t>SANTA CLARITA</t>
  </si>
  <si>
    <t>LOMA LINDA</t>
  </si>
  <si>
    <t>SANTA FE SPRINGS</t>
  </si>
  <si>
    <t>SANTA MONICA</t>
  </si>
  <si>
    <t>SIERRA MADRE</t>
  </si>
  <si>
    <t>LOMPOC</t>
  </si>
  <si>
    <t>SIGNAL HILL</t>
  </si>
  <si>
    <t>SOUTH EL MONTE</t>
  </si>
  <si>
    <t>SOUTH GATE</t>
  </si>
  <si>
    <t>SACRAMENTO</t>
  </si>
  <si>
    <t>10/31/2013-10/31/2021</t>
  </si>
  <si>
    <t>LOOMIS</t>
  </si>
  <si>
    <t>SOUTH PASADENA</t>
  </si>
  <si>
    <t>LOS ALAMITOS</t>
  </si>
  <si>
    <t>TORRANCE</t>
  </si>
  <si>
    <t>WALNUT</t>
  </si>
  <si>
    <t>LOS ALTOS</t>
  </si>
  <si>
    <t>WEST COVINA</t>
  </si>
  <si>
    <t>WEST HOLLYWOOD</t>
  </si>
  <si>
    <t>LOS ALTOS HILLS</t>
  </si>
  <si>
    <t>WHITTIER</t>
  </si>
  <si>
    <t>LOS BANOS</t>
  </si>
  <si>
    <t>LOS GATOS</t>
  </si>
  <si>
    <t>LOYALTON</t>
  </si>
  <si>
    <t>LYNWOOD</t>
  </si>
  <si>
    <t>MADERA COUNTY</t>
  </si>
  <si>
    <t>MAMMOTH LAKES</t>
  </si>
  <si>
    <t>MANTECA</t>
  </si>
  <si>
    <t>SAN BENITO</t>
  </si>
  <si>
    <t>12/31/2015 - 12/31/2023</t>
  </si>
  <si>
    <t>MARICOPA</t>
  </si>
  <si>
    <t>MARIN COUNTY</t>
  </si>
  <si>
    <t>MARINA</t>
  </si>
  <si>
    <t>MARIPOSA COUNTY</t>
  </si>
  <si>
    <t>MARYSVILLE</t>
  </si>
  <si>
    <t>MAYWOOD</t>
  </si>
  <si>
    <t>MENDOCINO COUNTY</t>
  </si>
  <si>
    <t>MENDOTA</t>
  </si>
  <si>
    <t>MENIFEE</t>
  </si>
  <si>
    <t>MENLO PARK</t>
  </si>
  <si>
    <t>SAN BERNARDINO</t>
  </si>
  <si>
    <t>MERCED COUNTY</t>
  </si>
  <si>
    <t>MILL VALLEY</t>
  </si>
  <si>
    <t>MILLBRAE</t>
  </si>
  <si>
    <t>MILPITAS</t>
  </si>
  <si>
    <t>MISSION VIEJO</t>
  </si>
  <si>
    <t>MODESTO</t>
  </si>
  <si>
    <t>MODOC COUNTY</t>
  </si>
  <si>
    <t>MONO COUNTY</t>
  </si>
  <si>
    <t>MONTAGUE</t>
  </si>
  <si>
    <t>MONTCLAIR</t>
  </si>
  <si>
    <t>MONTE SERENO</t>
  </si>
  <si>
    <t>SAN MARINO</t>
  </si>
  <si>
    <t>MONTEBELLO</t>
  </si>
  <si>
    <t>MONTEREY COUNTY</t>
  </si>
  <si>
    <t>SAN DIEGO</t>
  </si>
  <si>
    <t>4/30/2013-4/30/2021</t>
  </si>
  <si>
    <t>MONTEREY PARK</t>
  </si>
  <si>
    <t>MOORPARK</t>
  </si>
  <si>
    <t>MORENO VALLEY</t>
  </si>
  <si>
    <t>MORGAN HILL</t>
  </si>
  <si>
    <t>MORRO BAY</t>
  </si>
  <si>
    <t>MOUNT SHASTA</t>
  </si>
  <si>
    <t>MOUNTAIN VIEW</t>
  </si>
  <si>
    <t>MURRIETA</t>
  </si>
  <si>
    <t>NAPA COUNTY</t>
  </si>
  <si>
    <t>NATIONAL CITY</t>
  </si>
  <si>
    <t>NEEDLES</t>
  </si>
  <si>
    <t>NEVADA CITY</t>
  </si>
  <si>
    <t>NEVADA COUNTY</t>
  </si>
  <si>
    <t>NEWMAN</t>
  </si>
  <si>
    <t>NEWPORT BEACH</t>
  </si>
  <si>
    <t>NORCO</t>
  </si>
  <si>
    <t>SAN FRANCISCO</t>
  </si>
  <si>
    <t>NOVATO</t>
  </si>
  <si>
    <t>OAKDALE</t>
  </si>
  <si>
    <t>OCEANSIDE</t>
  </si>
  <si>
    <t>OJAI</t>
  </si>
  <si>
    <t>ONTARIO</t>
  </si>
  <si>
    <t>ORANGE COUNTY</t>
  </si>
  <si>
    <t>OXNARD</t>
  </si>
  <si>
    <t>SAN LUIS OBISPO</t>
  </si>
  <si>
    <t>PACIFIC GROVE</t>
  </si>
  <si>
    <t>PACIFICA</t>
  </si>
  <si>
    <t>PALM DESERT</t>
  </si>
  <si>
    <t>PALM SPRINGS</t>
  </si>
  <si>
    <t>PALO ALTO</t>
  </si>
  <si>
    <t>PALOS VERDES ESTATES</t>
  </si>
  <si>
    <t>PASO ROBLES</t>
  </si>
  <si>
    <t>PATTERSON</t>
  </si>
  <si>
    <t>PERRIS</t>
  </si>
  <si>
    <t>PETALUMA</t>
  </si>
  <si>
    <t>PICO RIVERA</t>
  </si>
  <si>
    <t>SAN MATEO</t>
  </si>
  <si>
    <t>PISMO BEACH</t>
  </si>
  <si>
    <t>PLACENTIA</t>
  </si>
  <si>
    <t>PLACER COUNTY</t>
  </si>
  <si>
    <t>PLUMAS COUNTY</t>
  </si>
  <si>
    <t>POINT ARENA</t>
  </si>
  <si>
    <t>POMONA</t>
  </si>
  <si>
    <t>SANTA BARBARA</t>
  </si>
  <si>
    <t>2/15/2015-2/15/2023</t>
  </si>
  <si>
    <t>PORT HUENEME</t>
  </si>
  <si>
    <t>PORTERVILLE</t>
  </si>
  <si>
    <t>PORTOLA</t>
  </si>
  <si>
    <t>PORTOLA VALLEY</t>
  </si>
  <si>
    <t>POWAY</t>
  </si>
  <si>
    <t>RANCHO CORDOVA</t>
  </si>
  <si>
    <t>RANCHO CUCAMONGA</t>
  </si>
  <si>
    <t>RANCHO MIRAGE</t>
  </si>
  <si>
    <t>RANCHO ST. MARGARITA</t>
  </si>
  <si>
    <t>RED BLUFF</t>
  </si>
  <si>
    <t>SANTA CLARA</t>
  </si>
  <si>
    <t>REDDING</t>
  </si>
  <si>
    <t>REDLANDS</t>
  </si>
  <si>
    <t>ROLLING HILLS ESTATES</t>
  </si>
  <si>
    <t>REDWOOD CITY</t>
  </si>
  <si>
    <t>RIALTO</t>
  </si>
  <si>
    <t>RIDGECREST</t>
  </si>
  <si>
    <t>SANTA CRUZ</t>
  </si>
  <si>
    <t>RIO VISTA</t>
  </si>
  <si>
    <t>TEMPLE CITY</t>
  </si>
  <si>
    <t>RIPON</t>
  </si>
  <si>
    <t>RIVERBANK</t>
  </si>
  <si>
    <t>WESTLAKE VILLAGE</t>
  </si>
  <si>
    <t>RIVERSIDE COUNTY</t>
  </si>
  <si>
    <t>ROCKLIN</t>
  </si>
  <si>
    <t>ROHNERT PARK</t>
  </si>
  <si>
    <t>ROLLING HILLS</t>
  </si>
  <si>
    <t>SHASTA</t>
  </si>
  <si>
    <t>ROSEVILLE</t>
  </si>
  <si>
    <t>ROSS</t>
  </si>
  <si>
    <t>SACRAMENTO COUNTY</t>
  </si>
  <si>
    <t>SAINT HELENA</t>
  </si>
  <si>
    <t>SALINAS</t>
  </si>
  <si>
    <t>SAN ANSELMO</t>
  </si>
  <si>
    <t>SAN BENITO COUNTY</t>
  </si>
  <si>
    <t>SAN BERNARDINO COUNTY</t>
  </si>
  <si>
    <t>SIERRA</t>
  </si>
  <si>
    <t>SAN BRUNO</t>
  </si>
  <si>
    <t>SAN BUENAVENTURA</t>
  </si>
  <si>
    <t>SAN CARLOS</t>
  </si>
  <si>
    <t>SAN CLEMENTE</t>
  </si>
  <si>
    <t>SAN DIEGO COUNTY</t>
  </si>
  <si>
    <t>PERIOD</t>
  </si>
  <si>
    <t>APR STATUS</t>
  </si>
  <si>
    <t>SAN JACINTO</t>
  </si>
  <si>
    <t>10/15/2013 - 10/15/2021</t>
  </si>
  <si>
    <t>Final</t>
  </si>
  <si>
    <t>SISKIYOU</t>
  </si>
  <si>
    <t>SAN JOAQUIN COUNTY</t>
  </si>
  <si>
    <t>SAN JOSE</t>
  </si>
  <si>
    <t>01/31/2015 - 01/31/2023</t>
  </si>
  <si>
    <t>SAN JUAN BAUTISTA</t>
  </si>
  <si>
    <t>SAN JUAN CAPISTRANO</t>
  </si>
  <si>
    <t>SAN LUIS OBISPO CO.</t>
  </si>
  <si>
    <t>SAN MARCOS</t>
  </si>
  <si>
    <t>SAN MATEO COUNTY</t>
  </si>
  <si>
    <t>06/30/2014 - 06/30/2019</t>
  </si>
  <si>
    <t>SAN RAFAEL</t>
  </si>
  <si>
    <t>SAND CITY</t>
  </si>
  <si>
    <t>SOLANO</t>
  </si>
  <si>
    <t>SANTA ANA</t>
  </si>
  <si>
    <t>SANTA BARBARA COUNTY</t>
  </si>
  <si>
    <t>SANTA CLARA COUNTY</t>
  </si>
  <si>
    <t>SANTA CRUZ COUNTY</t>
  </si>
  <si>
    <t>SANTA MARIA</t>
  </si>
  <si>
    <t>SONOMA</t>
  </si>
  <si>
    <t>SANTA PAULA</t>
  </si>
  <si>
    <t>SANTA ROSA</t>
  </si>
  <si>
    <t>SANTEE</t>
  </si>
  <si>
    <t>SARATOGA</t>
  </si>
  <si>
    <t>SAUSALITO</t>
  </si>
  <si>
    <t>SCOTTS VALLEY</t>
  </si>
  <si>
    <t>SEAL BEACH</t>
  </si>
  <si>
    <t>SEASIDE</t>
  </si>
  <si>
    <t>SEBASTOPOL</t>
  </si>
  <si>
    <t>STANISLAUS</t>
  </si>
  <si>
    <t>SHAFTER</t>
  </si>
  <si>
    <t>SHASTA COUNTY</t>
  </si>
  <si>
    <t>03/31/2016 - 03/31/2024</t>
  </si>
  <si>
    <t>SHASTA LAKE</t>
  </si>
  <si>
    <t>SIERRA COUNTY</t>
  </si>
  <si>
    <t>10/31/2013 - 10/31/2021</t>
  </si>
  <si>
    <t>SIMI VALLEY</t>
  </si>
  <si>
    <t>SISKIYOU COUNTY</t>
  </si>
  <si>
    <t>SOLANA BEACH</t>
  </si>
  <si>
    <t>SOLANO COUNTY</t>
  </si>
  <si>
    <t>SOLEDAD</t>
  </si>
  <si>
    <t>SUTTER</t>
  </si>
  <si>
    <t>SOLVANG</t>
  </si>
  <si>
    <t>01/31/2016 - 01/31/2024</t>
  </si>
  <si>
    <t>SONOMA COUNTY</t>
  </si>
  <si>
    <t>SONORA</t>
  </si>
  <si>
    <t>SOUTH SAN FRANCISCO</t>
  </si>
  <si>
    <t>STANISLAUS COUNTY</t>
  </si>
  <si>
    <t>STANTON</t>
  </si>
  <si>
    <t>STOCKTON</t>
  </si>
  <si>
    <t>SUISUN CITY</t>
  </si>
  <si>
    <t>TEHAMA</t>
  </si>
  <si>
    <t>SUNNYVALE</t>
  </si>
  <si>
    <t>SUSANVILLE</t>
  </si>
  <si>
    <t>SUTTER COUNTY</t>
  </si>
  <si>
    <t>TEHAMA COUNTY</t>
  </si>
  <si>
    <t>TEMECULA</t>
  </si>
  <si>
    <t>THOUSAND OAKS</t>
  </si>
  <si>
    <t>TIBURON</t>
  </si>
  <si>
    <t>TRINITY</t>
  </si>
  <si>
    <t>TRACY</t>
  </si>
  <si>
    <t>TRINIDAD</t>
  </si>
  <si>
    <t>TRINITY COUNTY</t>
  </si>
  <si>
    <t>TRUCKEE</t>
  </si>
  <si>
    <t>TULARE</t>
  </si>
  <si>
    <t>TULARE COUNTY</t>
  </si>
  <si>
    <t>TULELAKE</t>
  </si>
  <si>
    <t>06/15/2014 - 06/15/2022</t>
  </si>
  <si>
    <t>TUOLUMNE COUNTY</t>
  </si>
  <si>
    <t>TURLOCK</t>
  </si>
  <si>
    <t>TUSTIN</t>
  </si>
  <si>
    <t>TWENTYNINE PALMS</t>
  </si>
  <si>
    <t>UKIAH</t>
  </si>
  <si>
    <t>UPLAND</t>
  </si>
  <si>
    <t>VACAVILLE</t>
  </si>
  <si>
    <t>VALLEJO</t>
  </si>
  <si>
    <t>VENTURA COUNTY</t>
  </si>
  <si>
    <t>VERNON</t>
  </si>
  <si>
    <t>VICTORVILLE</t>
  </si>
  <si>
    <t>VILLA PARK</t>
  </si>
  <si>
    <t>VISALIA</t>
  </si>
  <si>
    <t>VISTA</t>
  </si>
  <si>
    <t>02/15/2015 - 02/15/2023</t>
  </si>
  <si>
    <t>TUOLUMNE</t>
  </si>
  <si>
    <t>WATERFORD</t>
  </si>
  <si>
    <t>WATSONVILLE</t>
  </si>
  <si>
    <t>WEED</t>
  </si>
  <si>
    <t>WEST SACRAMENTO</t>
  </si>
  <si>
    <t>WESTMINSTER</t>
  </si>
  <si>
    <t>WHEATLAND</t>
  </si>
  <si>
    <t>WILDOMAR</t>
  </si>
  <si>
    <t>WILLIAMS</t>
  </si>
  <si>
    <t>WILLITS</t>
  </si>
  <si>
    <t>VENTURA</t>
  </si>
  <si>
    <t>WINDSOR</t>
  </si>
  <si>
    <t>WINTERS</t>
  </si>
  <si>
    <t>WOODLAKE</t>
  </si>
  <si>
    <t>WOODLAND</t>
  </si>
  <si>
    <t>WOODSIDE</t>
  </si>
  <si>
    <t>YOLO COUNTY</t>
  </si>
  <si>
    <t>YORBA LINDA</t>
  </si>
  <si>
    <t>YOUNTVILLE</t>
  </si>
  <si>
    <t>YREKA</t>
  </si>
  <si>
    <t>YUBA CITY</t>
  </si>
  <si>
    <t>YUBA COUNTY</t>
  </si>
  <si>
    <t>YUCAIPA</t>
  </si>
  <si>
    <t>YUCCA VALLEY</t>
  </si>
  <si>
    <t>YOLO</t>
  </si>
  <si>
    <t>04/30/2013 - 04/30/2021</t>
  </si>
  <si>
    <t>YUBA</t>
  </si>
  <si>
    <r>
      <t xml:space="preserve">California Department of Housing and Community Development - Division of Housing Policy Development
 Annual Progress Report Permit Summary - Assigned RHNA
 </t>
    </r>
    <r>
      <rPr>
        <sz val="14"/>
        <rFont val="Arial"/>
        <family val="2"/>
      </rPr>
      <t>The Regional Housing Needs Allocation listed in Annual Progress Reports is self-reported by jurisdictions. This spreadsheet provides the assigned RHNA for comparison purposes</t>
    </r>
    <r>
      <rPr>
        <sz val="10"/>
        <color rgb="FF000000"/>
        <rFont val="Arial"/>
        <family val="2"/>
      </rPr>
      <t>.</t>
    </r>
  </si>
  <si>
    <t>5th Cycle: Regional Housing Need Allocation (RHNA)</t>
  </si>
  <si>
    <t>5TH RHNA Allocations</t>
  </si>
  <si>
    <t>Cycle length</t>
  </si>
  <si>
    <t>Annualized Target</t>
  </si>
  <si>
    <t xml:space="preserve">Low and Very Low </t>
  </si>
  <si>
    <t>Annualized Low and Ver Low</t>
  </si>
  <si>
    <t>TOTAL</t>
  </si>
  <si>
    <t>SANDAG</t>
  </si>
  <si>
    <t>ALL JURISDICTIONS 5th Cycle</t>
  </si>
  <si>
    <t>SCAG</t>
  </si>
  <si>
    <t>Region/County</t>
  </si>
  <si>
    <t>Jurisdiction</t>
  </si>
  <si>
    <t>ABAG</t>
  </si>
  <si>
    <t>SACOG</t>
  </si>
  <si>
    <t>AMBAG</t>
  </si>
  <si>
    <t>Carlsbad</t>
  </si>
  <si>
    <t>San Benito COG</t>
  </si>
  <si>
    <t>Chula Vista</t>
  </si>
  <si>
    <t>FCOG</t>
  </si>
  <si>
    <t>Coronado</t>
  </si>
  <si>
    <t>KCOG</t>
  </si>
  <si>
    <t>Del Mar</t>
  </si>
  <si>
    <t>BCAG</t>
  </si>
  <si>
    <t>El Cajon</t>
  </si>
  <si>
    <t>HCOAG</t>
  </si>
  <si>
    <t>Encinitas</t>
  </si>
  <si>
    <t>KCAG</t>
  </si>
  <si>
    <t>Escondido</t>
  </si>
  <si>
    <t>Lake APC</t>
  </si>
  <si>
    <t>Imperial Beach</t>
  </si>
  <si>
    <t>MCOG</t>
  </si>
  <si>
    <t>La Mesa</t>
  </si>
  <si>
    <t>MCAG</t>
  </si>
  <si>
    <t>Lemon Grove</t>
  </si>
  <si>
    <t>SJCOG</t>
  </si>
  <si>
    <t>National City</t>
  </si>
  <si>
    <t>SLOCOG</t>
  </si>
  <si>
    <t>Oceanside</t>
  </si>
  <si>
    <t>SBCAG</t>
  </si>
  <si>
    <t>Poway</t>
  </si>
  <si>
    <t>StanCOG</t>
  </si>
  <si>
    <t>TCAG</t>
  </si>
  <si>
    <t>San Marcos</t>
  </si>
  <si>
    <t>Santee</t>
  </si>
  <si>
    <t>Solana Beach</t>
  </si>
  <si>
    <t>Vista</t>
  </si>
  <si>
    <t>Unincorporated County</t>
  </si>
  <si>
    <t>IMPERIAL CY JURISDICTIONS</t>
  </si>
  <si>
    <t>LOS ANGELES CY JURISDICTIONS</t>
  </si>
  <si>
    <t>Lassen</t>
  </si>
  <si>
    <t>ORANGE CY JURISDICTIONS</t>
  </si>
  <si>
    <t>RIVERSIDE CY JURISDICTIONS</t>
  </si>
  <si>
    <t>SAN BERNARDINO CY JURISDICTIONS</t>
  </si>
  <si>
    <t>VENTURA JURISDICTIONS</t>
  </si>
  <si>
    <t>Brawley</t>
  </si>
  <si>
    <t>Calexico</t>
  </si>
  <si>
    <t>Calipatria</t>
  </si>
  <si>
    <t>El Centro</t>
  </si>
  <si>
    <t>Holtville</t>
  </si>
  <si>
    <t>Westmorland</t>
  </si>
  <si>
    <t>Agoura Hills</t>
  </si>
  <si>
    <t>Alhambra</t>
  </si>
  <si>
    <t>Arcadia</t>
  </si>
  <si>
    <t>Artesia</t>
  </si>
  <si>
    <t>Avalon</t>
  </si>
  <si>
    <t>Azusa</t>
  </si>
  <si>
    <t>Baldwin Park</t>
  </si>
  <si>
    <t>Bell</t>
  </si>
  <si>
    <t>Bell Gardens</t>
  </si>
  <si>
    <t>Bellflower</t>
  </si>
  <si>
    <t>-</t>
  </si>
  <si>
    <t>Beverly Hills</t>
  </si>
  <si>
    <t>Bradbury</t>
  </si>
  <si>
    <t>Burbank</t>
  </si>
  <si>
    <t>Calabasas</t>
  </si>
  <si>
    <t>Carson</t>
  </si>
  <si>
    <t>Cerritos</t>
  </si>
  <si>
    <t>Claremont</t>
  </si>
  <si>
    <t>Commerce</t>
  </si>
  <si>
    <t>Compton</t>
  </si>
  <si>
    <t>Covina</t>
  </si>
  <si>
    <t>Cudahy</t>
  </si>
  <si>
    <t>Culver City</t>
  </si>
  <si>
    <t>Diamond Bar</t>
  </si>
  <si>
    <t>Downey</t>
  </si>
  <si>
    <t>Duarte</t>
  </si>
  <si>
    <t>El Monte</t>
  </si>
  <si>
    <t>El Segundo</t>
  </si>
  <si>
    <t>Gardena</t>
  </si>
  <si>
    <t>Glendale</t>
  </si>
  <si>
    <t>Glendora</t>
  </si>
  <si>
    <t>Hawaiian Gardens</t>
  </si>
  <si>
    <t>Hawthorne</t>
  </si>
  <si>
    <t>Hermosa Beach</t>
  </si>
  <si>
    <t>Hidden Hills</t>
  </si>
  <si>
    <t>Huntington Park</t>
  </si>
  <si>
    <t>Industry</t>
  </si>
  <si>
    <t>Inglewood</t>
  </si>
  <si>
    <t>Irwindale</t>
  </si>
  <si>
    <t>La Canada Flintridge</t>
  </si>
  <si>
    <t>La Habra Heights</t>
  </si>
  <si>
    <t>La Mirada</t>
  </si>
  <si>
    <t>La Puente</t>
  </si>
  <si>
    <t>La Verne</t>
  </si>
  <si>
    <t>Lakewood</t>
  </si>
  <si>
    <t>Lancaster</t>
  </si>
  <si>
    <t>Lawndale</t>
  </si>
  <si>
    <t>Lomita</t>
  </si>
  <si>
    <t>Long Beach</t>
  </si>
  <si>
    <t>Lynwood</t>
  </si>
  <si>
    <t>Malibu</t>
  </si>
  <si>
    <t>Manhattan Beach</t>
  </si>
  <si>
    <t>Maywood</t>
  </si>
  <si>
    <t>Monrovia</t>
  </si>
  <si>
    <t>Montebello</t>
  </si>
  <si>
    <t>Monterey Park</t>
  </si>
  <si>
    <t>Norwalk</t>
  </si>
  <si>
    <t>Palmdale</t>
  </si>
  <si>
    <t>Palos Verdes Estates</t>
  </si>
  <si>
    <t>Paramount</t>
  </si>
  <si>
    <t>Pasadena</t>
  </si>
  <si>
    <t>Pico Rivera</t>
  </si>
  <si>
    <t>Pomona</t>
  </si>
  <si>
    <t>Rancho Palos Verdes</t>
  </si>
  <si>
    <t>Redondo Beach</t>
  </si>
  <si>
    <t>Rolling Hills</t>
  </si>
  <si>
    <t>Rolling Hills Estates</t>
  </si>
  <si>
    <t>Rosemead</t>
  </si>
  <si>
    <t>San Dimas</t>
  </si>
  <si>
    <t>San Fernando</t>
  </si>
  <si>
    <t>San Gabriel</t>
  </si>
  <si>
    <t>San Marino</t>
  </si>
  <si>
    <t>Santa Clarita</t>
  </si>
  <si>
    <t>Santa Fe Springs</t>
  </si>
  <si>
    <t>Santa Monica</t>
  </si>
  <si>
    <t>Sierra Madre</t>
  </si>
  <si>
    <t>Signal Hill</t>
  </si>
  <si>
    <t>South El Monte</t>
  </si>
  <si>
    <t>South Gate</t>
  </si>
  <si>
    <t>South Pasadena</t>
  </si>
  <si>
    <t>Temple City</t>
  </si>
  <si>
    <t>Torrance</t>
  </si>
  <si>
    <t>Vernon</t>
  </si>
  <si>
    <t>Walnut</t>
  </si>
  <si>
    <t>West Covina</t>
  </si>
  <si>
    <t>West Hollywood</t>
  </si>
  <si>
    <t>Westlake Village</t>
  </si>
  <si>
    <t>Whittier</t>
  </si>
  <si>
    <t>Aliso Viejo</t>
  </si>
  <si>
    <t>Anaheim</t>
  </si>
  <si>
    <t>Brea</t>
  </si>
  <si>
    <t>Buena Park</t>
  </si>
  <si>
    <t>Costa Mesa</t>
  </si>
  <si>
    <t>Cypress</t>
  </si>
  <si>
    <t>Dana Point</t>
  </si>
  <si>
    <t>Fountain Valley</t>
  </si>
  <si>
    <t>Fullerton</t>
  </si>
  <si>
    <t>Garden Grove</t>
  </si>
  <si>
    <t>Huntington Beach</t>
  </si>
  <si>
    <t>Irvine</t>
  </si>
  <si>
    <t>La Habra</t>
  </si>
  <si>
    <t>La Palma</t>
  </si>
  <si>
    <t>Laguna Beach</t>
  </si>
  <si>
    <t>Laguna Hills</t>
  </si>
  <si>
    <t>Laguna Niguel</t>
  </si>
  <si>
    <t>Laguna Woods</t>
  </si>
  <si>
    <t>Lake Forest</t>
  </si>
  <si>
    <t>Los Alamitos</t>
  </si>
  <si>
    <t>Mission Viejo</t>
  </si>
  <si>
    <t>Newport Beach</t>
  </si>
  <si>
    <t>Placentia</t>
  </si>
  <si>
    <t>Rancho Santa Margarita</t>
  </si>
  <si>
    <t>San Clemente</t>
  </si>
  <si>
    <t>San Juan Capistrano</t>
  </si>
  <si>
    <t>Santa Ana</t>
  </si>
  <si>
    <t>Seal Beach</t>
  </si>
  <si>
    <t>Stanton</t>
  </si>
  <si>
    <t>Tustin</t>
  </si>
  <si>
    <t>Villa Park</t>
  </si>
  <si>
    <t>Westminster</t>
  </si>
  <si>
    <t>Yorba Linda</t>
  </si>
  <si>
    <t>Banning</t>
  </si>
  <si>
    <t>Beaumont</t>
  </si>
  <si>
    <t>Blythe</t>
  </si>
  <si>
    <t>Calimesa</t>
  </si>
  <si>
    <t>Canyon Lake</t>
  </si>
  <si>
    <t>Cathedral City</t>
  </si>
  <si>
    <t>Coachella</t>
  </si>
  <si>
    <t>Corona</t>
  </si>
  <si>
    <t>Desert Hot Springs</t>
  </si>
  <si>
    <t>Eastvale (new city 2010)</t>
  </si>
  <si>
    <t>Hemet</t>
  </si>
  <si>
    <t>Indian Wells</t>
  </si>
  <si>
    <t>Indio</t>
  </si>
  <si>
    <t>Jurapa Valley</t>
  </si>
  <si>
    <t>La Quinta</t>
  </si>
  <si>
    <t>Lake Elsinore</t>
  </si>
  <si>
    <t>Menifee</t>
  </si>
  <si>
    <t>Moreno Valley</t>
  </si>
  <si>
    <t>Murrieta</t>
  </si>
  <si>
    <t>Norco</t>
  </si>
  <si>
    <t>Palm Desert</t>
  </si>
  <si>
    <t>Palm Springs</t>
  </si>
  <si>
    <t>Perris</t>
  </si>
  <si>
    <t>Rancho Mirage</t>
  </si>
  <si>
    <t>San Jacinto</t>
  </si>
  <si>
    <t>Temecula</t>
  </si>
  <si>
    <t>Wildomar (new city 2010)</t>
  </si>
  <si>
    <t>Adelanto</t>
  </si>
  <si>
    <t>Apple Valley town</t>
  </si>
  <si>
    <t>Barstow</t>
  </si>
  <si>
    <t>Big Bear Lake</t>
  </si>
  <si>
    <t>Chino</t>
  </si>
  <si>
    <t>Chino Hills</t>
  </si>
  <si>
    <t>Colton</t>
  </si>
  <si>
    <t>Fontana</t>
  </si>
  <si>
    <t>Grand Terrace</t>
  </si>
  <si>
    <t>Hesperia</t>
  </si>
  <si>
    <t>Highland</t>
  </si>
  <si>
    <t>Loma Linda</t>
  </si>
  <si>
    <t>Montclair</t>
  </si>
  <si>
    <t>Needles</t>
  </si>
  <si>
    <t>Ontario</t>
  </si>
  <si>
    <t>Rancho Cucamonga</t>
  </si>
  <si>
    <t>Redlands</t>
  </si>
  <si>
    <t>Rialto</t>
  </si>
  <si>
    <t>Twentynine Palms</t>
  </si>
  <si>
    <t>Upland</t>
  </si>
  <si>
    <t>Victorville</t>
  </si>
  <si>
    <t>Yucaipa</t>
  </si>
  <si>
    <t>Yucca Valley</t>
  </si>
  <si>
    <t>Camarillo</t>
  </si>
  <si>
    <t>Fillmore</t>
  </si>
  <si>
    <t>Moorpark</t>
  </si>
  <si>
    <t>Ojai</t>
  </si>
  <si>
    <t>Oxnard</t>
  </si>
  <si>
    <t>Port Hueneme</t>
  </si>
  <si>
    <t>San Buenaventura</t>
  </si>
  <si>
    <t>Santa Paula</t>
  </si>
  <si>
    <t>Simi Valley</t>
  </si>
  <si>
    <t>Thousand Oaks</t>
  </si>
  <si>
    <t>ALAMEDA CY JURISDICTIONS</t>
  </si>
  <si>
    <t>CONTRA COSTA CY JURISDICTIONS</t>
  </si>
  <si>
    <t>MARIN CY JURISDICTIONS</t>
  </si>
  <si>
    <t>NAPA CY JURISDICTIONS</t>
  </si>
  <si>
    <t>SAN FRANCISCO CY JURISDICTIONS</t>
  </si>
  <si>
    <t>SAN MATEO CY JURISDICTIONS</t>
  </si>
  <si>
    <t>SANTA CLARA CY JURISDICTIONS</t>
  </si>
  <si>
    <t>SOLANO CY JURISDICTIONS</t>
  </si>
  <si>
    <t>SONOMA JURISDICTIONS</t>
  </si>
  <si>
    <t>Albany</t>
  </si>
  <si>
    <t>Berkeley</t>
  </si>
  <si>
    <t>Dublin</t>
  </si>
  <si>
    <t>Emeryville</t>
  </si>
  <si>
    <t>Fremont</t>
  </si>
  <si>
    <t>Hayward</t>
  </si>
  <si>
    <t>Livermore</t>
  </si>
  <si>
    <t>Newark</t>
  </si>
  <si>
    <t>Oakland</t>
  </si>
  <si>
    <t>Piedmont</t>
  </si>
  <si>
    <t>Pleasanton</t>
  </si>
  <si>
    <t>San Leandro</t>
  </si>
  <si>
    <t>Union City</t>
  </si>
  <si>
    <t>Antioch</t>
  </si>
  <si>
    <t>Brentwood</t>
  </si>
  <si>
    <t>Clayton</t>
  </si>
  <si>
    <t>Concord</t>
  </si>
  <si>
    <t>Danville town</t>
  </si>
  <si>
    <t>El Cerrito</t>
  </si>
  <si>
    <t>Hercules</t>
  </si>
  <si>
    <t>Lafayette</t>
  </si>
  <si>
    <t>Martinez</t>
  </si>
  <si>
    <t>Moraga</t>
  </si>
  <si>
    <t>Oakley</t>
  </si>
  <si>
    <t>Orinda</t>
  </si>
  <si>
    <t>Pinole</t>
  </si>
  <si>
    <t>Pittsburg</t>
  </si>
  <si>
    <t>Pleasant Hill</t>
  </si>
  <si>
    <t>Richmond</t>
  </si>
  <si>
    <t>San Pablo</t>
  </si>
  <si>
    <t>San Ramon</t>
  </si>
  <si>
    <t>Walnut Creek</t>
  </si>
  <si>
    <t>Belvedere</t>
  </si>
  <si>
    <t>Corte Madera town</t>
  </si>
  <si>
    <t>Fairfax town</t>
  </si>
  <si>
    <t>Larkspur</t>
  </si>
  <si>
    <t>Mill Valley</t>
  </si>
  <si>
    <t>Novato</t>
  </si>
  <si>
    <t>Ross town</t>
  </si>
  <si>
    <t>San Anselmo town</t>
  </si>
  <si>
    <t>San Rafael</t>
  </si>
  <si>
    <t>Sausalito</t>
  </si>
  <si>
    <t>Tiburon town</t>
  </si>
  <si>
    <t>American Canyon</t>
  </si>
  <si>
    <t>Calistoga</t>
  </si>
  <si>
    <t>St. Helena</t>
  </si>
  <si>
    <t>Yountville town</t>
  </si>
  <si>
    <t>Atherton town</t>
  </si>
  <si>
    <t>Belmont</t>
  </si>
  <si>
    <t>Brisbane</t>
  </si>
  <si>
    <t>Burlingame</t>
  </si>
  <si>
    <t>Colma town</t>
  </si>
  <si>
    <t>Daly City</t>
  </si>
  <si>
    <t>East Palo Alto</t>
  </si>
  <si>
    <t>Foster City</t>
  </si>
  <si>
    <t>Half Moon Bay</t>
  </si>
  <si>
    <t>Hillsborough town</t>
  </si>
  <si>
    <t>Menlo Park</t>
  </si>
  <si>
    <t>Millbrae</t>
  </si>
  <si>
    <t>Pacifica</t>
  </si>
  <si>
    <t>Portola Valley town</t>
  </si>
  <si>
    <t>Redwood City</t>
  </si>
  <si>
    <t>San Bruno</t>
  </si>
  <si>
    <t>San Carlos</t>
  </si>
  <si>
    <t>South San Francisco</t>
  </si>
  <si>
    <t>Woodside town</t>
  </si>
  <si>
    <t>Campbell</t>
  </si>
  <si>
    <t>Cupertino</t>
  </si>
  <si>
    <t>Gilroy</t>
  </si>
  <si>
    <t>Los Altos</t>
  </si>
  <si>
    <t>Los Altos Hills town</t>
  </si>
  <si>
    <t>Los Gatos town</t>
  </si>
  <si>
    <t>Milpitas</t>
  </si>
  <si>
    <t>Monte Sereno</t>
  </si>
  <si>
    <t>Morgan Hill</t>
  </si>
  <si>
    <t>Mountain View</t>
  </si>
  <si>
    <t>Palo Alto</t>
  </si>
  <si>
    <t>San Jose</t>
  </si>
  <si>
    <t>Saratoga</t>
  </si>
  <si>
    <t>Sunnyvale</t>
  </si>
  <si>
    <t>Benicia</t>
  </si>
  <si>
    <t>Dixon</t>
  </si>
  <si>
    <t>Fairfield</t>
  </si>
  <si>
    <t>Rio Vista</t>
  </si>
  <si>
    <t>Suisun City</t>
  </si>
  <si>
    <t>Vacaville</t>
  </si>
  <si>
    <t>Vallejo</t>
  </si>
  <si>
    <t>Cloverdale</t>
  </si>
  <si>
    <t>Cotati</t>
  </si>
  <si>
    <t>Healdsburg</t>
  </si>
  <si>
    <t>Petaluma</t>
  </si>
  <si>
    <t>Rohnert Park</t>
  </si>
  <si>
    <t>Santa Rosa</t>
  </si>
  <si>
    <t>Sebastopol</t>
  </si>
  <si>
    <t>Windsor town</t>
  </si>
  <si>
    <t>EL DORADO CY JURISDICTIONS</t>
  </si>
  <si>
    <t>PLACER CY JURISDICTIONS</t>
  </si>
  <si>
    <t>SACRAMENTO CY JURISDICTIONS</t>
  </si>
  <si>
    <t>SUTTER CY JURISDICTIONS</t>
  </si>
  <si>
    <t>YOLO CY JURISDICTIONS</t>
  </si>
  <si>
    <t>YUBA CY JURISDICTIONS</t>
  </si>
  <si>
    <t>Placerville</t>
  </si>
  <si>
    <t>South Lake Tahoe</t>
  </si>
  <si>
    <t>Auburn</t>
  </si>
  <si>
    <t>Colfax</t>
  </si>
  <si>
    <t>Lincoln</t>
  </si>
  <si>
    <t>Loomis town</t>
  </si>
  <si>
    <t>Rocklin</t>
  </si>
  <si>
    <t>Roseville</t>
  </si>
  <si>
    <t>Citrus Heights</t>
  </si>
  <si>
    <t>Elk Grove</t>
  </si>
  <si>
    <t>Folsom</t>
  </si>
  <si>
    <t>Galt</t>
  </si>
  <si>
    <t>Isleton</t>
  </si>
  <si>
    <t>Rancho Cordova</t>
  </si>
  <si>
    <t>Live Oak</t>
  </si>
  <si>
    <t>Yuba City</t>
  </si>
  <si>
    <t>Davis</t>
  </si>
  <si>
    <t>West Sacramento</t>
  </si>
  <si>
    <t>Winters</t>
  </si>
  <si>
    <t>Woodland</t>
  </si>
  <si>
    <t>Marysville</t>
  </si>
  <si>
    <t>Wheatland</t>
  </si>
  <si>
    <t>MONTEREY CY JURISDICTIONS</t>
  </si>
  <si>
    <t>SANTA CRUZ CY JURISDICITONS</t>
  </si>
  <si>
    <t>Carmel-by-the-Sea</t>
  </si>
  <si>
    <t>Del Rey Oaks</t>
  </si>
  <si>
    <t>Gonzales</t>
  </si>
  <si>
    <t>Greenfield</t>
  </si>
  <si>
    <t>King City</t>
  </si>
  <si>
    <t>Marina</t>
  </si>
  <si>
    <t>Pacific Grove</t>
  </si>
  <si>
    <t>Salinas</t>
  </si>
  <si>
    <t>Sand City</t>
  </si>
  <si>
    <t>Seaside</t>
  </si>
  <si>
    <t>Soledad</t>
  </si>
  <si>
    <t>Capitola</t>
  </si>
  <si>
    <t>Scotts Valley</t>
  </si>
  <si>
    <t>Watsonville</t>
  </si>
  <si>
    <t>San Benito (San Benito COG)</t>
  </si>
  <si>
    <t>Hollister</t>
  </si>
  <si>
    <t>San Juan Bautista</t>
  </si>
  <si>
    <t>Fresno (FCOG)</t>
  </si>
  <si>
    <t>Clovis</t>
  </si>
  <si>
    <t>Coalinga</t>
  </si>
  <si>
    <t>Firebaugh</t>
  </si>
  <si>
    <t>Fowler</t>
  </si>
  <si>
    <t>Huron</t>
  </si>
  <si>
    <t>Kerman</t>
  </si>
  <si>
    <t>Kingsburg</t>
  </si>
  <si>
    <t>Mendota</t>
  </si>
  <si>
    <t>Orange Cove</t>
  </si>
  <si>
    <t>Parlier</t>
  </si>
  <si>
    <t>Reedley</t>
  </si>
  <si>
    <t>Sanger</t>
  </si>
  <si>
    <t>Selma</t>
  </si>
  <si>
    <t>KERN (KCOG)</t>
  </si>
  <si>
    <t>Arvin</t>
  </si>
  <si>
    <t>Bakersfield</t>
  </si>
  <si>
    <t>California City</t>
  </si>
  <si>
    <t>Delano</t>
  </si>
  <si>
    <t>Maricopa</t>
  </si>
  <si>
    <t>McFarland</t>
  </si>
  <si>
    <t>Ridgecrest</t>
  </si>
  <si>
    <t>Shafter</t>
  </si>
  <si>
    <t>Taft</t>
  </si>
  <si>
    <t>Tehachapi</t>
  </si>
  <si>
    <t>Wasco</t>
  </si>
  <si>
    <t>Butte (BCAG)</t>
  </si>
  <si>
    <t>Biggs</t>
  </si>
  <si>
    <t>Chico</t>
  </si>
  <si>
    <t>Gridley</t>
  </si>
  <si>
    <t>Oroville</t>
  </si>
  <si>
    <t>Paradise town</t>
  </si>
  <si>
    <t>Humboldt (HCOAG)</t>
  </si>
  <si>
    <t>Arcata</t>
  </si>
  <si>
    <t>Blue Lake</t>
  </si>
  <si>
    <t>Eureka</t>
  </si>
  <si>
    <t>Ferndale</t>
  </si>
  <si>
    <t>Fortuna</t>
  </si>
  <si>
    <t>Rio Dell</t>
  </si>
  <si>
    <t>Trinidad</t>
  </si>
  <si>
    <t>Kings (KCAG)</t>
  </si>
  <si>
    <t>Avenal</t>
  </si>
  <si>
    <t>Corcoran</t>
  </si>
  <si>
    <t>Hanford</t>
  </si>
  <si>
    <t>Lemoore</t>
  </si>
  <si>
    <t>Lake (Lake APC)</t>
  </si>
  <si>
    <t>Lake</t>
  </si>
  <si>
    <t>Clearlake</t>
  </si>
  <si>
    <t>Lakeport</t>
  </si>
  <si>
    <t>Mendocino (MCOG)</t>
  </si>
  <si>
    <t>Fort Bragg</t>
  </si>
  <si>
    <t>Point Arena</t>
  </si>
  <si>
    <t>Ukiah</t>
  </si>
  <si>
    <t>Willits</t>
  </si>
  <si>
    <t>Merced (MCAG)</t>
  </si>
  <si>
    <t>Atwater</t>
  </si>
  <si>
    <t>Dos Palos</t>
  </si>
  <si>
    <t>Gustine</t>
  </si>
  <si>
    <t>Livingston</t>
  </si>
  <si>
    <t>Los Banos</t>
  </si>
  <si>
    <t>San Joaquin (SJCOG)</t>
  </si>
  <si>
    <t>Escalon</t>
  </si>
  <si>
    <t>Lathrop</t>
  </si>
  <si>
    <t>Lodi</t>
  </si>
  <si>
    <t>Manteca</t>
  </si>
  <si>
    <t>Ripon</t>
  </si>
  <si>
    <t>Stockton</t>
  </si>
  <si>
    <t>Tracy</t>
  </si>
  <si>
    <t>San Luis Obispo (SLOCOG)</t>
  </si>
  <si>
    <t>Arroyo Grande</t>
  </si>
  <si>
    <t>Atascadero</t>
  </si>
  <si>
    <t>Grover Beach</t>
  </si>
  <si>
    <t>Morro Bay</t>
  </si>
  <si>
    <t>Paso Robles</t>
  </si>
  <si>
    <t>Pismo Beach</t>
  </si>
  <si>
    <t>Santa Barbara (SBCAG)</t>
  </si>
  <si>
    <t>Buellton</t>
  </si>
  <si>
    <t>Carpinteria</t>
  </si>
  <si>
    <t>Goleta</t>
  </si>
  <si>
    <t>Guadalupe</t>
  </si>
  <si>
    <t>Lompoc</t>
  </si>
  <si>
    <t>Santa Maria</t>
  </si>
  <si>
    <t>Solvang</t>
  </si>
  <si>
    <t>Stanislaus (StanCOG)</t>
  </si>
  <si>
    <t>Ceres</t>
  </si>
  <si>
    <t>Hughson</t>
  </si>
  <si>
    <t>Modesto</t>
  </si>
  <si>
    <t>Newman</t>
  </si>
  <si>
    <t>Oakdale</t>
  </si>
  <si>
    <t>Patterson</t>
  </si>
  <si>
    <t>Riverbank</t>
  </si>
  <si>
    <t>Turlock</t>
  </si>
  <si>
    <t>Waterford</t>
  </si>
  <si>
    <t>Tulare (TCAG)</t>
  </si>
  <si>
    <t>Dinuba</t>
  </si>
  <si>
    <t>Exeter</t>
  </si>
  <si>
    <t>Farmersville</t>
  </si>
  <si>
    <t>Lindsay</t>
  </si>
  <si>
    <t>Porterville</t>
  </si>
  <si>
    <t>Visalia</t>
  </si>
  <si>
    <t>Woodlake</t>
  </si>
  <si>
    <t>All Others (20) (HCD as COG)</t>
  </si>
  <si>
    <t>Alpine County</t>
  </si>
  <si>
    <t>Amador City</t>
  </si>
  <si>
    <t>Ione</t>
  </si>
  <si>
    <t>Jackson</t>
  </si>
  <si>
    <t>Plymouth</t>
  </si>
  <si>
    <t>Sutter Creek</t>
  </si>
  <si>
    <t>Angels</t>
  </si>
  <si>
    <t>Williams</t>
  </si>
  <si>
    <t>Crescent City</t>
  </si>
  <si>
    <t>Orland</t>
  </si>
  <si>
    <t>Willows</t>
  </si>
  <si>
    <t>Bishop</t>
  </si>
  <si>
    <t>Susanville</t>
  </si>
  <si>
    <t>Chowchilla</t>
  </si>
  <si>
    <t>Mariposa County</t>
  </si>
  <si>
    <t>Alturas</t>
  </si>
  <si>
    <t>Mammoth Lakes town</t>
  </si>
  <si>
    <t>Grass Valley</t>
  </si>
  <si>
    <t>Nevada City</t>
  </si>
  <si>
    <t>Truckee</t>
  </si>
  <si>
    <t>Portola</t>
  </si>
  <si>
    <t>Anderson</t>
  </si>
  <si>
    <t>Redding</t>
  </si>
  <si>
    <t>Shasta Lake</t>
  </si>
  <si>
    <t>Loyalton</t>
  </si>
  <si>
    <t>Dorris</t>
  </si>
  <si>
    <t>Dunsmuir</t>
  </si>
  <si>
    <t>Etna</t>
  </si>
  <si>
    <t>Fort Jones</t>
  </si>
  <si>
    <t>Montague</t>
  </si>
  <si>
    <t>Mount Shasta</t>
  </si>
  <si>
    <t>Total Estimated and Projected Population for California and Counties: July 1, 2010 to July 1, 2060 in 1-year Increments</t>
  </si>
  <si>
    <t>Tulelake</t>
  </si>
  <si>
    <t>Weed</t>
  </si>
  <si>
    <t>Yreka</t>
  </si>
  <si>
    <t>Estimates</t>
  </si>
  <si>
    <t>Corning</t>
  </si>
  <si>
    <t>Projections</t>
  </si>
  <si>
    <t>Red Bluff</t>
  </si>
  <si>
    <t>Population</t>
  </si>
  <si>
    <t>Trinity County</t>
  </si>
  <si>
    <t>California</t>
  </si>
  <si>
    <t>Sonora</t>
  </si>
  <si>
    <t>20 NON-COG ALL OTHER TOTAL</t>
  </si>
  <si>
    <t>Statewide 5th Cycle Total units: all jurisdictions</t>
  </si>
  <si>
    <t>Alameda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</si>
  <si>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</si>
  <si>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</si>
  <si>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</si>
  <si>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</si>
  <si>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</si>
  <si>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</si>
  <si>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</si>
  <si>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</si>
  <si>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</si>
  <si>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</si>
  <si>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</si>
  <si>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</si>
  <si>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</si>
  <si>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</si>
  <si>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</si>
  <si>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</si>
  <si>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</si>
  <si>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</si>
  <si>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</si>
  <si>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</si>
  <si>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</si>
  <si>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</si>
  <si>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</si>
  <si>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</si>
  <si>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</si>
  <si>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</si>
  <si>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</si>
  <si>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</si>
  <si>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</si>
  <si>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</si>
  <si>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</si>
  <si>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</si>
  <si>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</si>
  <si>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</si>
  <si>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</si>
  <si>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</si>
  <si>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</si>
  <si>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</si>
  <si>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</si>
  <si>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</si>
  <si>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</si>
  <si>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</si>
  <si>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</si>
  <si>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</si>
  <si>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</si>
  <si>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</si>
  <si>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</si>
  <si>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</si>
  <si>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</si>
  <si>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Tulare County</t>
  </si>
  <si>
    <t>Tuolumne County</t>
  </si>
  <si>
    <t>Ventura County</t>
  </si>
  <si>
    <t>Yolo County</t>
  </si>
  <si>
    <t>Yuba County</t>
  </si>
  <si>
    <t>Projections Prepared by Demographic Research Unit, California Department of Finance, January 2020</t>
  </si>
  <si>
    <t/>
  </si>
  <si>
    <t>Counties at 50% to 85% of Prorated Housing Target</t>
  </si>
  <si>
    <r>
      <rPr>
        <b/>
        <sz val="18"/>
        <color indexed="8"/>
        <rFont val="Arial"/>
        <family val="2"/>
      </rPr>
      <t>California Department of Housing and Community Development - Division of Housing Policy Development</t>
    </r>
    <r>
      <rPr>
        <sz val="18"/>
        <color indexed="8"/>
        <rFont val="Arial"/>
        <family val="2"/>
      </rPr>
      <t xml:space="preserve">
Annual Progress Report Permit Summary - Raw Annual Progress Report Data
</t>
    </r>
    <r>
      <rPr>
        <sz val="14"/>
        <color indexed="8"/>
        <rFont val="Arial"/>
        <family val="2"/>
      </rPr>
      <t>A compilation of the housing units reported as permitted in the Housing Element Annual Progress Reports</t>
    </r>
    <r>
      <rPr>
        <sz val="14"/>
        <rFont val="Arial"/>
        <family val="2"/>
      </rPr>
      <t xml:space="preserve"> submitted to HCD for 5th Cycle 2013-2018.  This spreadsheet provides one line for each 5th Cycle APR that was received as of June 25, 2019</t>
    </r>
    <r>
      <rPr>
        <sz val="14"/>
        <color indexed="8"/>
        <rFont val="Arial"/>
        <family val="2"/>
      </rPr>
      <t>.</t>
    </r>
    <r>
      <rPr>
        <sz val="11"/>
        <color indexed="8"/>
        <rFont val="Arial"/>
        <family val="2"/>
      </rPr>
      <t xml:space="preserve">
</t>
    </r>
  </si>
  <si>
    <t>APR YEAR (In Planning Period)</t>
  </si>
  <si>
    <t>1st APR in Planning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</si>
</sst>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7" x14ac:knownFonts="1">
    <font>
      <sz val="10"/>
      <color rgb="FF000000"/>
      <name val="Arial"/>
    </font>
    <font>
      <sz val="10"/>
      <color theme="1"/>
      <name val="Arial"/>
      <family val="2"/>
    </font>
    <font>
      <b/>
      <sz val="10"/>
      <color theme="1"/>
      <name val="Arial"/>
      <family val="2"/>
    </font>
    <font>
      <sz val="14"/>
      <color theme="1"/>
      <name val="Arial"/>
      <family val="2"/>
    </font>
    <font>
      <b/>
      <sz val="14"/>
      <color theme="1"/>
      <name val="Arial"/>
      <family val="2"/>
    </font>
    <font>
      <sz val="10"/>
      <name val="Arial"/>
      <family val="2"/>
    </font>
    <font>
      <b/>
      <sz val="12"/>
      <color theme="1"/>
      <name val="Arial"/>
      <family val="2"/>
    </font>
    <font>
      <sz val="10"/>
      <color theme="1"/>
      <name val="Arial"/>
      <family val="2"/>
    </font>
    <font>
      <b/>
      <sz val="10"/>
      <color theme="1"/>
      <name val="Arial"/>
      <family val="2"/>
    </font>
    <font>
      <sz val="12"/>
      <color rgb="FF000000"/>
      <name val="Calibri"/>
      <family val="2"/>
    </font>
    <font>
      <b/>
      <sz val="10"/>
      <color rgb="FF000000"/>
      <name val="Roboto"/>
    </font>
    <font>
      <sz val="9"/>
      <color rgb="FF000000"/>
      <name val="Arial"/>
      <family val="2"/>
    </font>
    <font>
      <sz val="9"/>
      <color theme="1"/>
      <name val="Arial"/>
      <family val="2"/>
    </font>
    <font>
      <b/>
      <sz val="18"/>
      <color rgb="FF000000"/>
      <name val="Arial"/>
      <family val="2"/>
    </font>
    <font>
      <sz val="10"/>
      <color rgb="FF000000"/>
      <name val="Arial"/>
      <family val="2"/>
    </font>
    <font>
      <sz val="10"/>
      <color rgb="FF000000"/>
      <name val="Arial"/>
      <family val="2"/>
    </font>
    <font>
      <sz val="10"/>
      <color rgb="FF9C0006"/>
      <name val="Arial"/>
      <family val="2"/>
    </font>
    <font>
      <sz val="10"/>
      <color rgb="FF006100"/>
      <name val="Arial"/>
      <family val="2"/>
    </font>
    <font>
      <b/>
      <sz val="10"/>
      <color rgb="FF000000"/>
      <name val="Arial"/>
      <family val="2"/>
    </font>
    <font>
      <b/>
      <sz val="10"/>
      <color rgb="FF000000"/>
      <name val="Arial"/>
      <family val="2"/>
    </font>
    <font>
      <b/>
      <sz val="11"/>
      <color theme="1"/>
      <name val="Arial"/>
      <family val="2"/>
    </font>
    <font>
      <b/>
      <sz val="9"/>
      <color theme="1"/>
      <name val="Arial"/>
      <family val="2"/>
    </font>
    <font>
      <b/>
      <sz val="9"/>
      <color rgb="FFFF0000"/>
      <name val="Arial"/>
      <family val="2"/>
    </font>
    <font>
      <b/>
      <sz val="11"/>
      <color rgb="FF000000"/>
      <name val="Arial"/>
      <family val="2"/>
    </font>
    <font>
      <b/>
      <sz val="11"/>
      <color rgb="FFFF0000"/>
      <name val="Arial"/>
      <family val="2"/>
    </font>
    <font>
      <sz val="9"/>
      <color rgb="FFFF0000"/>
      <name val="Arial"/>
      <family val="2"/>
    </font>
    <font>
      <b/>
      <sz val="10"/>
      <color rgb="FFFF0000"/>
      <name val="Arial"/>
      <family val="2"/>
    </font>
    <font>
      <b/>
      <sz val="12"/>
      <color rgb="FFFF0000"/>
      <name val="Arial"/>
      <family val="2"/>
    </font>
    <font>
      <u/>
      <sz val="10"/>
      <color rgb="FF000000"/>
      <name val="Arial"/>
      <family val="2"/>
    </font>
    <font>
      <b/>
      <sz val="9"/>
      <color rgb="FF000000"/>
      <name val="Arial"/>
      <family val="2"/>
    </font>
    <font>
      <sz val="11"/>
      <color theme="1"/>
      <name val="Arial"/>
      <family val="2"/>
    </font>
    <font>
      <b/>
      <i/>
      <sz val="10"/>
      <color rgb="FF000000"/>
      <name val="Arial"/>
      <family val="2"/>
    </font>
    <font>
      <i/>
      <sz val="10"/>
      <color rgb="FF000000"/>
      <name val="Arial"/>
      <family val="2"/>
    </font>
    <font>
      <b/>
      <sz val="24"/>
      <name val="Arial"/>
      <family val="2"/>
    </font>
    <font>
      <sz val="14"/>
      <name val="Arial"/>
      <family val="2"/>
    </font>
    <font>
      <sz val="12"/>
      <name val="Arial"/>
      <family val="2"/>
    </font>
    <font>
      <sz val="10"/>
      <color rgb="FF000000"/>
      <name val="Arial"/>
      <family val="2"/>
    </font>
    <font>
      <sz val="18"/>
      <color rgb="FF000000"/>
      <name val="Arial"/>
      <family val="2"/>
    </font>
    <font>
      <b/>
      <sz val="12"/>
      <color rgb="FF000000"/>
      <name val="Arial"/>
      <family val="2"/>
    </font>
    <font>
      <sz val="10"/>
      <color rgb="FF000000"/>
      <name val="Arial"/>
      <family val="2"/>
    </font>
    <font>
      <sz val="11"/>
      <color indexed="8"/>
      <name val="Arial"/>
      <family val="2"/>
    </font>
    <font>
      <b/>
      <sz val="18"/>
      <color indexed="8"/>
      <name val="Arial"/>
      <family val="2"/>
    </font>
    <font>
      <sz val="18"/>
      <color indexed="8"/>
      <name val="Arial"/>
      <family val="2"/>
    </font>
    <font>
      <sz val="14"/>
      <color indexed="8"/>
      <name val="Arial"/>
      <family val="2"/>
    </font>
    <font>
      <sz val="10"/>
      <color indexed="8"/>
      <name val="Arial"/>
      <family val="2"/>
    </font>
    <font>
      <b/>
      <sz val="9"/>
      <color indexed="81"/>
      <name val="Tahoma"/>
      <family val="2"/>
    </font>
    <font>
      <sz val="9"/>
      <color indexed="81"/>
      <name val="Tahoma"/>
      <family val="2"/>
    </font>
  </fonts>
  <fills count="26">
    <fill>
      <patternFill patternType="none"/>
    </fill>
    <fill>
      <patternFill patternType="gray125"/>
    </fill>
    <fill>
      <patternFill patternType="solid">
        <fgColor rgb="FFFFFFFF"/>
        <bgColor rgb="FFFFFFFF"/>
      </patternFill>
    </fill>
    <fill>
      <patternFill patternType="solid">
        <fgColor rgb="FFE2EFDA"/>
        <bgColor rgb="FFE2EFDA"/>
      </patternFill>
    </fill>
    <fill>
      <patternFill patternType="solid">
        <fgColor rgb="FFFFF2CC"/>
        <bgColor rgb="FFFFF2CC"/>
      </patternFill>
    </fill>
    <fill>
      <patternFill patternType="solid">
        <fgColor rgb="FFF4CCCC"/>
        <bgColor rgb="FFF4CCCC"/>
      </patternFill>
    </fill>
    <fill>
      <patternFill patternType="solid">
        <fgColor rgb="FFD9EAD3"/>
        <bgColor rgb="FFD9EAD3"/>
      </patternFill>
    </fill>
    <fill>
      <patternFill patternType="solid">
        <fgColor rgb="FFDDEBF7"/>
        <bgColor rgb="FFDDEBF7"/>
      </patternFill>
    </fill>
    <fill>
      <patternFill patternType="solid">
        <fgColor rgb="FFFCE4D6"/>
        <bgColor rgb="FFFCE4D6"/>
      </patternFill>
    </fill>
    <fill>
      <patternFill patternType="solid">
        <fgColor rgb="FF70AD47"/>
        <bgColor rgb="FF70AD47"/>
      </patternFill>
    </fill>
    <fill>
      <patternFill patternType="solid">
        <fgColor rgb="FF9BC2E6"/>
        <bgColor rgb="FF9BC2E6"/>
      </patternFill>
    </fill>
    <fill>
      <patternFill patternType="solid">
        <fgColor rgb="FFFFD966"/>
        <bgColor rgb="FFFFD966"/>
      </patternFill>
    </fill>
    <fill>
      <patternFill patternType="solid">
        <fgColor rgb="FFF4B084"/>
        <bgColor rgb="FFF4B084"/>
      </patternFill>
    </fill>
    <fill>
      <patternFill patternType="solid">
        <fgColor rgb="FFFFC7CE"/>
        <bgColor rgb="FFFFC7CE"/>
      </patternFill>
    </fill>
    <fill>
      <patternFill patternType="solid">
        <fgColor rgb="FFC6EFCE"/>
        <bgColor rgb="FFC6EFCE"/>
      </patternFill>
    </fill>
    <fill>
      <patternFill patternType="solid">
        <fgColor rgb="FFFFE699"/>
        <bgColor rgb="FFFFE699"/>
      </patternFill>
    </fill>
    <fill>
      <patternFill patternType="solid">
        <fgColor rgb="FF8EA9DB"/>
        <bgColor rgb="FF8EA9DB"/>
      </patternFill>
    </fill>
    <fill>
      <patternFill patternType="solid">
        <fgColor rgb="FF000000"/>
        <bgColor rgb="FF000000"/>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0.14996795556505021"/>
        <bgColor indexed="64"/>
      </patternFill>
    </fill>
  </fills>
  <borders count="37">
    <border>
      <left/>
      <right/>
      <top/>
      <bottom/>
      <diagonal/>
    </border>
    <border>
      <left/>
      <right/>
      <top/>
      <bottom style="thick">
        <color rgb="FF000000"/>
      </bottom>
      <diagonal/>
    </border>
    <border>
      <left/>
      <right/>
      <top/>
      <bottom style="thin">
        <color rgb="FF000000"/>
      </bottom>
      <diagonal/>
    </border>
    <border>
      <left/>
      <right/>
      <top style="thick">
        <color rgb="FF000000"/>
      </top>
      <bottom/>
      <diagonal/>
    </border>
    <border>
      <left/>
      <right style="double">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ck">
        <color rgb="FF000000"/>
      </bottom>
      <diagonal/>
    </border>
    <border>
      <left/>
      <right style="medium">
        <color indexed="64"/>
      </right>
      <top style="thick">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ck">
        <color rgb="FF000000"/>
      </bottom>
      <diagonal/>
    </border>
    <border>
      <left style="medium">
        <color indexed="64"/>
      </left>
      <right/>
      <top style="thick">
        <color rgb="FF000000"/>
      </top>
      <bottom/>
      <diagonal/>
    </border>
    <border>
      <left style="thick">
        <color indexed="64"/>
      </left>
      <right style="thick">
        <color indexed="64"/>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6" fillId="0" borderId="0" applyFont="0" applyFill="0" applyBorder="0" applyAlignment="0" applyProtection="0"/>
    <xf numFmtId="43" fontId="39" fillId="0" borderId="0" applyFont="0" applyFill="0" applyBorder="0" applyAlignment="0" applyProtection="0"/>
  </cellStyleXfs>
  <cellXfs count="354">
    <xf numFmtId="0" fontId="0" fillId="0" borderId="0" xfId="0" applyFont="1" applyAlignment="1"/>
    <xf numFmtId="0" fontId="1" fillId="2" borderId="0" xfId="0" applyFont="1" applyFill="1"/>
    <xf numFmtId="0" fontId="2" fillId="0" borderId="0" xfId="0" applyFont="1" applyAlignment="1"/>
    <xf numFmtId="0" fontId="2" fillId="0" borderId="0" xfId="0" applyFont="1" applyAlignment="1">
      <alignment horizontal="center" wrapText="1"/>
    </xf>
    <xf numFmtId="0" fontId="1" fillId="0" borderId="0" xfId="0" applyFont="1" applyAlignment="1"/>
    <xf numFmtId="0" fontId="2" fillId="0" borderId="0" xfId="0" applyFont="1" applyAlignment="1">
      <alignment horizontal="center"/>
    </xf>
    <xf numFmtId="0" fontId="3" fillId="0" borderId="0" xfId="0" applyFont="1" applyAlignment="1"/>
    <xf numFmtId="3" fontId="2" fillId="0" borderId="0" xfId="0" applyNumberFormat="1" applyFont="1" applyAlignment="1">
      <alignment horizontal="center"/>
    </xf>
    <xf numFmtId="0" fontId="4" fillId="0" borderId="0" xfId="0" applyFont="1" applyAlignment="1">
      <alignment horizontal="center" wrapText="1"/>
    </xf>
    <xf numFmtId="3" fontId="1" fillId="0" borderId="0" xfId="0" applyNumberFormat="1" applyFont="1"/>
    <xf numFmtId="0" fontId="1" fillId="0" borderId="0" xfId="0" applyFont="1" applyAlignment="1">
      <alignment horizontal="center"/>
    </xf>
    <xf numFmtId="0" fontId="2" fillId="0" borderId="0" xfId="0" applyFont="1" applyAlignment="1">
      <alignment horizontal="center"/>
    </xf>
    <xf numFmtId="3" fontId="7" fillId="0" borderId="0" xfId="0" applyNumberFormat="1" applyFont="1" applyAlignment="1">
      <alignment horizontal="center"/>
    </xf>
    <xf numFmtId="3" fontId="7" fillId="0" borderId="0" xfId="0" applyNumberFormat="1" applyFont="1"/>
    <xf numFmtId="3" fontId="7" fillId="0" borderId="0" xfId="0" applyNumberFormat="1" applyFont="1" applyAlignment="1">
      <alignment horizontal="center"/>
    </xf>
    <xf numFmtId="0" fontId="2" fillId="0" borderId="2" xfId="0" applyFont="1" applyBorder="1" applyAlignment="1"/>
    <xf numFmtId="0" fontId="2" fillId="0" borderId="2" xfId="0" applyFont="1" applyBorder="1" applyAlignment="1">
      <alignment horizontal="center" wrapText="1"/>
    </xf>
    <xf numFmtId="0" fontId="2" fillId="0" borderId="2" xfId="0" applyFont="1" applyBorder="1" applyAlignment="1">
      <alignment horizontal="center"/>
    </xf>
    <xf numFmtId="3" fontId="2" fillId="6" borderId="2" xfId="0" applyNumberFormat="1" applyFont="1" applyFill="1" applyBorder="1" applyAlignment="1">
      <alignment horizontal="center" wrapText="1"/>
    </xf>
    <xf numFmtId="3" fontId="2" fillId="0" borderId="2" xfId="0" applyNumberFormat="1" applyFont="1" applyBorder="1" applyAlignment="1">
      <alignment horizontal="center"/>
    </xf>
    <xf numFmtId="0" fontId="2" fillId="6" borderId="2" xfId="0" applyFont="1" applyFill="1" applyBorder="1" applyAlignment="1">
      <alignment horizontal="center" wrapText="1"/>
    </xf>
    <xf numFmtId="3" fontId="1" fillId="0" borderId="2" xfId="0" applyNumberFormat="1" applyFont="1" applyBorder="1"/>
    <xf numFmtId="3" fontId="2" fillId="0" borderId="2" xfId="0" applyNumberFormat="1" applyFont="1" applyBorder="1" applyAlignment="1">
      <alignment horizontal="center" wrapText="1"/>
    </xf>
    <xf numFmtId="3" fontId="1" fillId="0" borderId="2" xfId="0" applyNumberFormat="1" applyFont="1" applyBorder="1" applyAlignment="1"/>
    <xf numFmtId="0" fontId="1" fillId="0" borderId="2" xfId="0" applyFont="1" applyBorder="1" applyAlignment="1">
      <alignment horizontal="center"/>
    </xf>
    <xf numFmtId="0" fontId="1" fillId="0" borderId="2" xfId="0" applyFont="1" applyBorder="1"/>
    <xf numFmtId="3" fontId="8" fillId="0" borderId="2" xfId="0" applyNumberFormat="1" applyFont="1" applyBorder="1" applyAlignment="1">
      <alignment horizontal="center" wrapText="1"/>
    </xf>
    <xf numFmtId="3" fontId="2" fillId="4" borderId="2" xfId="0" applyNumberFormat="1" applyFont="1" applyFill="1" applyBorder="1" applyAlignment="1">
      <alignment horizontal="center" wrapText="1"/>
    </xf>
    <xf numFmtId="0" fontId="2" fillId="0" borderId="0" xfId="0" applyFont="1" applyAlignment="1">
      <alignment horizontal="center"/>
    </xf>
    <xf numFmtId="0" fontId="9" fillId="0" borderId="0" xfId="0" applyFont="1" applyAlignment="1"/>
    <xf numFmtId="0" fontId="2" fillId="4" borderId="2" xfId="0" applyFont="1" applyFill="1" applyBorder="1" applyAlignment="1">
      <alignment horizontal="center" wrapText="1"/>
    </xf>
    <xf numFmtId="0" fontId="9" fillId="0" borderId="0" xfId="0" applyFont="1" applyAlignment="1">
      <alignment horizontal="center" wrapText="1"/>
    </xf>
    <xf numFmtId="0" fontId="9" fillId="2" borderId="0" xfId="0" applyFont="1" applyFill="1" applyAlignment="1">
      <alignment horizontal="center"/>
    </xf>
    <xf numFmtId="3" fontId="2" fillId="5" borderId="2" xfId="0" applyNumberFormat="1" applyFont="1" applyFill="1" applyBorder="1" applyAlignment="1">
      <alignment horizontal="center" wrapText="1"/>
    </xf>
    <xf numFmtId="0" fontId="9" fillId="0" borderId="0" xfId="0" applyFont="1" applyAlignment="1">
      <alignment horizontal="center"/>
    </xf>
    <xf numFmtId="0" fontId="2" fillId="5" borderId="2" xfId="0" applyFont="1" applyFill="1" applyBorder="1" applyAlignment="1">
      <alignment horizontal="center" wrapText="1"/>
    </xf>
    <xf numFmtId="3" fontId="9" fillId="0" borderId="0" xfId="0" applyNumberFormat="1" applyFont="1" applyAlignment="1">
      <alignment horizontal="center"/>
    </xf>
    <xf numFmtId="0" fontId="1" fillId="0" borderId="0" xfId="0" applyFont="1" applyAlignment="1"/>
    <xf numFmtId="3" fontId="9" fillId="0" borderId="4" xfId="0" applyNumberFormat="1" applyFont="1" applyBorder="1" applyAlignment="1">
      <alignment horizontal="center"/>
    </xf>
    <xf numFmtId="3" fontId="1" fillId="0" borderId="0" xfId="0" applyNumberFormat="1" applyFont="1" applyAlignment="1">
      <alignment horizontal="center"/>
    </xf>
    <xf numFmtId="3" fontId="1" fillId="0" borderId="4" xfId="0" applyNumberFormat="1" applyFont="1" applyBorder="1" applyAlignment="1">
      <alignment horizontal="center"/>
    </xf>
    <xf numFmtId="3" fontId="1" fillId="0" borderId="0" xfId="0" applyNumberFormat="1" applyFont="1" applyAlignment="1">
      <alignment horizontal="center"/>
    </xf>
    <xf numFmtId="0" fontId="1" fillId="0" borderId="0" xfId="0" applyFont="1" applyAlignment="1">
      <alignment horizontal="center"/>
    </xf>
    <xf numFmtId="10" fontId="1" fillId="0" borderId="0" xfId="0" applyNumberFormat="1" applyFont="1"/>
    <xf numFmtId="0" fontId="1" fillId="0" borderId="0" xfId="0" applyFont="1" applyAlignment="1">
      <alignment horizontal="center" wrapText="1"/>
    </xf>
    <xf numFmtId="0" fontId="1" fillId="0" borderId="0" xfId="0" applyFont="1"/>
    <xf numFmtId="0" fontId="9" fillId="2" borderId="0" xfId="0" applyFont="1" applyFill="1" applyAlignment="1"/>
    <xf numFmtId="0" fontId="9" fillId="2" borderId="0" xfId="0" applyFont="1" applyFill="1" applyAlignment="1">
      <alignment horizontal="center" wrapText="1"/>
    </xf>
    <xf numFmtId="3" fontId="9" fillId="2" borderId="0" xfId="0" applyNumberFormat="1" applyFont="1" applyFill="1" applyAlignment="1">
      <alignment horizontal="center"/>
    </xf>
    <xf numFmtId="3" fontId="9" fillId="2" borderId="4" xfId="0" applyNumberFormat="1" applyFont="1" applyFill="1" applyBorder="1" applyAlignment="1">
      <alignment horizontal="center"/>
    </xf>
    <xf numFmtId="3" fontId="1" fillId="2" borderId="0" xfId="0" applyNumberFormat="1" applyFont="1" applyFill="1"/>
    <xf numFmtId="3" fontId="1" fillId="2" borderId="0" xfId="0" applyNumberFormat="1" applyFont="1" applyFill="1" applyAlignment="1">
      <alignment horizontal="center"/>
    </xf>
    <xf numFmtId="3" fontId="1" fillId="2" borderId="4" xfId="0" applyNumberFormat="1" applyFont="1" applyFill="1" applyBorder="1" applyAlignment="1">
      <alignment horizontal="center"/>
    </xf>
    <xf numFmtId="0" fontId="1" fillId="2" borderId="0" xfId="0" applyFont="1" applyFill="1" applyAlignment="1">
      <alignment horizontal="center"/>
    </xf>
    <xf numFmtId="3" fontId="7" fillId="2" borderId="0" xfId="0" applyNumberFormat="1" applyFont="1" applyFill="1"/>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horizontal="right" vertical="top"/>
    </xf>
    <xf numFmtId="0" fontId="15" fillId="0" borderId="0" xfId="0" applyFont="1" applyAlignment="1">
      <alignment horizontal="right" vertical="top"/>
    </xf>
    <xf numFmtId="3" fontId="14" fillId="0" borderId="0" xfId="0" applyNumberFormat="1" applyFont="1" applyAlignment="1">
      <alignment vertical="top"/>
    </xf>
    <xf numFmtId="3" fontId="14" fillId="0" borderId="0" xfId="0" applyNumberFormat="1" applyFont="1" applyAlignment="1">
      <alignment horizontal="right" vertical="top"/>
    </xf>
    <xf numFmtId="3" fontId="15" fillId="0" borderId="0" xfId="0" applyNumberFormat="1" applyFont="1" applyAlignment="1">
      <alignment horizontal="right" vertical="top"/>
    </xf>
    <xf numFmtId="0" fontId="15" fillId="0" borderId="5" xfId="0" applyFont="1" applyBorder="1" applyAlignment="1">
      <alignment horizontal="center" wrapText="1"/>
    </xf>
    <xf numFmtId="0" fontId="1" fillId="3" borderId="5" xfId="0" applyFont="1" applyFill="1" applyBorder="1" applyAlignment="1">
      <alignment horizontal="center" wrapText="1"/>
    </xf>
    <xf numFmtId="0" fontId="1" fillId="9" borderId="5" xfId="0" applyFont="1" applyFill="1" applyBorder="1" applyAlignment="1">
      <alignment horizontal="center" wrapText="1"/>
    </xf>
    <xf numFmtId="0" fontId="1" fillId="7" borderId="5" xfId="0" applyFont="1" applyFill="1" applyBorder="1" applyAlignment="1">
      <alignment horizontal="center" wrapText="1"/>
    </xf>
    <xf numFmtId="164" fontId="1" fillId="10" borderId="5" xfId="0" applyNumberFormat="1" applyFont="1" applyFill="1" applyBorder="1" applyAlignment="1">
      <alignment horizontal="center" wrapText="1"/>
    </xf>
    <xf numFmtId="0" fontId="1" fillId="4" borderId="5" xfId="0" applyFont="1" applyFill="1" applyBorder="1" applyAlignment="1">
      <alignment horizontal="center" wrapText="1"/>
    </xf>
    <xf numFmtId="164" fontId="1" fillId="11" borderId="5" xfId="0" applyNumberFormat="1" applyFont="1" applyFill="1" applyBorder="1" applyAlignment="1">
      <alignment horizontal="center" wrapText="1"/>
    </xf>
    <xf numFmtId="0" fontId="1" fillId="8" borderId="5" xfId="0" applyFont="1" applyFill="1" applyBorder="1" applyAlignment="1">
      <alignment horizontal="center" wrapText="1"/>
    </xf>
    <xf numFmtId="164" fontId="1" fillId="12" borderId="5" xfId="0" applyNumberFormat="1" applyFont="1" applyFill="1" applyBorder="1" applyAlignment="1">
      <alignment horizontal="center" wrapText="1"/>
    </xf>
    <xf numFmtId="164" fontId="15" fillId="0" borderId="5" xfId="0" applyNumberFormat="1" applyFont="1" applyBorder="1" applyAlignment="1">
      <alignment horizontal="center" wrapText="1"/>
    </xf>
    <xf numFmtId="0" fontId="14" fillId="0" borderId="0" xfId="0" applyFont="1" applyAlignment="1">
      <alignment horizontal="center"/>
    </xf>
    <xf numFmtId="10" fontId="16" fillId="13" borderId="0" xfId="0" applyNumberFormat="1" applyFont="1" applyFill="1" applyAlignment="1">
      <alignment horizontal="center"/>
    </xf>
    <xf numFmtId="0" fontId="15" fillId="0" borderId="0" xfId="0" applyFont="1" applyAlignment="1">
      <alignment horizontal="center"/>
    </xf>
    <xf numFmtId="164" fontId="16" fillId="13" borderId="0" xfId="0" applyNumberFormat="1" applyFont="1" applyFill="1" applyAlignment="1">
      <alignment horizontal="center"/>
    </xf>
    <xf numFmtId="3" fontId="14" fillId="0" borderId="0" xfId="0" applyNumberFormat="1" applyFont="1" applyAlignment="1">
      <alignment horizontal="center"/>
    </xf>
    <xf numFmtId="164" fontId="14" fillId="0" borderId="0" xfId="0" applyNumberFormat="1" applyFont="1" applyAlignment="1">
      <alignment horizontal="center" vertical="top"/>
    </xf>
    <xf numFmtId="164" fontId="15" fillId="14" borderId="0" xfId="0" applyNumberFormat="1" applyFont="1" applyFill="1" applyAlignment="1">
      <alignment horizontal="center"/>
    </xf>
    <xf numFmtId="10" fontId="15" fillId="14" borderId="0" xfId="0" applyNumberFormat="1" applyFont="1" applyFill="1" applyAlignment="1">
      <alignment horizontal="center"/>
    </xf>
    <xf numFmtId="164" fontId="15" fillId="15" borderId="0" xfId="0" applyNumberFormat="1" applyFont="1" applyFill="1" applyAlignment="1">
      <alignment horizontal="center"/>
    </xf>
    <xf numFmtId="0" fontId="15" fillId="0" borderId="0" xfId="0" applyFont="1" applyAlignment="1">
      <alignment vertical="top"/>
    </xf>
    <xf numFmtId="0" fontId="15" fillId="0" borderId="0" xfId="0" applyFont="1" applyAlignment="1">
      <alignment horizontal="left" vertical="top"/>
    </xf>
    <xf numFmtId="0" fontId="15" fillId="0" borderId="0" xfId="0" applyFont="1" applyAlignment="1">
      <alignment horizontal="center" vertical="top"/>
    </xf>
    <xf numFmtId="0" fontId="17" fillId="14" borderId="0" xfId="0" applyFont="1" applyFill="1" applyAlignment="1">
      <alignment horizontal="center"/>
    </xf>
    <xf numFmtId="0" fontId="14" fillId="0" borderId="0" xfId="0" applyFont="1" applyAlignment="1">
      <alignment vertical="top"/>
    </xf>
    <xf numFmtId="0" fontId="15" fillId="0" borderId="0" xfId="0" applyFont="1" applyAlignment="1">
      <alignment vertical="top"/>
    </xf>
    <xf numFmtId="3" fontId="1" fillId="0" borderId="4" xfId="0" applyNumberFormat="1" applyFont="1" applyBorder="1" applyAlignment="1">
      <alignment horizontal="center"/>
    </xf>
    <xf numFmtId="0" fontId="15" fillId="15" borderId="0" xfId="0" applyFont="1" applyFill="1" applyAlignment="1">
      <alignment horizontal="center"/>
    </xf>
    <xf numFmtId="0" fontId="18" fillId="0" borderId="0" xfId="0" applyFont="1" applyAlignment="1">
      <alignment horizontal="right" vertical="top"/>
    </xf>
    <xf numFmtId="0" fontId="19" fillId="0" borderId="0" xfId="0" applyFont="1" applyAlignment="1">
      <alignment horizontal="right" vertical="top"/>
    </xf>
    <xf numFmtId="3" fontId="1" fillId="2" borderId="4" xfId="0" applyNumberFormat="1" applyFont="1" applyFill="1" applyBorder="1" applyAlignment="1">
      <alignment horizontal="center"/>
    </xf>
    <xf numFmtId="0" fontId="14" fillId="0" borderId="7" xfId="0" applyFont="1" applyBorder="1" applyAlignment="1">
      <alignment horizontal="center"/>
    </xf>
    <xf numFmtId="0" fontId="15" fillId="0" borderId="7" xfId="0" applyFont="1" applyBorder="1" applyAlignment="1">
      <alignment horizontal="center"/>
    </xf>
    <xf numFmtId="164" fontId="1" fillId="0" borderId="0" xfId="0" applyNumberFormat="1" applyFont="1" applyAlignment="1">
      <alignment horizontal="center"/>
    </xf>
    <xf numFmtId="164" fontId="1" fillId="0" borderId="0" xfId="0" applyNumberFormat="1" applyFont="1"/>
    <xf numFmtId="3" fontId="14" fillId="0" borderId="0" xfId="0" applyNumberFormat="1" applyFont="1" applyAlignment="1">
      <alignment horizontal="left" vertical="top"/>
    </xf>
    <xf numFmtId="3" fontId="7" fillId="0" borderId="7" xfId="0" applyNumberFormat="1" applyFont="1" applyBorder="1" applyAlignment="1">
      <alignment horizontal="center"/>
    </xf>
    <xf numFmtId="3" fontId="2" fillId="0" borderId="0" xfId="0" applyNumberFormat="1" applyFont="1" applyAlignment="1">
      <alignment horizontal="center"/>
    </xf>
    <xf numFmtId="0" fontId="11" fillId="0" borderId="0" xfId="0" applyFont="1" applyAlignment="1">
      <alignment horizontal="center"/>
    </xf>
    <xf numFmtId="0" fontId="12" fillId="0" borderId="0" xfId="0" applyFont="1" applyAlignment="1"/>
    <xf numFmtId="0" fontId="12" fillId="16" borderId="5" xfId="0" applyFont="1" applyFill="1" applyBorder="1" applyAlignment="1"/>
    <xf numFmtId="0" fontId="12" fillId="16" borderId="2" xfId="0" applyFont="1" applyFill="1" applyBorder="1" applyAlignment="1"/>
    <xf numFmtId="3" fontId="2" fillId="0" borderId="0" xfId="0" applyNumberFormat="1" applyFont="1" applyAlignment="1">
      <alignment horizontal="center"/>
    </xf>
    <xf numFmtId="0" fontId="21" fillId="0" borderId="0" xfId="0" applyFont="1" applyAlignment="1"/>
    <xf numFmtId="0" fontId="22" fillId="0" borderId="0" xfId="0" applyFont="1" applyAlignment="1"/>
    <xf numFmtId="0" fontId="21" fillId="16" borderId="5" xfId="0" applyFont="1" applyFill="1" applyBorder="1" applyAlignment="1">
      <alignment horizontal="center"/>
    </xf>
    <xf numFmtId="0" fontId="21" fillId="16" borderId="2" xfId="0" applyFont="1" applyFill="1" applyBorder="1" applyAlignment="1">
      <alignment horizontal="center"/>
    </xf>
    <xf numFmtId="1" fontId="2" fillId="0" borderId="0" xfId="0" applyNumberFormat="1" applyFont="1" applyAlignment="1">
      <alignment horizontal="center"/>
    </xf>
    <xf numFmtId="0" fontId="21" fillId="0" borderId="0" xfId="0" applyFont="1" applyAlignment="1"/>
    <xf numFmtId="3" fontId="21" fillId="16" borderId="5" xfId="0" applyNumberFormat="1" applyFont="1" applyFill="1" applyBorder="1" applyAlignment="1">
      <alignment horizontal="right"/>
    </xf>
    <xf numFmtId="0" fontId="11" fillId="0" borderId="2" xfId="0" applyFont="1" applyBorder="1" applyAlignment="1">
      <alignment horizontal="center"/>
    </xf>
    <xf numFmtId="0" fontId="21" fillId="0" borderId="2" xfId="0" applyFont="1" applyBorder="1" applyAlignment="1"/>
    <xf numFmtId="0" fontId="21" fillId="0" borderId="5" xfId="0" applyFont="1" applyBorder="1" applyAlignment="1"/>
    <xf numFmtId="0" fontId="23" fillId="0" borderId="0" xfId="0" applyFont="1" applyAlignment="1"/>
    <xf numFmtId="3" fontId="22" fillId="0" borderId="5" xfId="0" applyNumberFormat="1" applyFont="1" applyBorder="1" applyAlignment="1">
      <alignment horizontal="right"/>
    </xf>
    <xf numFmtId="0" fontId="22" fillId="0" borderId="0" xfId="0" applyFont="1" applyAlignment="1"/>
    <xf numFmtId="0" fontId="22" fillId="0" borderId="0" xfId="0" applyFont="1" applyAlignment="1">
      <alignment horizontal="right"/>
    </xf>
    <xf numFmtId="0" fontId="22" fillId="0" borderId="5" xfId="0" applyFont="1" applyBorder="1" applyAlignment="1"/>
    <xf numFmtId="0" fontId="11" fillId="0" borderId="0" xfId="0" applyFont="1" applyAlignment="1">
      <alignment horizontal="center"/>
    </xf>
    <xf numFmtId="0" fontId="12" fillId="0" borderId="0" xfId="0" applyFont="1" applyAlignment="1"/>
    <xf numFmtId="0" fontId="12" fillId="0" borderId="5" xfId="0" applyFont="1" applyBorder="1" applyAlignment="1"/>
    <xf numFmtId="3" fontId="12" fillId="0" borderId="5" xfId="0" applyNumberFormat="1" applyFont="1" applyBorder="1" applyAlignment="1"/>
    <xf numFmtId="3" fontId="12" fillId="16" borderId="5" xfId="0" applyNumberFormat="1" applyFont="1" applyFill="1" applyBorder="1" applyAlignment="1">
      <alignment horizontal="right"/>
    </xf>
    <xf numFmtId="0" fontId="12" fillId="16" borderId="5" xfId="0" applyFont="1" applyFill="1" applyBorder="1" applyAlignment="1">
      <alignment horizontal="right"/>
    </xf>
    <xf numFmtId="0" fontId="20" fillId="0" borderId="10" xfId="0" applyFont="1" applyBorder="1" applyAlignment="1"/>
    <xf numFmtId="0" fontId="22" fillId="0" borderId="11" xfId="0" applyFont="1" applyBorder="1" applyAlignment="1"/>
    <xf numFmtId="0" fontId="24" fillId="0" borderId="12" xfId="0" applyFont="1" applyBorder="1" applyAlignment="1"/>
    <xf numFmtId="0" fontId="25" fillId="0" borderId="0" xfId="0" applyFont="1" applyAlignment="1">
      <alignment horizontal="right"/>
    </xf>
    <xf numFmtId="3" fontId="25" fillId="0" borderId="5" xfId="0" applyNumberFormat="1" applyFont="1" applyBorder="1" applyAlignment="1">
      <alignment horizontal="right"/>
    </xf>
    <xf numFmtId="0" fontId="24" fillId="0" borderId="13" xfId="0" applyFont="1" applyBorder="1" applyAlignment="1"/>
    <xf numFmtId="0" fontId="25" fillId="0" borderId="2" xfId="0" applyFont="1" applyBorder="1" applyAlignment="1">
      <alignment horizontal="right"/>
    </xf>
    <xf numFmtId="3" fontId="2" fillId="0" borderId="7" xfId="0" applyNumberFormat="1" applyFont="1" applyBorder="1" applyAlignment="1">
      <alignment horizontal="center"/>
    </xf>
    <xf numFmtId="3" fontId="2" fillId="0" borderId="7" xfId="0" applyNumberFormat="1" applyFont="1" applyBorder="1" applyAlignment="1">
      <alignment horizontal="center"/>
    </xf>
    <xf numFmtId="0" fontId="1" fillId="0" borderId="7" xfId="0" applyFont="1" applyBorder="1" applyAlignment="1">
      <alignment horizontal="center"/>
    </xf>
    <xf numFmtId="1" fontId="1" fillId="0" borderId="7" xfId="0" applyNumberFormat="1" applyFont="1" applyBorder="1" applyAlignment="1">
      <alignment horizontal="center"/>
    </xf>
    <xf numFmtId="0" fontId="12" fillId="2" borderId="0" xfId="0" applyFont="1" applyFill="1" applyAlignment="1"/>
    <xf numFmtId="0" fontId="22" fillId="0" borderId="11" xfId="0" applyFont="1" applyBorder="1" applyAlignment="1">
      <alignment horizontal="left"/>
    </xf>
    <xf numFmtId="3" fontId="26" fillId="0" borderId="5" xfId="0" applyNumberFormat="1" applyFont="1" applyBorder="1" applyAlignment="1">
      <alignment horizontal="right"/>
    </xf>
    <xf numFmtId="0" fontId="27" fillId="0" borderId="12" xfId="0" applyFont="1" applyBorder="1" applyAlignment="1"/>
    <xf numFmtId="0" fontId="25" fillId="0" borderId="5" xfId="0" applyFont="1" applyBorder="1" applyAlignment="1">
      <alignment horizontal="right"/>
    </xf>
    <xf numFmtId="0" fontId="27" fillId="0" borderId="13" xfId="0" applyFont="1" applyBorder="1" applyAlignment="1"/>
    <xf numFmtId="0" fontId="28" fillId="0" borderId="0" xfId="0" applyFont="1" applyAlignment="1">
      <alignment horizontal="center"/>
    </xf>
    <xf numFmtId="0" fontId="22" fillId="0" borderId="5" xfId="0" applyFont="1" applyBorder="1" applyAlignment="1">
      <alignment horizontal="right"/>
    </xf>
    <xf numFmtId="3" fontId="22" fillId="0" borderId="5" xfId="0" applyNumberFormat="1" applyFont="1" applyBorder="1" applyAlignment="1"/>
    <xf numFmtId="0" fontId="12" fillId="0" borderId="12" xfId="0" applyFont="1" applyBorder="1" applyAlignment="1"/>
    <xf numFmtId="0" fontId="12" fillId="0" borderId="13" xfId="0" applyFont="1" applyBorder="1" applyAlignment="1"/>
    <xf numFmtId="0" fontId="22" fillId="0" borderId="12" xfId="0" applyFont="1" applyBorder="1" applyAlignment="1"/>
    <xf numFmtId="0" fontId="22" fillId="0" borderId="13" xfId="0" applyFont="1" applyBorder="1" applyAlignment="1"/>
    <xf numFmtId="0" fontId="15" fillId="0" borderId="5" xfId="0" applyFont="1" applyBorder="1" applyAlignment="1">
      <alignment horizontal="right"/>
    </xf>
    <xf numFmtId="0" fontId="15" fillId="16" borderId="5" xfId="0" applyFont="1" applyFill="1" applyBorder="1" applyAlignment="1">
      <alignment horizontal="right"/>
    </xf>
    <xf numFmtId="0" fontId="29" fillId="0" borderId="0" xfId="0" applyFont="1" applyAlignment="1"/>
    <xf numFmtId="3" fontId="15" fillId="0" borderId="5" xfId="0" applyNumberFormat="1" applyFont="1" applyBorder="1" applyAlignment="1">
      <alignment horizontal="right"/>
    </xf>
    <xf numFmtId="0" fontId="12" fillId="0" borderId="5" xfId="0" applyFont="1" applyBorder="1" applyAlignment="1">
      <alignment horizontal="right"/>
    </xf>
    <xf numFmtId="3" fontId="12" fillId="0" borderId="5" xfId="0" applyNumberFormat="1" applyFont="1" applyBorder="1" applyAlignment="1">
      <alignment horizontal="right"/>
    </xf>
    <xf numFmtId="0" fontId="12" fillId="2" borderId="5" xfId="0" applyFont="1" applyFill="1" applyBorder="1" applyAlignment="1"/>
    <xf numFmtId="3" fontId="12" fillId="2" borderId="5" xfId="0" applyNumberFormat="1" applyFont="1" applyFill="1" applyBorder="1" applyAlignment="1"/>
    <xf numFmtId="0" fontId="15" fillId="0" borderId="5" xfId="0" applyFont="1" applyBorder="1" applyAlignment="1">
      <alignment horizontal="right"/>
    </xf>
    <xf numFmtId="0" fontId="12" fillId="17" borderId="0" xfId="0" applyFont="1" applyFill="1" applyAlignment="1"/>
    <xf numFmtId="0" fontId="12" fillId="17" borderId="0" xfId="0" applyFont="1" applyFill="1" applyAlignment="1">
      <alignment horizontal="right"/>
    </xf>
    <xf numFmtId="0" fontId="11" fillId="17" borderId="5" xfId="0" applyFont="1" applyFill="1" applyBorder="1" applyAlignment="1"/>
    <xf numFmtId="0" fontId="29" fillId="17" borderId="5" xfId="0" applyFont="1" applyFill="1" applyBorder="1" applyAlignment="1"/>
    <xf numFmtId="0" fontId="12" fillId="0" borderId="5" xfId="0" applyFont="1" applyBorder="1" applyAlignment="1"/>
    <xf numFmtId="0" fontId="22" fillId="0" borderId="5" xfId="0" applyFont="1" applyBorder="1" applyAlignment="1"/>
    <xf numFmtId="0" fontId="22" fillId="2" borderId="0" xfId="0" applyFont="1" applyFill="1" applyAlignment="1"/>
    <xf numFmtId="0" fontId="11" fillId="0" borderId="5" xfId="0" applyFont="1" applyBorder="1" applyAlignment="1">
      <alignment horizontal="right"/>
    </xf>
    <xf numFmtId="3" fontId="11" fillId="0" borderId="5" xfId="0" applyNumberFormat="1" applyFont="1" applyBorder="1" applyAlignment="1">
      <alignment horizontal="right"/>
    </xf>
    <xf numFmtId="0" fontId="22" fillId="2" borderId="5" xfId="0" applyFont="1" applyFill="1" applyBorder="1" applyAlignment="1"/>
    <xf numFmtId="0" fontId="30" fillId="2" borderId="0" xfId="0" applyFont="1" applyFill="1" applyAlignment="1">
      <alignment vertical="top"/>
    </xf>
    <xf numFmtId="0" fontId="23" fillId="2" borderId="14" xfId="0" applyFont="1" applyFill="1" applyBorder="1" applyAlignment="1"/>
    <xf numFmtId="0" fontId="20" fillId="2" borderId="15" xfId="0" applyFont="1" applyFill="1" applyBorder="1" applyAlignment="1"/>
    <xf numFmtId="0" fontId="23" fillId="2" borderId="16" xfId="0" applyFont="1" applyFill="1" applyBorder="1" applyAlignment="1"/>
    <xf numFmtId="0" fontId="23" fillId="2" borderId="5" xfId="0" applyFont="1" applyFill="1" applyBorder="1" applyAlignment="1"/>
    <xf numFmtId="0" fontId="20" fillId="2" borderId="5" xfId="0" applyFont="1" applyFill="1" applyBorder="1" applyAlignment="1"/>
    <xf numFmtId="3" fontId="30" fillId="2" borderId="16" xfId="0" applyNumberFormat="1" applyFont="1" applyFill="1" applyBorder="1" applyAlignment="1">
      <alignment horizontal="right"/>
    </xf>
    <xf numFmtId="0" fontId="21" fillId="0" borderId="0" xfId="0" applyFont="1" applyAlignment="1">
      <alignment horizontal="right"/>
    </xf>
    <xf numFmtId="3" fontId="30" fillId="2" borderId="5" xfId="0" applyNumberFormat="1" applyFont="1" applyFill="1" applyBorder="1" applyAlignment="1">
      <alignment horizontal="right"/>
    </xf>
    <xf numFmtId="3" fontId="21" fillId="16" borderId="17" xfId="0" applyNumberFormat="1" applyFont="1" applyFill="1" applyBorder="1" applyAlignment="1">
      <alignment horizontal="right"/>
    </xf>
    <xf numFmtId="3" fontId="21" fillId="16" borderId="18" xfId="0" applyNumberFormat="1" applyFont="1" applyFill="1" applyBorder="1" applyAlignment="1">
      <alignment horizontal="right"/>
    </xf>
    <xf numFmtId="0" fontId="20" fillId="2" borderId="17" xfId="0" applyFont="1" applyFill="1" applyBorder="1" applyAlignment="1"/>
    <xf numFmtId="3" fontId="30" fillId="2" borderId="18" xfId="0" applyNumberFormat="1" applyFont="1" applyFill="1" applyBorder="1" applyAlignment="1">
      <alignment horizontal="right"/>
    </xf>
    <xf numFmtId="1" fontId="1" fillId="0" borderId="0" xfId="0" applyNumberFormat="1" applyFont="1"/>
    <xf numFmtId="0" fontId="20" fillId="2" borderId="14" xfId="0" applyFont="1" applyFill="1" applyBorder="1" applyAlignment="1"/>
    <xf numFmtId="0" fontId="32" fillId="2" borderId="0" xfId="0" applyFont="1" applyFill="1" applyAlignment="1"/>
    <xf numFmtId="0" fontId="30" fillId="2" borderId="0" xfId="0" applyFont="1" applyFill="1" applyAlignment="1"/>
    <xf numFmtId="0" fontId="15" fillId="0" borderId="0" xfId="0" applyFont="1" applyAlignment="1">
      <alignment horizontal="left" vertical="top"/>
    </xf>
    <xf numFmtId="0" fontId="0" fillId="0" borderId="0" xfId="0" applyFont="1" applyBorder="1" applyAlignment="1"/>
    <xf numFmtId="3" fontId="2" fillId="6" borderId="22" xfId="0" applyNumberFormat="1" applyFont="1" applyFill="1" applyBorder="1" applyAlignment="1">
      <alignment horizontal="center" wrapText="1"/>
    </xf>
    <xf numFmtId="3" fontId="2" fillId="6" borderId="0" xfId="0" applyNumberFormat="1" applyFont="1" applyFill="1" applyBorder="1" applyAlignment="1">
      <alignment horizontal="center" wrapText="1"/>
    </xf>
    <xf numFmtId="0" fontId="2" fillId="6" borderId="0" xfId="0" applyFont="1" applyFill="1" applyBorder="1" applyAlignment="1">
      <alignment horizontal="center" wrapText="1"/>
    </xf>
    <xf numFmtId="3" fontId="2" fillId="4" borderId="0" xfId="0" applyNumberFormat="1" applyFont="1" applyFill="1" applyBorder="1" applyAlignment="1">
      <alignment horizontal="center" wrapText="1"/>
    </xf>
    <xf numFmtId="0" fontId="2" fillId="4" borderId="0" xfId="0" applyFont="1" applyFill="1" applyBorder="1" applyAlignment="1">
      <alignment horizontal="center" wrapText="1"/>
    </xf>
    <xf numFmtId="0" fontId="2" fillId="5" borderId="0" xfId="0" applyFont="1" applyFill="1" applyBorder="1" applyAlignment="1">
      <alignment horizontal="center" wrapText="1"/>
    </xf>
    <xf numFmtId="3" fontId="2" fillId="5" borderId="0" xfId="0" applyNumberFormat="1" applyFont="1" applyFill="1" applyBorder="1" applyAlignment="1">
      <alignment horizontal="center" wrapText="1"/>
    </xf>
    <xf numFmtId="0" fontId="2" fillId="5" borderId="23" xfId="0" applyFont="1" applyFill="1" applyBorder="1" applyAlignment="1">
      <alignment horizontal="center" wrapText="1"/>
    </xf>
    <xf numFmtId="3" fontId="2" fillId="6" borderId="26" xfId="0" applyNumberFormat="1" applyFont="1" applyFill="1" applyBorder="1" applyAlignment="1">
      <alignment horizontal="center" wrapText="1"/>
    </xf>
    <xf numFmtId="0" fontId="2" fillId="5" borderId="27" xfId="0" applyFont="1" applyFill="1" applyBorder="1" applyAlignment="1">
      <alignment horizontal="center" wrapText="1"/>
    </xf>
    <xf numFmtId="3" fontId="2" fillId="6" borderId="22" xfId="0" applyNumberFormat="1" applyFont="1" applyFill="1" applyBorder="1" applyAlignment="1">
      <alignment horizontal="center"/>
    </xf>
    <xf numFmtId="3" fontId="2" fillId="6" borderId="0" xfId="0" applyNumberFormat="1" applyFont="1" applyFill="1" applyBorder="1" applyAlignment="1">
      <alignment horizontal="center"/>
    </xf>
    <xf numFmtId="9" fontId="2" fillId="6" borderId="0" xfId="0" applyNumberFormat="1" applyFont="1" applyFill="1" applyBorder="1" applyAlignment="1">
      <alignment horizontal="center"/>
    </xf>
    <xf numFmtId="3" fontId="2" fillId="4" borderId="0" xfId="0" applyNumberFormat="1" applyFont="1" applyFill="1" applyBorder="1" applyAlignment="1">
      <alignment horizontal="center"/>
    </xf>
    <xf numFmtId="9" fontId="2" fillId="4" borderId="0" xfId="0" applyNumberFormat="1" applyFont="1" applyFill="1" applyBorder="1" applyAlignment="1">
      <alignment horizontal="center"/>
    </xf>
    <xf numFmtId="3" fontId="2" fillId="5" borderId="0" xfId="0" applyNumberFormat="1" applyFont="1" applyFill="1" applyBorder="1" applyAlignment="1">
      <alignment horizontal="center"/>
    </xf>
    <xf numFmtId="9" fontId="2" fillId="5" borderId="0" xfId="0" applyNumberFormat="1" applyFont="1" applyFill="1" applyBorder="1" applyAlignment="1">
      <alignment horizontal="center"/>
    </xf>
    <xf numFmtId="3" fontId="2" fillId="5" borderId="23" xfId="0" applyNumberFormat="1" applyFont="1" applyFill="1" applyBorder="1" applyAlignment="1">
      <alignment horizontal="center"/>
    </xf>
    <xf numFmtId="3" fontId="8" fillId="4" borderId="0" xfId="0" applyNumberFormat="1" applyFont="1" applyFill="1" applyBorder="1" applyAlignment="1">
      <alignment horizontal="center"/>
    </xf>
    <xf numFmtId="9" fontId="8" fillId="4" borderId="0" xfId="0" applyNumberFormat="1" applyFont="1" applyFill="1" applyBorder="1" applyAlignment="1">
      <alignment horizontal="center"/>
    </xf>
    <xf numFmtId="164" fontId="2" fillId="5" borderId="0" xfId="0" applyNumberFormat="1" applyFont="1" applyFill="1" applyBorder="1" applyAlignment="1">
      <alignment horizontal="center"/>
    </xf>
    <xf numFmtId="0" fontId="2" fillId="4" borderId="0" xfId="0" applyFont="1" applyFill="1" applyBorder="1" applyAlignment="1">
      <alignment horizontal="center"/>
    </xf>
    <xf numFmtId="3" fontId="7" fillId="4" borderId="0" xfId="0" applyNumberFormat="1" applyFont="1" applyFill="1" applyBorder="1" applyAlignment="1">
      <alignment horizontal="center"/>
    </xf>
    <xf numFmtId="0" fontId="2" fillId="6" borderId="0" xfId="0" applyFont="1" applyFill="1" applyBorder="1" applyAlignment="1">
      <alignment horizontal="center"/>
    </xf>
    <xf numFmtId="3" fontId="8" fillId="5" borderId="0" xfId="0" applyNumberFormat="1" applyFont="1" applyFill="1" applyBorder="1" applyAlignment="1">
      <alignment horizontal="center"/>
    </xf>
    <xf numFmtId="3" fontId="2" fillId="6" borderId="22" xfId="0" applyNumberFormat="1" applyFont="1" applyFill="1" applyBorder="1" applyAlignment="1">
      <alignment horizontal="center" vertical="top" wrapText="1"/>
    </xf>
    <xf numFmtId="0" fontId="1" fillId="4" borderId="0" xfId="0" applyFont="1" applyFill="1" applyBorder="1"/>
    <xf numFmtId="3" fontId="8" fillId="5" borderId="23" xfId="0" applyNumberFormat="1" applyFont="1" applyFill="1" applyBorder="1" applyAlignment="1">
      <alignment horizontal="center"/>
    </xf>
    <xf numFmtId="0" fontId="0" fillId="0" borderId="29" xfId="0" applyFont="1" applyBorder="1" applyAlignment="1"/>
    <xf numFmtId="0" fontId="2" fillId="6" borderId="23" xfId="0" applyFont="1" applyFill="1" applyBorder="1" applyAlignment="1">
      <alignment horizontal="center" wrapText="1"/>
    </xf>
    <xf numFmtId="0" fontId="2" fillId="6" borderId="27" xfId="0" applyFont="1" applyFill="1" applyBorder="1" applyAlignment="1">
      <alignment horizontal="center" wrapText="1"/>
    </xf>
    <xf numFmtId="3" fontId="2" fillId="6" borderId="23" xfId="0" applyNumberFormat="1" applyFont="1" applyFill="1" applyBorder="1" applyAlignment="1">
      <alignment horizontal="center"/>
    </xf>
    <xf numFmtId="0" fontId="2" fillId="6" borderId="23" xfId="0" applyFont="1" applyFill="1" applyBorder="1" applyAlignment="1">
      <alignment horizontal="center"/>
    </xf>
    <xf numFmtId="3" fontId="2" fillId="4" borderId="22" xfId="0" applyNumberFormat="1" applyFont="1" applyFill="1" applyBorder="1" applyAlignment="1">
      <alignment horizontal="center" wrapText="1"/>
    </xf>
    <xf numFmtId="0" fontId="2" fillId="4" borderId="23" xfId="0" applyFont="1" applyFill="1" applyBorder="1" applyAlignment="1">
      <alignment horizontal="center" wrapText="1"/>
    </xf>
    <xf numFmtId="3" fontId="2" fillId="4" borderId="26" xfId="0" applyNumberFormat="1" applyFont="1" applyFill="1" applyBorder="1" applyAlignment="1">
      <alignment horizontal="center" wrapText="1"/>
    </xf>
    <xf numFmtId="0" fontId="2" fillId="4" borderId="27" xfId="0" applyFont="1" applyFill="1" applyBorder="1" applyAlignment="1">
      <alignment horizontal="center" wrapText="1"/>
    </xf>
    <xf numFmtId="3" fontId="2" fillId="4" borderId="22" xfId="0" applyNumberFormat="1" applyFont="1" applyFill="1" applyBorder="1" applyAlignment="1">
      <alignment horizontal="center"/>
    </xf>
    <xf numFmtId="3" fontId="2" fillId="4" borderId="23" xfId="0" applyNumberFormat="1" applyFont="1" applyFill="1" applyBorder="1" applyAlignment="1">
      <alignment horizontal="center"/>
    </xf>
    <xf numFmtId="3" fontId="8" fillId="4" borderId="22" xfId="0" applyNumberFormat="1" applyFont="1" applyFill="1" applyBorder="1" applyAlignment="1">
      <alignment horizontal="center"/>
    </xf>
    <xf numFmtId="3" fontId="8" fillId="4" borderId="23" xfId="0" applyNumberFormat="1" applyFont="1" applyFill="1" applyBorder="1" applyAlignment="1">
      <alignment horizontal="center"/>
    </xf>
    <xf numFmtId="0" fontId="2" fillId="4" borderId="23" xfId="0" applyFont="1" applyFill="1" applyBorder="1" applyAlignment="1">
      <alignment horizontal="center"/>
    </xf>
    <xf numFmtId="3" fontId="7" fillId="4" borderId="22" xfId="0" applyNumberFormat="1" applyFont="1" applyFill="1" applyBorder="1" applyAlignment="1">
      <alignment horizontal="center"/>
    </xf>
    <xf numFmtId="3" fontId="7" fillId="4" borderId="23" xfId="0" applyNumberFormat="1" applyFont="1" applyFill="1" applyBorder="1" applyAlignment="1">
      <alignment horizontal="center"/>
    </xf>
    <xf numFmtId="0" fontId="2" fillId="4" borderId="22" xfId="0" applyFont="1" applyFill="1" applyBorder="1" applyAlignment="1">
      <alignment horizontal="center"/>
    </xf>
    <xf numFmtId="0" fontId="1" fillId="4" borderId="22" xfId="0" applyFont="1" applyFill="1" applyBorder="1"/>
    <xf numFmtId="0" fontId="1" fillId="4" borderId="23" xfId="0" applyFont="1" applyFill="1" applyBorder="1"/>
    <xf numFmtId="0" fontId="2" fillId="5" borderId="22" xfId="0" applyFont="1" applyFill="1" applyBorder="1" applyAlignment="1">
      <alignment horizontal="center" wrapText="1"/>
    </xf>
    <xf numFmtId="0" fontId="2" fillId="5" borderId="26" xfId="0" applyFont="1" applyFill="1" applyBorder="1" applyAlignment="1">
      <alignment horizontal="center" wrapText="1"/>
    </xf>
    <xf numFmtId="0" fontId="2" fillId="5" borderId="22" xfId="0" applyFont="1" applyFill="1" applyBorder="1" applyAlignment="1">
      <alignment horizontal="center"/>
    </xf>
    <xf numFmtId="3" fontId="8" fillId="5" borderId="22" xfId="0" applyNumberFormat="1" applyFont="1" applyFill="1" applyBorder="1" applyAlignment="1">
      <alignment horizontal="center"/>
    </xf>
    <xf numFmtId="0" fontId="0" fillId="0" borderId="33" xfId="0" applyFont="1" applyBorder="1" applyAlignment="1"/>
    <xf numFmtId="9" fontId="2" fillId="6" borderId="23" xfId="0" applyNumberFormat="1" applyFont="1" applyFill="1" applyBorder="1" applyAlignment="1">
      <alignment horizontal="center"/>
    </xf>
    <xf numFmtId="0" fontId="1" fillId="6" borderId="28" xfId="0" applyFont="1" applyFill="1" applyBorder="1"/>
    <xf numFmtId="0" fontId="1" fillId="6" borderId="29" xfId="0" applyFont="1" applyFill="1" applyBorder="1"/>
    <xf numFmtId="0" fontId="1" fillId="6" borderId="30" xfId="0" applyFont="1" applyFill="1" applyBorder="1"/>
    <xf numFmtId="9" fontId="8" fillId="4" borderId="23" xfId="0" applyNumberFormat="1" applyFont="1" applyFill="1" applyBorder="1" applyAlignment="1">
      <alignment horizontal="center"/>
    </xf>
    <xf numFmtId="0" fontId="1" fillId="4" borderId="28" xfId="0" applyFont="1" applyFill="1" applyBorder="1"/>
    <xf numFmtId="0" fontId="1" fillId="4" borderId="29" xfId="0" applyFont="1" applyFill="1" applyBorder="1"/>
    <xf numFmtId="0" fontId="1" fillId="4" borderId="30" xfId="0" applyFont="1" applyFill="1" applyBorder="1"/>
    <xf numFmtId="9" fontId="2" fillId="5" borderId="23" xfId="0" applyNumberFormat="1" applyFont="1" applyFill="1" applyBorder="1" applyAlignment="1">
      <alignment horizontal="center"/>
    </xf>
    <xf numFmtId="9" fontId="8" fillId="5" borderId="0" xfId="0" applyNumberFormat="1" applyFont="1" applyFill="1" applyBorder="1" applyAlignment="1">
      <alignment horizontal="center"/>
    </xf>
    <xf numFmtId="0" fontId="10" fillId="5" borderId="22" xfId="0" applyFont="1" applyFill="1" applyBorder="1" applyAlignment="1">
      <alignment horizontal="center" wrapText="1"/>
    </xf>
    <xf numFmtId="3" fontId="10" fillId="5" borderId="0" xfId="0" applyNumberFormat="1" applyFont="1" applyFill="1" applyBorder="1" applyAlignment="1">
      <alignment horizontal="center" wrapText="1"/>
    </xf>
    <xf numFmtId="9" fontId="10" fillId="5" borderId="0" xfId="0" applyNumberFormat="1" applyFont="1" applyFill="1" applyBorder="1" applyAlignment="1">
      <alignment horizontal="center" wrapText="1"/>
    </xf>
    <xf numFmtId="9" fontId="10" fillId="5" borderId="23" xfId="0" applyNumberFormat="1" applyFont="1" applyFill="1" applyBorder="1" applyAlignment="1">
      <alignment horizontal="center" wrapText="1"/>
    </xf>
    <xf numFmtId="0" fontId="1" fillId="5" borderId="28" xfId="0" applyFont="1" applyFill="1" applyBorder="1"/>
    <xf numFmtId="0" fontId="1" fillId="5" borderId="29" xfId="0" applyFont="1" applyFill="1" applyBorder="1"/>
    <xf numFmtId="0" fontId="1" fillId="5" borderId="30" xfId="0" applyFont="1" applyFill="1" applyBorder="1"/>
    <xf numFmtId="0" fontId="4" fillId="0" borderId="29" xfId="0" applyFont="1" applyBorder="1" applyAlignment="1">
      <alignment horizontal="center" wrapText="1"/>
    </xf>
    <xf numFmtId="0" fontId="1" fillId="0" borderId="0" xfId="0" applyFont="1" applyBorder="1" applyAlignment="1">
      <alignment horizontal="center"/>
    </xf>
    <xf numFmtId="0" fontId="0" fillId="0" borderId="0" xfId="0" applyAlignment="1">
      <alignment horizontal="center" wrapText="1"/>
    </xf>
    <xf numFmtId="0" fontId="18" fillId="0" borderId="34" xfId="0" applyFont="1" applyBorder="1" applyAlignment="1">
      <alignment horizontal="center" wrapText="1"/>
    </xf>
    <xf numFmtId="3" fontId="8" fillId="0" borderId="34" xfId="0" applyNumberFormat="1" applyFont="1" applyBorder="1" applyAlignment="1">
      <alignment horizontal="center" wrapText="1"/>
    </xf>
    <xf numFmtId="0" fontId="18" fillId="0" borderId="0" xfId="0" applyFont="1" applyAlignment="1">
      <alignment horizontal="center"/>
    </xf>
    <xf numFmtId="0" fontId="18" fillId="0" borderId="34" xfId="0" applyFont="1" applyBorder="1" applyAlignment="1">
      <alignment horizontal="center"/>
    </xf>
    <xf numFmtId="9" fontId="18" fillId="0" borderId="34" xfId="1" applyFont="1" applyBorder="1" applyAlignment="1">
      <alignment horizontal="center"/>
    </xf>
    <xf numFmtId="9" fontId="0" fillId="0" borderId="0" xfId="1" applyFont="1" applyAlignment="1">
      <alignment horizontal="center"/>
    </xf>
    <xf numFmtId="9" fontId="18" fillId="0" borderId="34" xfId="1" applyNumberFormat="1" applyFont="1" applyBorder="1" applyAlignment="1">
      <alignment horizontal="center"/>
    </xf>
    <xf numFmtId="9" fontId="0" fillId="0" borderId="0" xfId="1" applyNumberFormat="1" applyFont="1" applyAlignment="1">
      <alignment horizontal="center"/>
    </xf>
    <xf numFmtId="0" fontId="0" fillId="0" borderId="35" xfId="0" applyBorder="1" applyAlignment="1">
      <alignment horizontal="center" wrapText="1"/>
    </xf>
    <xf numFmtId="0" fontId="15" fillId="0" borderId="0" xfId="0" applyFont="1" applyFill="1" applyAlignment="1">
      <alignment vertical="top"/>
    </xf>
    <xf numFmtId="0" fontId="15" fillId="0" borderId="0" xfId="0" applyFont="1" applyFill="1" applyAlignment="1">
      <alignment horizontal="left" vertical="top"/>
    </xf>
    <xf numFmtId="0" fontId="15" fillId="0" borderId="0" xfId="0" applyFont="1" applyFill="1" applyAlignment="1">
      <alignment horizontal="right" vertical="top"/>
    </xf>
    <xf numFmtId="0" fontId="14" fillId="0" borderId="0" xfId="0" applyFont="1" applyFill="1" applyAlignment="1">
      <alignment horizontal="right" vertical="top"/>
    </xf>
    <xf numFmtId="0" fontId="30" fillId="18" borderId="0" xfId="0" applyFont="1" applyFill="1" applyAlignment="1">
      <alignment wrapText="1"/>
    </xf>
    <xf numFmtId="2" fontId="30" fillId="18" borderId="0" xfId="0" applyNumberFormat="1" applyFont="1" applyFill="1" applyAlignment="1">
      <alignment wrapText="1"/>
    </xf>
    <xf numFmtId="0" fontId="0" fillId="0" borderId="0" xfId="0" applyAlignment="1">
      <alignment vertical="top"/>
    </xf>
    <xf numFmtId="0" fontId="44" fillId="19" borderId="36" xfId="0" applyFont="1" applyFill="1" applyBorder="1" applyAlignment="1">
      <alignment horizontal="center" vertical="center" wrapText="1"/>
    </xf>
    <xf numFmtId="0" fontId="0" fillId="20" borderId="36" xfId="0" applyFill="1" applyBorder="1" applyAlignment="1">
      <alignment horizontal="center" vertical="center" wrapText="1"/>
    </xf>
    <xf numFmtId="0" fontId="0" fillId="21" borderId="36" xfId="0" applyFill="1" applyBorder="1" applyAlignment="1">
      <alignment horizontal="center" vertical="center" wrapText="1"/>
    </xf>
    <xf numFmtId="0" fontId="0" fillId="22" borderId="36" xfId="0" applyFill="1" applyBorder="1" applyAlignment="1">
      <alignment horizontal="center" vertical="center" wrapText="1"/>
    </xf>
    <xf numFmtId="2" fontId="0" fillId="23" borderId="36" xfId="0" applyNumberFormat="1" applyFill="1" applyBorder="1" applyAlignment="1">
      <alignment horizontal="center" vertical="center" wrapText="1"/>
    </xf>
    <xf numFmtId="0" fontId="0" fillId="23" borderId="36" xfId="0" applyFill="1" applyBorder="1" applyAlignment="1">
      <alignment horizontal="center" vertical="center" wrapText="1"/>
    </xf>
    <xf numFmtId="0" fontId="0" fillId="24" borderId="36" xfId="0" applyFill="1" applyBorder="1" applyAlignment="1">
      <alignment horizontal="center" vertical="center" wrapText="1"/>
    </xf>
    <xf numFmtId="0" fontId="44" fillId="0" borderId="0" xfId="0" applyFont="1" applyAlignment="1">
      <alignment vertical="top"/>
    </xf>
    <xf numFmtId="1" fontId="44" fillId="0" borderId="0" xfId="0" applyNumberFormat="1" applyFont="1" applyAlignment="1">
      <alignment horizontal="left" vertical="top"/>
    </xf>
    <xf numFmtId="2" fontId="44" fillId="0" borderId="0" xfId="2" applyNumberFormat="1" applyFont="1" applyAlignment="1">
      <alignment vertical="top"/>
    </xf>
    <xf numFmtId="2" fontId="44" fillId="0" borderId="0" xfId="2" applyNumberFormat="1" applyFont="1" applyFill="1" applyAlignment="1">
      <alignment vertical="top"/>
    </xf>
    <xf numFmtId="3" fontId="0" fillId="0" borderId="0" xfId="0" applyNumberFormat="1" applyAlignment="1">
      <alignment vertical="top"/>
    </xf>
    <xf numFmtId="0" fontId="0" fillId="0" borderId="0" xfId="0" applyAlignment="1">
      <alignment horizontal="right" vertical="top"/>
    </xf>
    <xf numFmtId="2" fontId="0" fillId="0" borderId="0" xfId="2" applyNumberFormat="1" applyFont="1" applyFill="1" applyAlignment="1">
      <alignment vertical="top"/>
    </xf>
    <xf numFmtId="0" fontId="44" fillId="0" borderId="0" xfId="2" applyNumberFormat="1" applyFont="1" applyAlignment="1">
      <alignment vertical="top"/>
    </xf>
    <xf numFmtId="2" fontId="44" fillId="0" borderId="0" xfId="0" applyNumberFormat="1" applyFont="1" applyAlignment="1">
      <alignment vertical="top"/>
    </xf>
    <xf numFmtId="2" fontId="0" fillId="0" borderId="0" xfId="0" applyNumberFormat="1" applyAlignment="1">
      <alignment vertical="top"/>
    </xf>
    <xf numFmtId="164" fontId="0" fillId="0" borderId="0" xfId="0" applyNumberFormat="1" applyAlignment="1">
      <alignment horizontal="center" vertical="center"/>
    </xf>
    <xf numFmtId="9" fontId="0" fillId="0" borderId="0" xfId="1"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top"/>
    </xf>
    <xf numFmtId="0" fontId="44" fillId="25" borderId="36" xfId="0" applyFont="1" applyFill="1" applyBorder="1" applyAlignment="1">
      <alignment horizontal="center" vertical="center" wrapText="1"/>
    </xf>
    <xf numFmtId="0" fontId="0" fillId="25" borderId="36" xfId="0" applyFill="1" applyBorder="1" applyAlignment="1">
      <alignment horizontal="center" vertical="center" wrapText="1"/>
    </xf>
    <xf numFmtId="0" fontId="0" fillId="0" borderId="0" xfId="0" applyAlignment="1">
      <alignment horizontal="center" vertical="top"/>
    </xf>
    <xf numFmtId="0" fontId="2" fillId="5" borderId="32" xfId="0" applyFont="1" applyFill="1" applyBorder="1" applyAlignment="1">
      <alignment horizontal="center" wrapText="1"/>
    </xf>
    <xf numFmtId="0" fontId="5" fillId="0" borderId="3" xfId="0" applyFont="1" applyBorder="1"/>
    <xf numFmtId="0" fontId="5" fillId="0" borderId="25" xfId="0" applyFont="1" applyBorder="1"/>
    <xf numFmtId="3" fontId="2" fillId="6" borderId="28" xfId="0" applyNumberFormat="1" applyFont="1" applyFill="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3" fontId="2" fillId="4" borderId="28" xfId="0" applyNumberFormat="1" applyFont="1" applyFill="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10" fillId="5" borderId="28" xfId="0" applyFont="1" applyFill="1" applyBorder="1" applyAlignment="1">
      <alignment horizontal="left" vertical="center" wrapText="1"/>
    </xf>
    <xf numFmtId="0" fontId="4" fillId="4" borderId="20" xfId="0" applyFont="1" applyFill="1" applyBorder="1" applyAlignment="1">
      <alignment horizontal="center" wrapText="1"/>
    </xf>
    <xf numFmtId="0" fontId="0" fillId="0" borderId="20" xfId="0" applyFont="1" applyBorder="1" applyAlignment="1"/>
    <xf numFmtId="0" fontId="0" fillId="0" borderId="22" xfId="0" applyFont="1" applyBorder="1" applyAlignment="1"/>
    <xf numFmtId="0" fontId="0" fillId="0" borderId="0" xfId="0" applyFont="1" applyBorder="1" applyAlignment="1"/>
    <xf numFmtId="0" fontId="0" fillId="0" borderId="23" xfId="0" applyFont="1" applyBorder="1" applyAlignment="1"/>
    <xf numFmtId="0" fontId="5" fillId="0" borderId="24" xfId="0" applyFont="1" applyBorder="1"/>
    <xf numFmtId="0" fontId="5" fillId="0" borderId="1" xfId="0" applyFont="1" applyBorder="1"/>
    <xf numFmtId="0" fontId="5" fillId="0" borderId="31" xfId="0" applyFont="1" applyBorder="1"/>
    <xf numFmtId="0" fontId="4" fillId="5" borderId="20" xfId="0" applyFont="1" applyFill="1" applyBorder="1" applyAlignment="1">
      <alignment horizontal="center" wrapText="1"/>
    </xf>
    <xf numFmtId="0" fontId="0" fillId="0" borderId="21" xfId="0" applyFont="1" applyBorder="1" applyAlignment="1"/>
    <xf numFmtId="3" fontId="2" fillId="6" borderId="22" xfId="0" applyNumberFormat="1" applyFont="1" applyFill="1" applyBorder="1" applyAlignment="1">
      <alignment horizontal="center" wrapText="1"/>
    </xf>
    <xf numFmtId="3" fontId="2" fillId="4" borderId="22" xfId="0" applyNumberFormat="1" applyFont="1" applyFill="1" applyBorder="1" applyAlignment="1">
      <alignment horizontal="center" wrapText="1"/>
    </xf>
    <xf numFmtId="0" fontId="4" fillId="6" borderId="19" xfId="0" applyFont="1" applyFill="1" applyBorder="1" applyAlignment="1">
      <alignment horizontal="center" wrapText="1"/>
    </xf>
    <xf numFmtId="3" fontId="2" fillId="6" borderId="22" xfId="0" applyNumberFormat="1" applyFont="1" applyFill="1" applyBorder="1" applyAlignment="1">
      <alignment horizontal="center" vertical="center" wrapText="1"/>
    </xf>
    <xf numFmtId="0" fontId="0" fillId="0" borderId="0" xfId="0" applyFont="1" applyBorder="1" applyAlignment="1">
      <alignment horizontal="center" vertical="center"/>
    </xf>
    <xf numFmtId="0" fontId="0" fillId="0" borderId="23" xfId="0" applyFont="1" applyBorder="1" applyAlignment="1">
      <alignment horizontal="center" vertical="center"/>
    </xf>
    <xf numFmtId="3" fontId="2" fillId="4" borderId="22" xfId="0" applyNumberFormat="1" applyFont="1" applyFill="1" applyBorder="1" applyAlignment="1">
      <alignment horizontal="center" vertical="center" wrapText="1"/>
    </xf>
    <xf numFmtId="0" fontId="0" fillId="0" borderId="0" xfId="0" applyFont="1" applyBorder="1" applyAlignment="1">
      <alignment vertical="center"/>
    </xf>
    <xf numFmtId="0" fontId="0" fillId="0" borderId="23" xfId="0" applyFont="1" applyBorder="1" applyAlignment="1">
      <alignment vertical="center"/>
    </xf>
    <xf numFmtId="0" fontId="2" fillId="5" borderId="22"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0" borderId="0" xfId="0" applyFont="1" applyAlignment="1">
      <alignment horizontal="center" wrapText="1"/>
    </xf>
    <xf numFmtId="0" fontId="0" fillId="0" borderId="0" xfId="0" applyFont="1" applyAlignment="1"/>
    <xf numFmtId="0" fontId="4" fillId="3" borderId="19" xfId="0" applyFont="1" applyFill="1" applyBorder="1" applyAlignment="1">
      <alignment horizontal="center" wrapText="1"/>
    </xf>
    <xf numFmtId="0" fontId="5" fillId="0" borderId="20" xfId="0" applyFont="1" applyBorder="1"/>
    <xf numFmtId="0" fontId="5" fillId="0" borderId="21" xfId="0" applyFont="1" applyBorder="1"/>
    <xf numFmtId="0" fontId="4" fillId="4" borderId="19" xfId="0" applyFont="1" applyFill="1" applyBorder="1" applyAlignment="1">
      <alignment horizontal="center" wrapText="1"/>
    </xf>
    <xf numFmtId="3" fontId="6" fillId="0" borderId="2" xfId="0" applyNumberFormat="1" applyFont="1" applyBorder="1" applyAlignment="1">
      <alignment horizontal="center"/>
    </xf>
    <xf numFmtId="0" fontId="5" fillId="0" borderId="2" xfId="0" applyFont="1" applyBorder="1"/>
    <xf numFmtId="0" fontId="38" fillId="0" borderId="34" xfId="0" applyFont="1" applyBorder="1" applyAlignment="1">
      <alignment horizontal="center"/>
    </xf>
    <xf numFmtId="0" fontId="40" fillId="18" borderId="34" xfId="0" applyFont="1" applyFill="1" applyBorder="1" applyAlignment="1">
      <alignment horizontal="center" wrapText="1"/>
    </xf>
    <xf numFmtId="0" fontId="37" fillId="0" borderId="0" xfId="0" applyFont="1" applyAlignment="1">
      <alignment horizontal="center" vertical="top" wrapText="1"/>
    </xf>
    <xf numFmtId="0" fontId="21" fillId="0" borderId="0" xfId="0" applyFont="1" applyAlignment="1"/>
    <xf numFmtId="0" fontId="13" fillId="2" borderId="8" xfId="0" applyFont="1" applyFill="1" applyBorder="1" applyAlignment="1">
      <alignment horizontal="left"/>
    </xf>
    <xf numFmtId="0" fontId="5" fillId="0" borderId="9" xfId="0" applyFont="1" applyBorder="1" applyAlignment="1">
      <alignment horizontal="left"/>
    </xf>
    <xf numFmtId="0" fontId="20" fillId="0" borderId="0" xfId="0" applyFont="1" applyAlignment="1"/>
    <xf numFmtId="0" fontId="21" fillId="16" borderId="8" xfId="0" applyFont="1" applyFill="1" applyBorder="1" applyAlignment="1">
      <alignment horizontal="center"/>
    </xf>
    <xf numFmtId="0" fontId="5" fillId="0" borderId="9" xfId="0" applyFont="1" applyBorder="1"/>
    <xf numFmtId="0" fontId="5" fillId="0" borderId="6" xfId="0" applyFont="1" applyBorder="1"/>
    <xf numFmtId="0" fontId="30" fillId="2" borderId="0" xfId="0" applyFont="1" applyFill="1" applyAlignment="1">
      <alignment vertical="top"/>
    </xf>
    <xf numFmtId="0" fontId="23" fillId="2" borderId="8" xfId="0" applyFont="1" applyFill="1" applyBorder="1" applyAlignment="1">
      <alignment horizontal="center"/>
    </xf>
    <xf numFmtId="0" fontId="23" fillId="2" borderId="9" xfId="0" applyFont="1" applyFill="1" applyBorder="1" applyAlignment="1">
      <alignment horizontal="center"/>
    </xf>
    <xf numFmtId="0" fontId="31" fillId="2" borderId="0" xfId="0" applyFont="1" applyFill="1" applyAlignment="1"/>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rop/Downloads/Annual_Progress_Report_Permit_Summ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5th Cycle Summary-Final"/>
      <sheetName val="5th Cycle Summary-Final2"/>
      <sheetName val="5th Cycle Full Summary"/>
      <sheetName val="CA_Cities_Counties_Table_120118"/>
      <sheetName val="SB35 Determination Data"/>
      <sheetName val="Sheet1"/>
      <sheetName val="2018Submitted"/>
      <sheetName val="5th Cycle APR Raw Data-Final"/>
      <sheetName val="FinalComparison"/>
      <sheetName val="FinalComparisonHC"/>
      <sheetName val="Sheet2"/>
      <sheetName val="Comparison"/>
      <sheetName val="5th Cycle APR Raw Data-Last"/>
      <sheetName val="2018RawData"/>
      <sheetName val="Assigned 5th Cycle RHNA"/>
    </sheetNames>
    <sheetDataSet>
      <sheetData sheetId="0"/>
      <sheetData sheetId="1"/>
      <sheetData sheetId="2"/>
      <sheetData sheetId="3"/>
      <sheetData sheetId="4"/>
      <sheetData sheetId="5">
        <row r="4">
          <cell r="B4" t="str">
            <v>ADELANTO</v>
          </cell>
          <cell r="C4">
            <v>0.625</v>
          </cell>
          <cell r="D4">
            <v>8</v>
          </cell>
          <cell r="E4">
            <v>2018</v>
          </cell>
          <cell r="F4">
            <v>2014</v>
          </cell>
        </row>
        <row r="5">
          <cell r="B5" t="str">
            <v>AGOURA HILLS</v>
          </cell>
          <cell r="C5">
            <v>0.625</v>
          </cell>
          <cell r="D5">
            <v>8</v>
          </cell>
          <cell r="E5">
            <v>2018</v>
          </cell>
          <cell r="F5">
            <v>2014</v>
          </cell>
        </row>
        <row r="6">
          <cell r="B6" t="str">
            <v>ALAMEDA</v>
          </cell>
          <cell r="C6">
            <v>0.5</v>
          </cell>
          <cell r="D6">
            <v>8</v>
          </cell>
          <cell r="E6">
            <v>2019</v>
          </cell>
          <cell r="F6">
            <v>2015</v>
          </cell>
        </row>
        <row r="7">
          <cell r="B7" t="str">
            <v>ALAMEDA COUNTY</v>
          </cell>
          <cell r="C7">
            <v>0.5</v>
          </cell>
          <cell r="D7">
            <v>8</v>
          </cell>
          <cell r="E7">
            <v>2019</v>
          </cell>
          <cell r="F7">
            <v>2015</v>
          </cell>
        </row>
        <row r="8">
          <cell r="B8" t="str">
            <v>ALBANY</v>
          </cell>
          <cell r="C8">
            <v>0.5</v>
          </cell>
          <cell r="D8">
            <v>8</v>
          </cell>
          <cell r="E8">
            <v>2019</v>
          </cell>
          <cell r="F8">
            <v>2015</v>
          </cell>
        </row>
        <row r="9">
          <cell r="B9" t="str">
            <v>ALHAMBRA</v>
          </cell>
          <cell r="C9">
            <v>0.625</v>
          </cell>
          <cell r="D9">
            <v>8</v>
          </cell>
          <cell r="E9">
            <v>2018</v>
          </cell>
          <cell r="F9">
            <v>2014</v>
          </cell>
        </row>
        <row r="10">
          <cell r="B10" t="str">
            <v>ALISO VIEJO</v>
          </cell>
          <cell r="C10">
            <v>0.625</v>
          </cell>
          <cell r="D10">
            <v>8</v>
          </cell>
          <cell r="E10">
            <v>2018</v>
          </cell>
          <cell r="F10">
            <v>2014</v>
          </cell>
        </row>
        <row r="11">
          <cell r="B11" t="str">
            <v>ALPINE COUNTY</v>
          </cell>
          <cell r="C11">
            <v>1</v>
          </cell>
          <cell r="D11">
            <v>5</v>
          </cell>
          <cell r="E11">
            <v>2017</v>
          </cell>
          <cell r="F11">
            <v>2014</v>
          </cell>
        </row>
        <row r="12">
          <cell r="B12" t="str">
            <v>ALTURAS</v>
          </cell>
          <cell r="C12">
            <v>1</v>
          </cell>
          <cell r="D12">
            <v>5</v>
          </cell>
          <cell r="E12">
            <v>2017</v>
          </cell>
          <cell r="F12">
            <v>2014</v>
          </cell>
        </row>
        <row r="13">
          <cell r="B13" t="str">
            <v>AMADOR CITY</v>
          </cell>
          <cell r="C13">
            <v>1</v>
          </cell>
          <cell r="D13">
            <v>5</v>
          </cell>
          <cell r="E13">
            <v>2017</v>
          </cell>
          <cell r="F13">
            <v>2014</v>
          </cell>
        </row>
        <row r="14">
          <cell r="B14" t="str">
            <v>AMADOR COUNTY</v>
          </cell>
          <cell r="C14">
            <v>1</v>
          </cell>
          <cell r="D14">
            <v>5</v>
          </cell>
          <cell r="E14">
            <v>2017</v>
          </cell>
          <cell r="F14">
            <v>2014</v>
          </cell>
        </row>
        <row r="15">
          <cell r="B15" t="str">
            <v>AMERICAN CANYON</v>
          </cell>
          <cell r="C15">
            <v>0.5</v>
          </cell>
          <cell r="D15">
            <v>8</v>
          </cell>
          <cell r="E15">
            <v>2019</v>
          </cell>
          <cell r="F15">
            <v>2015</v>
          </cell>
        </row>
        <row r="16">
          <cell r="B16" t="str">
            <v>ANAHEIM</v>
          </cell>
          <cell r="C16">
            <v>0.625</v>
          </cell>
          <cell r="D16">
            <v>8</v>
          </cell>
          <cell r="E16">
            <v>2018</v>
          </cell>
          <cell r="F16">
            <v>2014</v>
          </cell>
        </row>
        <row r="17">
          <cell r="B17" t="str">
            <v>ANDERSON</v>
          </cell>
          <cell r="C17">
            <v>1</v>
          </cell>
          <cell r="D17">
            <v>5</v>
          </cell>
          <cell r="E17">
            <v>2017</v>
          </cell>
          <cell r="F17">
            <v>2014</v>
          </cell>
        </row>
        <row r="18">
          <cell r="B18" t="str">
            <v>ANGELS CAMP</v>
          </cell>
          <cell r="C18">
            <v>1</v>
          </cell>
          <cell r="D18">
            <v>5</v>
          </cell>
          <cell r="E18">
            <v>2017</v>
          </cell>
          <cell r="F18">
            <v>2014</v>
          </cell>
        </row>
        <row r="19">
          <cell r="B19" t="str">
            <v>ANTIOCH</v>
          </cell>
          <cell r="C19">
            <v>0.5</v>
          </cell>
          <cell r="D19">
            <v>8</v>
          </cell>
          <cell r="E19">
            <v>2019</v>
          </cell>
          <cell r="F19">
            <v>2015</v>
          </cell>
        </row>
        <row r="20">
          <cell r="B20" t="str">
            <v>APPLE VALLEY</v>
          </cell>
          <cell r="C20">
            <v>0.625</v>
          </cell>
          <cell r="D20">
            <v>8</v>
          </cell>
          <cell r="E20">
            <v>2018</v>
          </cell>
          <cell r="F20">
            <v>2014</v>
          </cell>
        </row>
        <row r="21">
          <cell r="B21" t="str">
            <v>ARCADIA</v>
          </cell>
          <cell r="C21">
            <v>0.625</v>
          </cell>
          <cell r="D21">
            <v>8</v>
          </cell>
          <cell r="E21">
            <v>2018</v>
          </cell>
          <cell r="F21">
            <v>2014</v>
          </cell>
        </row>
        <row r="22">
          <cell r="B22" t="str">
            <v>ARCATA</v>
          </cell>
          <cell r="C22">
            <v>1</v>
          </cell>
          <cell r="D22">
            <v>5</v>
          </cell>
          <cell r="E22">
            <v>2017</v>
          </cell>
          <cell r="F22">
            <v>2014</v>
          </cell>
        </row>
        <row r="23">
          <cell r="B23" t="str">
            <v>ARROYO GRANDE</v>
          </cell>
          <cell r="C23">
            <v>1</v>
          </cell>
          <cell r="D23">
            <v>5</v>
          </cell>
          <cell r="E23">
            <v>2017</v>
          </cell>
          <cell r="F23">
            <v>2014</v>
          </cell>
        </row>
        <row r="24">
          <cell r="B24" t="str">
            <v>ARTESIA</v>
          </cell>
          <cell r="C24">
            <v>0.625</v>
          </cell>
          <cell r="D24">
            <v>8</v>
          </cell>
          <cell r="E24">
            <v>2018</v>
          </cell>
          <cell r="F24">
            <v>2014</v>
          </cell>
        </row>
        <row r="25">
          <cell r="B25" t="str">
            <v>ARVIN</v>
          </cell>
          <cell r="C25">
            <v>0.375</v>
          </cell>
          <cell r="D25">
            <v>8</v>
          </cell>
          <cell r="E25">
            <v>2020</v>
          </cell>
          <cell r="F25">
            <v>2016</v>
          </cell>
        </row>
        <row r="26">
          <cell r="B26" t="str">
            <v>ATASCADERO</v>
          </cell>
          <cell r="C26">
            <v>1</v>
          </cell>
          <cell r="D26">
            <v>5</v>
          </cell>
          <cell r="E26">
            <v>2017</v>
          </cell>
          <cell r="F26">
            <v>2014</v>
          </cell>
        </row>
        <row r="27">
          <cell r="B27" t="str">
            <v>ATHERTON</v>
          </cell>
          <cell r="C27">
            <v>0.5</v>
          </cell>
          <cell r="D27">
            <v>8</v>
          </cell>
          <cell r="E27">
            <v>2019</v>
          </cell>
          <cell r="F27">
            <v>2015</v>
          </cell>
        </row>
        <row r="28">
          <cell r="B28" t="str">
            <v>ATWATER</v>
          </cell>
          <cell r="C28">
            <v>0.375</v>
          </cell>
          <cell r="D28">
            <v>8</v>
          </cell>
          <cell r="E28">
            <v>2020</v>
          </cell>
          <cell r="F28">
            <v>2016</v>
          </cell>
        </row>
        <row r="29">
          <cell r="B29" t="str">
            <v>AUBURN</v>
          </cell>
          <cell r="C29">
            <v>0.625</v>
          </cell>
          <cell r="D29">
            <v>8</v>
          </cell>
          <cell r="E29">
            <v>2018</v>
          </cell>
          <cell r="F29">
            <v>2014</v>
          </cell>
        </row>
        <row r="30">
          <cell r="B30" t="str">
            <v>AVALON</v>
          </cell>
          <cell r="C30">
            <v>0.625</v>
          </cell>
          <cell r="D30">
            <v>8</v>
          </cell>
          <cell r="E30">
            <v>2018</v>
          </cell>
          <cell r="F30">
            <v>2014</v>
          </cell>
        </row>
        <row r="31">
          <cell r="B31" t="str">
            <v>AVENAL</v>
          </cell>
          <cell r="C31">
            <v>0.375</v>
          </cell>
          <cell r="D31">
            <v>8</v>
          </cell>
          <cell r="E31">
            <v>2020</v>
          </cell>
          <cell r="F31">
            <v>2016</v>
          </cell>
        </row>
        <row r="32">
          <cell r="B32" t="str">
            <v>AZUSA</v>
          </cell>
          <cell r="C32">
            <v>0.625</v>
          </cell>
          <cell r="D32">
            <v>8</v>
          </cell>
          <cell r="E32">
            <v>2018</v>
          </cell>
          <cell r="F32">
            <v>2014</v>
          </cell>
        </row>
        <row r="33">
          <cell r="B33" t="str">
            <v>BAKERSFIELD</v>
          </cell>
          <cell r="C33">
            <v>0.375</v>
          </cell>
          <cell r="D33">
            <v>8</v>
          </cell>
          <cell r="E33">
            <v>2020</v>
          </cell>
          <cell r="F33">
            <v>2016</v>
          </cell>
        </row>
        <row r="34">
          <cell r="B34" t="str">
            <v>BALDWIN PARK</v>
          </cell>
          <cell r="C34">
            <v>0.625</v>
          </cell>
          <cell r="D34">
            <v>8</v>
          </cell>
          <cell r="E34">
            <v>2018</v>
          </cell>
          <cell r="F34">
            <v>2014</v>
          </cell>
        </row>
        <row r="35">
          <cell r="B35" t="str">
            <v>BANNING</v>
          </cell>
          <cell r="C35">
            <v>0.625</v>
          </cell>
          <cell r="D35">
            <v>8</v>
          </cell>
          <cell r="E35">
            <v>2018</v>
          </cell>
          <cell r="F35">
            <v>2014</v>
          </cell>
        </row>
        <row r="36">
          <cell r="B36" t="str">
            <v>BARSTOW</v>
          </cell>
          <cell r="C36">
            <v>0.625</v>
          </cell>
          <cell r="D36">
            <v>8</v>
          </cell>
          <cell r="E36">
            <v>2018</v>
          </cell>
          <cell r="F36">
            <v>2014</v>
          </cell>
        </row>
        <row r="37">
          <cell r="B37" t="str">
            <v>BEAUMONT</v>
          </cell>
          <cell r="C37">
            <v>0.625</v>
          </cell>
          <cell r="D37">
            <v>8</v>
          </cell>
          <cell r="E37">
            <v>2018</v>
          </cell>
          <cell r="F37">
            <v>2014</v>
          </cell>
        </row>
        <row r="38">
          <cell r="B38" t="str">
            <v>BELL</v>
          </cell>
          <cell r="C38">
            <v>0.625</v>
          </cell>
          <cell r="D38">
            <v>8</v>
          </cell>
          <cell r="E38">
            <v>2018</v>
          </cell>
          <cell r="F38">
            <v>2014</v>
          </cell>
        </row>
        <row r="39">
          <cell r="B39" t="str">
            <v>BELL GARDENS</v>
          </cell>
          <cell r="C39">
            <v>0.625</v>
          </cell>
          <cell r="D39">
            <v>8</v>
          </cell>
          <cell r="E39">
            <v>2018</v>
          </cell>
          <cell r="F39">
            <v>2014</v>
          </cell>
        </row>
        <row r="40">
          <cell r="B40" t="str">
            <v>BELLFLOWER</v>
          </cell>
          <cell r="C40">
            <v>0.625</v>
          </cell>
          <cell r="D40">
            <v>8</v>
          </cell>
          <cell r="E40">
            <v>2018</v>
          </cell>
          <cell r="F40">
            <v>2014</v>
          </cell>
        </row>
        <row r="41">
          <cell r="B41" t="str">
            <v>BELMONT</v>
          </cell>
          <cell r="C41">
            <v>0.5</v>
          </cell>
          <cell r="D41">
            <v>8</v>
          </cell>
          <cell r="E41">
            <v>2019</v>
          </cell>
          <cell r="F41">
            <v>2015</v>
          </cell>
        </row>
        <row r="42">
          <cell r="B42" t="str">
            <v>BELVEDERE</v>
          </cell>
          <cell r="C42">
            <v>0.5</v>
          </cell>
          <cell r="D42">
            <v>8</v>
          </cell>
          <cell r="E42">
            <v>2019</v>
          </cell>
          <cell r="F42">
            <v>2015</v>
          </cell>
        </row>
        <row r="43">
          <cell r="B43" t="str">
            <v>BENICIA</v>
          </cell>
          <cell r="C43">
            <v>0.5</v>
          </cell>
          <cell r="D43">
            <v>8</v>
          </cell>
          <cell r="E43">
            <v>2019</v>
          </cell>
          <cell r="F43">
            <v>2015</v>
          </cell>
        </row>
        <row r="44">
          <cell r="B44" t="str">
            <v>BERKELEY</v>
          </cell>
          <cell r="C44">
            <v>0.5</v>
          </cell>
          <cell r="D44">
            <v>8</v>
          </cell>
          <cell r="E44">
            <v>2019</v>
          </cell>
          <cell r="F44">
            <v>2015</v>
          </cell>
        </row>
        <row r="45">
          <cell r="B45" t="str">
            <v>BEVERLY HILLS</v>
          </cell>
          <cell r="C45">
            <v>0.625</v>
          </cell>
          <cell r="D45">
            <v>8</v>
          </cell>
          <cell r="E45">
            <v>2018</v>
          </cell>
          <cell r="F45">
            <v>2014</v>
          </cell>
        </row>
        <row r="46">
          <cell r="B46" t="str">
            <v>BIG BEAR LAKE</v>
          </cell>
          <cell r="C46">
            <v>0.625</v>
          </cell>
          <cell r="D46">
            <v>8</v>
          </cell>
          <cell r="E46">
            <v>2018</v>
          </cell>
          <cell r="F46">
            <v>2014</v>
          </cell>
        </row>
        <row r="47">
          <cell r="B47" t="str">
            <v>BIGGS</v>
          </cell>
          <cell r="C47">
            <v>0.625</v>
          </cell>
          <cell r="D47">
            <v>8</v>
          </cell>
          <cell r="E47">
            <v>2018</v>
          </cell>
          <cell r="F47">
            <v>2014</v>
          </cell>
        </row>
        <row r="48">
          <cell r="B48" t="str">
            <v>BISHOP</v>
          </cell>
          <cell r="C48">
            <v>1</v>
          </cell>
          <cell r="D48">
            <v>5</v>
          </cell>
          <cell r="E48">
            <v>2017</v>
          </cell>
          <cell r="F48">
            <v>2014</v>
          </cell>
        </row>
        <row r="49">
          <cell r="B49" t="str">
            <v>BLUE LAKE</v>
          </cell>
          <cell r="C49">
            <v>1</v>
          </cell>
          <cell r="D49">
            <v>5</v>
          </cell>
          <cell r="E49">
            <v>2017</v>
          </cell>
          <cell r="F49">
            <v>2014</v>
          </cell>
        </row>
        <row r="50">
          <cell r="B50" t="str">
            <v>BLYTHE</v>
          </cell>
          <cell r="C50">
            <v>0.625</v>
          </cell>
          <cell r="D50">
            <v>8</v>
          </cell>
          <cell r="E50">
            <v>2018</v>
          </cell>
          <cell r="F50">
            <v>2014</v>
          </cell>
        </row>
        <row r="51">
          <cell r="B51" t="str">
            <v>BRADBURY</v>
          </cell>
          <cell r="C51">
            <v>0.625</v>
          </cell>
          <cell r="D51">
            <v>8</v>
          </cell>
          <cell r="E51">
            <v>2018</v>
          </cell>
          <cell r="F51">
            <v>2014</v>
          </cell>
        </row>
        <row r="52">
          <cell r="B52" t="str">
            <v>BRAWLEY</v>
          </cell>
          <cell r="C52">
            <v>0.625</v>
          </cell>
          <cell r="D52">
            <v>8</v>
          </cell>
          <cell r="E52">
            <v>2018</v>
          </cell>
          <cell r="F52">
            <v>2014</v>
          </cell>
        </row>
        <row r="53">
          <cell r="B53" t="str">
            <v>BREA</v>
          </cell>
          <cell r="C53">
            <v>0.625</v>
          </cell>
          <cell r="D53">
            <v>8</v>
          </cell>
          <cell r="E53">
            <v>2018</v>
          </cell>
          <cell r="F53">
            <v>2014</v>
          </cell>
        </row>
        <row r="54">
          <cell r="B54" t="str">
            <v>BRENTWOOD</v>
          </cell>
          <cell r="C54">
            <v>0.5</v>
          </cell>
          <cell r="D54">
            <v>8</v>
          </cell>
          <cell r="E54">
            <v>2019</v>
          </cell>
          <cell r="F54">
            <v>2015</v>
          </cell>
        </row>
        <row r="55">
          <cell r="B55" t="str">
            <v>BRISBANE</v>
          </cell>
          <cell r="C55">
            <v>0.5</v>
          </cell>
          <cell r="D55">
            <v>8</v>
          </cell>
          <cell r="E55">
            <v>2019</v>
          </cell>
          <cell r="F55">
            <v>2015</v>
          </cell>
        </row>
        <row r="56">
          <cell r="B56" t="str">
            <v>BUELLTON</v>
          </cell>
          <cell r="C56">
            <v>0.5</v>
          </cell>
          <cell r="D56">
            <v>8</v>
          </cell>
          <cell r="E56">
            <v>2019</v>
          </cell>
          <cell r="F56">
            <v>2015</v>
          </cell>
        </row>
        <row r="57">
          <cell r="B57" t="str">
            <v>BUENA PARK</v>
          </cell>
          <cell r="C57">
            <v>0.625</v>
          </cell>
          <cell r="D57">
            <v>8</v>
          </cell>
          <cell r="E57">
            <v>2018</v>
          </cell>
          <cell r="F57">
            <v>2014</v>
          </cell>
        </row>
        <row r="58">
          <cell r="B58" t="str">
            <v>BURBANK</v>
          </cell>
          <cell r="C58">
            <v>0.625</v>
          </cell>
          <cell r="D58">
            <v>8</v>
          </cell>
          <cell r="E58">
            <v>2018</v>
          </cell>
          <cell r="F58">
            <v>2014</v>
          </cell>
        </row>
        <row r="59">
          <cell r="B59" t="str">
            <v>BURLINGAME</v>
          </cell>
          <cell r="C59">
            <v>0.5</v>
          </cell>
          <cell r="D59">
            <v>8</v>
          </cell>
          <cell r="E59">
            <v>2019</v>
          </cell>
          <cell r="F59">
            <v>2015</v>
          </cell>
        </row>
        <row r="60">
          <cell r="B60" t="str">
            <v>BUTTE COUNTY</v>
          </cell>
          <cell r="C60">
            <v>0.625</v>
          </cell>
          <cell r="D60">
            <v>8</v>
          </cell>
          <cell r="E60">
            <v>2018</v>
          </cell>
          <cell r="F60">
            <v>2014</v>
          </cell>
        </row>
        <row r="61">
          <cell r="B61" t="str">
            <v>CALABASAS</v>
          </cell>
          <cell r="C61">
            <v>0.625</v>
          </cell>
          <cell r="D61">
            <v>8</v>
          </cell>
          <cell r="E61">
            <v>2018</v>
          </cell>
          <cell r="F61">
            <v>2014</v>
          </cell>
        </row>
        <row r="62">
          <cell r="B62" t="str">
            <v>CALAVERAS COUNTY</v>
          </cell>
          <cell r="C62">
            <v>1</v>
          </cell>
          <cell r="D62">
            <v>5</v>
          </cell>
          <cell r="E62">
            <v>2017</v>
          </cell>
          <cell r="F62">
            <v>2014</v>
          </cell>
        </row>
        <row r="63">
          <cell r="B63" t="str">
            <v>CALEXICO</v>
          </cell>
          <cell r="C63">
            <v>0.625</v>
          </cell>
          <cell r="D63">
            <v>8</v>
          </cell>
          <cell r="E63">
            <v>2018</v>
          </cell>
          <cell r="F63">
            <v>2014</v>
          </cell>
        </row>
        <row r="64">
          <cell r="B64" t="str">
            <v>CALIFORNIA CITY</v>
          </cell>
          <cell r="C64">
            <v>0.375</v>
          </cell>
          <cell r="D64">
            <v>8</v>
          </cell>
          <cell r="E64">
            <v>2020</v>
          </cell>
          <cell r="F64">
            <v>2016</v>
          </cell>
        </row>
        <row r="65">
          <cell r="B65" t="str">
            <v>CALIMESA</v>
          </cell>
          <cell r="C65">
            <v>0.625</v>
          </cell>
          <cell r="D65">
            <v>8</v>
          </cell>
          <cell r="E65">
            <v>2018</v>
          </cell>
          <cell r="F65">
            <v>2014</v>
          </cell>
        </row>
        <row r="66">
          <cell r="B66" t="str">
            <v>CALIPATRIA</v>
          </cell>
          <cell r="C66">
            <v>0.625</v>
          </cell>
          <cell r="D66">
            <v>8</v>
          </cell>
          <cell r="E66">
            <v>2018</v>
          </cell>
          <cell r="F66">
            <v>2014</v>
          </cell>
        </row>
        <row r="67">
          <cell r="B67" t="str">
            <v>CALISTOGA</v>
          </cell>
          <cell r="C67">
            <v>0.5</v>
          </cell>
          <cell r="D67">
            <v>8</v>
          </cell>
          <cell r="E67">
            <v>2019</v>
          </cell>
          <cell r="F67">
            <v>2015</v>
          </cell>
        </row>
        <row r="68">
          <cell r="B68" t="str">
            <v>CAMARILLO</v>
          </cell>
          <cell r="C68">
            <v>0.625</v>
          </cell>
          <cell r="D68">
            <v>8</v>
          </cell>
          <cell r="E68">
            <v>2018</v>
          </cell>
          <cell r="F68">
            <v>2014</v>
          </cell>
        </row>
        <row r="69">
          <cell r="B69" t="str">
            <v>CAMPBELL</v>
          </cell>
          <cell r="C69">
            <v>0.5</v>
          </cell>
          <cell r="D69">
            <v>8</v>
          </cell>
          <cell r="E69">
            <v>2019</v>
          </cell>
          <cell r="F69">
            <v>2015</v>
          </cell>
        </row>
        <row r="70">
          <cell r="B70" t="str">
            <v>CANYON LAKE</v>
          </cell>
          <cell r="C70">
            <v>0.625</v>
          </cell>
          <cell r="D70">
            <v>8</v>
          </cell>
          <cell r="E70">
            <v>2018</v>
          </cell>
          <cell r="F70">
            <v>2014</v>
          </cell>
        </row>
        <row r="71">
          <cell r="B71" t="str">
            <v>CAPITOLA</v>
          </cell>
          <cell r="C71">
            <v>0.375</v>
          </cell>
          <cell r="D71">
            <v>8</v>
          </cell>
          <cell r="E71">
            <v>2020</v>
          </cell>
          <cell r="F71">
            <v>2016</v>
          </cell>
        </row>
        <row r="72">
          <cell r="B72" t="str">
            <v>CARLSBAD</v>
          </cell>
          <cell r="C72">
            <v>0.75</v>
          </cell>
          <cell r="D72">
            <v>8</v>
          </cell>
          <cell r="E72">
            <v>2017</v>
          </cell>
          <cell r="F72">
            <v>2013</v>
          </cell>
        </row>
        <row r="73">
          <cell r="B73" t="str">
            <v>CARMEL</v>
          </cell>
          <cell r="C73">
            <v>0.375</v>
          </cell>
          <cell r="D73">
            <v>8</v>
          </cell>
          <cell r="E73">
            <v>2020</v>
          </cell>
          <cell r="F73">
            <v>2016</v>
          </cell>
        </row>
        <row r="74">
          <cell r="B74" t="str">
            <v>CARPINTERIA</v>
          </cell>
          <cell r="C74">
            <v>0.5</v>
          </cell>
          <cell r="D74">
            <v>8</v>
          </cell>
          <cell r="E74">
            <v>2019</v>
          </cell>
          <cell r="F74">
            <v>2015</v>
          </cell>
        </row>
        <row r="75">
          <cell r="B75" t="str">
            <v>CARSON</v>
          </cell>
          <cell r="C75">
            <v>0.625</v>
          </cell>
          <cell r="D75">
            <v>8</v>
          </cell>
          <cell r="E75">
            <v>2018</v>
          </cell>
          <cell r="F75">
            <v>2014</v>
          </cell>
        </row>
        <row r="76">
          <cell r="B76" t="str">
            <v>CATHEDRAL</v>
          </cell>
          <cell r="C76">
            <v>0.625</v>
          </cell>
          <cell r="D76">
            <v>8</v>
          </cell>
          <cell r="E76">
            <v>2018</v>
          </cell>
          <cell r="F76">
            <v>2014</v>
          </cell>
        </row>
        <row r="77">
          <cell r="B77" t="str">
            <v>CERES</v>
          </cell>
          <cell r="C77">
            <v>0.375</v>
          </cell>
          <cell r="D77">
            <v>8</v>
          </cell>
          <cell r="E77">
            <v>2020</v>
          </cell>
          <cell r="F77">
            <v>2016</v>
          </cell>
        </row>
        <row r="78">
          <cell r="B78" t="str">
            <v>CERRITOS</v>
          </cell>
          <cell r="C78">
            <v>0.625</v>
          </cell>
          <cell r="D78">
            <v>8</v>
          </cell>
          <cell r="E78">
            <v>2018</v>
          </cell>
          <cell r="F78">
            <v>2014</v>
          </cell>
        </row>
        <row r="79">
          <cell r="B79" t="str">
            <v>CHICO</v>
          </cell>
          <cell r="C79">
            <v>0.625</v>
          </cell>
          <cell r="D79">
            <v>8</v>
          </cell>
          <cell r="E79">
            <v>2018</v>
          </cell>
          <cell r="F79">
            <v>2014</v>
          </cell>
        </row>
        <row r="80">
          <cell r="B80" t="str">
            <v>CHINO</v>
          </cell>
          <cell r="C80">
            <v>0.625</v>
          </cell>
          <cell r="D80">
            <v>8</v>
          </cell>
          <cell r="E80">
            <v>2018</v>
          </cell>
          <cell r="F80">
            <v>2014</v>
          </cell>
        </row>
        <row r="81">
          <cell r="B81" t="str">
            <v>CHINO HILLS</v>
          </cell>
          <cell r="C81">
            <v>0.625</v>
          </cell>
          <cell r="D81">
            <v>8</v>
          </cell>
          <cell r="E81">
            <v>2018</v>
          </cell>
          <cell r="F81">
            <v>2014</v>
          </cell>
        </row>
        <row r="82">
          <cell r="B82" t="str">
            <v>CHOWCHILLA</v>
          </cell>
          <cell r="C82">
            <v>0.375</v>
          </cell>
          <cell r="D82">
            <v>8</v>
          </cell>
          <cell r="E82">
            <v>2020</v>
          </cell>
          <cell r="F82">
            <v>2016</v>
          </cell>
        </row>
        <row r="83">
          <cell r="B83" t="str">
            <v>CHULA VISTA</v>
          </cell>
          <cell r="C83">
            <v>0.75</v>
          </cell>
          <cell r="D83">
            <v>8</v>
          </cell>
          <cell r="E83">
            <v>2017</v>
          </cell>
          <cell r="F83">
            <v>2013</v>
          </cell>
        </row>
        <row r="84">
          <cell r="B84" t="str">
            <v>CITRUS HEIGHTS</v>
          </cell>
          <cell r="C84">
            <v>0.625</v>
          </cell>
          <cell r="D84">
            <v>8</v>
          </cell>
          <cell r="E84">
            <v>2018</v>
          </cell>
          <cell r="F84">
            <v>2014</v>
          </cell>
        </row>
        <row r="85">
          <cell r="B85" t="str">
            <v>CLAREMONT</v>
          </cell>
          <cell r="C85">
            <v>0.625</v>
          </cell>
          <cell r="D85">
            <v>8</v>
          </cell>
          <cell r="E85">
            <v>2018</v>
          </cell>
          <cell r="F85">
            <v>2014</v>
          </cell>
        </row>
        <row r="86">
          <cell r="B86" t="str">
            <v>CLAYTON</v>
          </cell>
          <cell r="C86">
            <v>0.5</v>
          </cell>
          <cell r="D86">
            <v>8</v>
          </cell>
          <cell r="E86">
            <v>2019</v>
          </cell>
          <cell r="F86">
            <v>2015</v>
          </cell>
        </row>
        <row r="87">
          <cell r="B87" t="str">
            <v>CLEARLAKE</v>
          </cell>
          <cell r="C87">
            <v>1</v>
          </cell>
          <cell r="D87">
            <v>5</v>
          </cell>
          <cell r="E87">
            <v>2017</v>
          </cell>
          <cell r="F87">
            <v>2014</v>
          </cell>
        </row>
        <row r="88">
          <cell r="B88" t="str">
            <v>CLOVERDALE</v>
          </cell>
          <cell r="C88">
            <v>0.5</v>
          </cell>
          <cell r="D88">
            <v>8</v>
          </cell>
          <cell r="E88">
            <v>2019</v>
          </cell>
          <cell r="F88">
            <v>2015</v>
          </cell>
        </row>
        <row r="89">
          <cell r="B89" t="str">
            <v>CLOVIS</v>
          </cell>
          <cell r="C89">
            <v>0.375</v>
          </cell>
          <cell r="D89">
            <v>8</v>
          </cell>
          <cell r="E89">
            <v>2020</v>
          </cell>
          <cell r="F89">
            <v>2016</v>
          </cell>
        </row>
        <row r="90">
          <cell r="B90" t="str">
            <v>COACHELLA</v>
          </cell>
          <cell r="C90">
            <v>0.625</v>
          </cell>
          <cell r="D90">
            <v>8</v>
          </cell>
          <cell r="E90">
            <v>2018</v>
          </cell>
          <cell r="F90">
            <v>2014</v>
          </cell>
        </row>
        <row r="91">
          <cell r="B91" t="str">
            <v>COALINGA</v>
          </cell>
          <cell r="C91">
            <v>0.375</v>
          </cell>
          <cell r="D91">
            <v>8</v>
          </cell>
          <cell r="E91">
            <v>2020</v>
          </cell>
          <cell r="F91">
            <v>2016</v>
          </cell>
        </row>
        <row r="92">
          <cell r="B92" t="str">
            <v>COLFAX</v>
          </cell>
          <cell r="C92">
            <v>0.625</v>
          </cell>
          <cell r="D92">
            <v>8</v>
          </cell>
          <cell r="E92">
            <v>2018</v>
          </cell>
          <cell r="F92">
            <v>2014</v>
          </cell>
        </row>
        <row r="93">
          <cell r="B93" t="str">
            <v>COLMA</v>
          </cell>
          <cell r="C93">
            <v>0.5</v>
          </cell>
          <cell r="D93">
            <v>8</v>
          </cell>
          <cell r="E93">
            <v>2019</v>
          </cell>
          <cell r="F93">
            <v>2015</v>
          </cell>
        </row>
        <row r="94">
          <cell r="B94" t="str">
            <v>COLTON</v>
          </cell>
          <cell r="C94">
            <v>0.625</v>
          </cell>
          <cell r="D94">
            <v>8</v>
          </cell>
          <cell r="E94">
            <v>2018</v>
          </cell>
          <cell r="F94">
            <v>2014</v>
          </cell>
        </row>
        <row r="95">
          <cell r="B95" t="str">
            <v>COLUSA</v>
          </cell>
          <cell r="C95">
            <v>1</v>
          </cell>
          <cell r="D95">
            <v>5</v>
          </cell>
          <cell r="E95">
            <v>2017</v>
          </cell>
          <cell r="F95">
            <v>2014</v>
          </cell>
        </row>
        <row r="96">
          <cell r="B96" t="str">
            <v>COLUSA COUNTY</v>
          </cell>
          <cell r="C96">
            <v>1</v>
          </cell>
          <cell r="D96">
            <v>5</v>
          </cell>
          <cell r="E96">
            <v>2017</v>
          </cell>
          <cell r="F96">
            <v>2014</v>
          </cell>
        </row>
        <row r="97">
          <cell r="B97" t="str">
            <v>COMMERCE</v>
          </cell>
          <cell r="C97">
            <v>0.625</v>
          </cell>
          <cell r="D97">
            <v>8</v>
          </cell>
          <cell r="E97">
            <v>2018</v>
          </cell>
          <cell r="F97">
            <v>2014</v>
          </cell>
        </row>
        <row r="98">
          <cell r="B98" t="str">
            <v>COMPTON</v>
          </cell>
          <cell r="C98">
            <v>0.625</v>
          </cell>
          <cell r="D98">
            <v>8</v>
          </cell>
          <cell r="E98">
            <v>2018</v>
          </cell>
          <cell r="F98">
            <v>2014</v>
          </cell>
        </row>
        <row r="99">
          <cell r="B99" t="str">
            <v>CONCORD</v>
          </cell>
          <cell r="C99">
            <v>0.5</v>
          </cell>
          <cell r="D99">
            <v>8</v>
          </cell>
          <cell r="E99">
            <v>2019</v>
          </cell>
          <cell r="F99">
            <v>2015</v>
          </cell>
        </row>
        <row r="100">
          <cell r="B100" t="str">
            <v>CONTRA COSTA COUNTY</v>
          </cell>
          <cell r="C100">
            <v>0.5</v>
          </cell>
          <cell r="D100">
            <v>8</v>
          </cell>
          <cell r="E100">
            <v>2019</v>
          </cell>
          <cell r="F100">
            <v>2015</v>
          </cell>
        </row>
        <row r="101">
          <cell r="B101" t="str">
            <v>CORCORAN</v>
          </cell>
          <cell r="C101">
            <v>0.375</v>
          </cell>
          <cell r="D101">
            <v>8</v>
          </cell>
          <cell r="E101">
            <v>2020</v>
          </cell>
          <cell r="F101">
            <v>2016</v>
          </cell>
        </row>
        <row r="102">
          <cell r="B102" t="str">
            <v>CORNING</v>
          </cell>
          <cell r="C102">
            <v>1</v>
          </cell>
          <cell r="D102">
            <v>5</v>
          </cell>
          <cell r="E102">
            <v>2017</v>
          </cell>
          <cell r="F102">
            <v>2014</v>
          </cell>
        </row>
        <row r="103">
          <cell r="B103" t="str">
            <v>CORONA</v>
          </cell>
          <cell r="C103">
            <v>0.625</v>
          </cell>
          <cell r="D103">
            <v>8</v>
          </cell>
          <cell r="E103">
            <v>2018</v>
          </cell>
          <cell r="F103">
            <v>2014</v>
          </cell>
        </row>
        <row r="104">
          <cell r="B104" t="str">
            <v>CORONADO</v>
          </cell>
          <cell r="C104">
            <v>0.75</v>
          </cell>
          <cell r="D104">
            <v>8</v>
          </cell>
          <cell r="E104">
            <v>2017</v>
          </cell>
          <cell r="F104">
            <v>2013</v>
          </cell>
        </row>
        <row r="105">
          <cell r="B105" t="str">
            <v>CORTE MADERA</v>
          </cell>
          <cell r="C105">
            <v>0.5</v>
          </cell>
          <cell r="D105">
            <v>8</v>
          </cell>
          <cell r="E105">
            <v>2019</v>
          </cell>
          <cell r="F105">
            <v>2015</v>
          </cell>
        </row>
        <row r="106">
          <cell r="B106" t="str">
            <v>COSTA MESA</v>
          </cell>
          <cell r="C106">
            <v>0.625</v>
          </cell>
          <cell r="D106">
            <v>8</v>
          </cell>
          <cell r="E106">
            <v>2018</v>
          </cell>
          <cell r="F106">
            <v>2014</v>
          </cell>
        </row>
        <row r="107">
          <cell r="B107" t="str">
            <v>COTATI</v>
          </cell>
          <cell r="C107">
            <v>0.5</v>
          </cell>
          <cell r="D107">
            <v>8</v>
          </cell>
          <cell r="E107">
            <v>2019</v>
          </cell>
          <cell r="F107">
            <v>2015</v>
          </cell>
        </row>
        <row r="108">
          <cell r="B108" t="str">
            <v>COVINA</v>
          </cell>
          <cell r="C108">
            <v>0.625</v>
          </cell>
          <cell r="D108">
            <v>8</v>
          </cell>
          <cell r="E108">
            <v>2018</v>
          </cell>
          <cell r="F108">
            <v>2014</v>
          </cell>
        </row>
        <row r="109">
          <cell r="B109" t="str">
            <v>CRESCENT CITY</v>
          </cell>
          <cell r="C109">
            <v>1</v>
          </cell>
          <cell r="D109">
            <v>5</v>
          </cell>
          <cell r="E109">
            <v>2017</v>
          </cell>
          <cell r="F109">
            <v>2014</v>
          </cell>
        </row>
        <row r="110">
          <cell r="B110" t="str">
            <v>CUDAHY</v>
          </cell>
          <cell r="C110">
            <v>0.625</v>
          </cell>
          <cell r="D110">
            <v>8</v>
          </cell>
          <cell r="E110">
            <v>2018</v>
          </cell>
          <cell r="F110">
            <v>2014</v>
          </cell>
        </row>
        <row r="111">
          <cell r="B111" t="str">
            <v>CULVER CITY</v>
          </cell>
          <cell r="C111">
            <v>0.625</v>
          </cell>
          <cell r="D111">
            <v>8</v>
          </cell>
          <cell r="E111">
            <v>2018</v>
          </cell>
          <cell r="F111">
            <v>2014</v>
          </cell>
        </row>
        <row r="112">
          <cell r="B112" t="str">
            <v>CUPERTINO</v>
          </cell>
          <cell r="C112">
            <v>0.5</v>
          </cell>
          <cell r="D112">
            <v>8</v>
          </cell>
          <cell r="E112">
            <v>2019</v>
          </cell>
          <cell r="F112">
            <v>2015</v>
          </cell>
        </row>
        <row r="113">
          <cell r="B113" t="str">
            <v>CYPRESS</v>
          </cell>
          <cell r="C113">
            <v>0.625</v>
          </cell>
          <cell r="D113">
            <v>8</v>
          </cell>
          <cell r="E113">
            <v>2018</v>
          </cell>
          <cell r="F113">
            <v>2014</v>
          </cell>
        </row>
        <row r="114">
          <cell r="B114" t="str">
            <v>DALY CITY</v>
          </cell>
          <cell r="C114">
            <v>0.5</v>
          </cell>
          <cell r="D114">
            <v>8</v>
          </cell>
          <cell r="E114">
            <v>2019</v>
          </cell>
          <cell r="F114">
            <v>2015</v>
          </cell>
        </row>
        <row r="115">
          <cell r="B115" t="str">
            <v>DANA POINT</v>
          </cell>
          <cell r="C115">
            <v>0.625</v>
          </cell>
          <cell r="D115">
            <v>8</v>
          </cell>
          <cell r="E115">
            <v>2018</v>
          </cell>
          <cell r="F115">
            <v>2014</v>
          </cell>
        </row>
        <row r="116">
          <cell r="B116" t="str">
            <v>DANVILLE</v>
          </cell>
          <cell r="C116">
            <v>0.5</v>
          </cell>
          <cell r="D116">
            <v>8</v>
          </cell>
          <cell r="E116">
            <v>2019</v>
          </cell>
          <cell r="F116">
            <v>2015</v>
          </cell>
        </row>
        <row r="117">
          <cell r="B117" t="str">
            <v>DAVIS</v>
          </cell>
          <cell r="C117">
            <v>0.625</v>
          </cell>
          <cell r="D117">
            <v>8</v>
          </cell>
          <cell r="E117">
            <v>2018</v>
          </cell>
          <cell r="F117">
            <v>2014</v>
          </cell>
        </row>
        <row r="118">
          <cell r="B118" t="str">
            <v>DEL MAR</v>
          </cell>
          <cell r="C118">
            <v>0.75</v>
          </cell>
          <cell r="D118">
            <v>8</v>
          </cell>
          <cell r="E118">
            <v>2017</v>
          </cell>
          <cell r="F118">
            <v>2013</v>
          </cell>
        </row>
        <row r="119">
          <cell r="B119" t="str">
            <v>DEL NORTE COUNTY</v>
          </cell>
          <cell r="C119">
            <v>1</v>
          </cell>
          <cell r="D119">
            <v>5</v>
          </cell>
          <cell r="E119">
            <v>2017</v>
          </cell>
          <cell r="F119">
            <v>2014</v>
          </cell>
        </row>
        <row r="120">
          <cell r="B120" t="str">
            <v>DEL REY OAKS</v>
          </cell>
          <cell r="C120">
            <v>0.375</v>
          </cell>
          <cell r="D120">
            <v>8</v>
          </cell>
          <cell r="E120">
            <v>2020</v>
          </cell>
          <cell r="F120">
            <v>2016</v>
          </cell>
        </row>
        <row r="121">
          <cell r="B121" t="str">
            <v>DELANO</v>
          </cell>
          <cell r="C121">
            <v>0.375</v>
          </cell>
          <cell r="D121">
            <v>8</v>
          </cell>
          <cell r="E121">
            <v>2020</v>
          </cell>
          <cell r="F121">
            <v>2016</v>
          </cell>
        </row>
        <row r="122">
          <cell r="B122" t="str">
            <v>DESERT HOT SPRINGS</v>
          </cell>
          <cell r="C122">
            <v>0.625</v>
          </cell>
          <cell r="D122">
            <v>8</v>
          </cell>
          <cell r="E122">
            <v>2018</v>
          </cell>
          <cell r="F122">
            <v>2014</v>
          </cell>
        </row>
        <row r="123">
          <cell r="B123" t="str">
            <v>DIAMOND BAR</v>
          </cell>
          <cell r="C123">
            <v>0.625</v>
          </cell>
          <cell r="D123">
            <v>8</v>
          </cell>
          <cell r="E123">
            <v>2018</v>
          </cell>
          <cell r="F123">
            <v>2014</v>
          </cell>
        </row>
        <row r="124">
          <cell r="B124" t="str">
            <v>DINUBA</v>
          </cell>
          <cell r="C124">
            <v>0.375</v>
          </cell>
          <cell r="D124">
            <v>8</v>
          </cell>
          <cell r="E124">
            <v>2020</v>
          </cell>
          <cell r="F124">
            <v>2016</v>
          </cell>
        </row>
        <row r="125">
          <cell r="B125" t="str">
            <v>DIXON</v>
          </cell>
          <cell r="C125">
            <v>0.5</v>
          </cell>
          <cell r="D125">
            <v>8</v>
          </cell>
          <cell r="E125">
            <v>2019</v>
          </cell>
          <cell r="F125">
            <v>2015</v>
          </cell>
        </row>
        <row r="126">
          <cell r="B126" t="str">
            <v>DORRIS</v>
          </cell>
          <cell r="C126">
            <v>1</v>
          </cell>
          <cell r="D126">
            <v>5</v>
          </cell>
          <cell r="E126">
            <v>2017</v>
          </cell>
          <cell r="F126">
            <v>2014</v>
          </cell>
        </row>
        <row r="127">
          <cell r="B127" t="str">
            <v>DOS PALOS</v>
          </cell>
          <cell r="C127">
            <v>0.375</v>
          </cell>
          <cell r="D127">
            <v>8</v>
          </cell>
          <cell r="E127">
            <v>2020</v>
          </cell>
          <cell r="F127">
            <v>2016</v>
          </cell>
        </row>
        <row r="128">
          <cell r="B128" t="str">
            <v>DOWNEY</v>
          </cell>
          <cell r="C128">
            <v>0.625</v>
          </cell>
          <cell r="D128">
            <v>8</v>
          </cell>
          <cell r="E128">
            <v>2018</v>
          </cell>
          <cell r="F128">
            <v>2014</v>
          </cell>
        </row>
        <row r="129">
          <cell r="B129" t="str">
            <v>DUARTE</v>
          </cell>
          <cell r="C129">
            <v>0.625</v>
          </cell>
          <cell r="D129">
            <v>8</v>
          </cell>
          <cell r="E129">
            <v>2018</v>
          </cell>
          <cell r="F129">
            <v>2014</v>
          </cell>
        </row>
        <row r="130">
          <cell r="B130" t="str">
            <v>DUBLIN</v>
          </cell>
          <cell r="C130">
            <v>0.5</v>
          </cell>
          <cell r="D130">
            <v>8</v>
          </cell>
          <cell r="E130">
            <v>2019</v>
          </cell>
          <cell r="F130">
            <v>2015</v>
          </cell>
        </row>
        <row r="131">
          <cell r="B131" t="str">
            <v>DUNSMUIR</v>
          </cell>
          <cell r="C131">
            <v>1</v>
          </cell>
          <cell r="D131">
            <v>5</v>
          </cell>
          <cell r="E131">
            <v>2017</v>
          </cell>
          <cell r="F131">
            <v>2014</v>
          </cell>
        </row>
        <row r="132">
          <cell r="B132" t="str">
            <v>EAST PALO ALTO</v>
          </cell>
          <cell r="C132">
            <v>0.5</v>
          </cell>
          <cell r="D132">
            <v>8</v>
          </cell>
          <cell r="E132">
            <v>2019</v>
          </cell>
          <cell r="F132">
            <v>2015</v>
          </cell>
        </row>
        <row r="133">
          <cell r="B133" t="str">
            <v>EASTVALE</v>
          </cell>
          <cell r="C133">
            <v>0.625</v>
          </cell>
          <cell r="D133">
            <v>8</v>
          </cell>
          <cell r="E133">
            <v>2018</v>
          </cell>
          <cell r="F133">
            <v>2014</v>
          </cell>
        </row>
        <row r="134">
          <cell r="B134" t="str">
            <v>EL CAJON</v>
          </cell>
          <cell r="C134">
            <v>0.75</v>
          </cell>
          <cell r="D134">
            <v>8</v>
          </cell>
          <cell r="E134">
            <v>2017</v>
          </cell>
          <cell r="F134">
            <v>2013</v>
          </cell>
        </row>
        <row r="135">
          <cell r="B135" t="str">
            <v>EL CENTRO</v>
          </cell>
          <cell r="C135">
            <v>0.625</v>
          </cell>
          <cell r="D135">
            <v>8</v>
          </cell>
          <cell r="E135">
            <v>2018</v>
          </cell>
          <cell r="F135">
            <v>2014</v>
          </cell>
        </row>
        <row r="136">
          <cell r="B136" t="str">
            <v>EL CERRITO</v>
          </cell>
          <cell r="C136">
            <v>0.5</v>
          </cell>
          <cell r="D136">
            <v>8</v>
          </cell>
          <cell r="E136">
            <v>2019</v>
          </cell>
          <cell r="F136">
            <v>2015</v>
          </cell>
        </row>
        <row r="137">
          <cell r="B137" t="str">
            <v>EL DORADO COUNTY</v>
          </cell>
          <cell r="C137">
            <v>0.625</v>
          </cell>
          <cell r="D137">
            <v>8</v>
          </cell>
          <cell r="E137">
            <v>2018</v>
          </cell>
          <cell r="F137">
            <v>2014</v>
          </cell>
        </row>
        <row r="138">
          <cell r="B138" t="str">
            <v>EL MONTE</v>
          </cell>
          <cell r="C138">
            <v>0.625</v>
          </cell>
          <cell r="D138">
            <v>8</v>
          </cell>
          <cell r="E138">
            <v>2018</v>
          </cell>
          <cell r="F138">
            <v>2014</v>
          </cell>
        </row>
        <row r="139">
          <cell r="B139" t="str">
            <v>EL SEGUNDO</v>
          </cell>
          <cell r="C139">
            <v>0.625</v>
          </cell>
          <cell r="D139">
            <v>8</v>
          </cell>
          <cell r="E139">
            <v>2018</v>
          </cell>
          <cell r="F139">
            <v>2014</v>
          </cell>
        </row>
        <row r="140">
          <cell r="B140" t="str">
            <v>ELK GROVE</v>
          </cell>
          <cell r="C140">
            <v>0.625</v>
          </cell>
          <cell r="D140">
            <v>8</v>
          </cell>
          <cell r="E140">
            <v>2018</v>
          </cell>
          <cell r="F140">
            <v>2014</v>
          </cell>
        </row>
        <row r="141">
          <cell r="B141" t="str">
            <v>EMERYVILLE</v>
          </cell>
          <cell r="C141">
            <v>0.5</v>
          </cell>
          <cell r="D141">
            <v>8</v>
          </cell>
          <cell r="E141">
            <v>2019</v>
          </cell>
          <cell r="F141">
            <v>2015</v>
          </cell>
        </row>
        <row r="142">
          <cell r="B142" t="str">
            <v>ENCINITAS</v>
          </cell>
          <cell r="C142">
            <v>0.75</v>
          </cell>
          <cell r="D142">
            <v>8</v>
          </cell>
          <cell r="E142">
            <v>2017</v>
          </cell>
          <cell r="F142">
            <v>2013</v>
          </cell>
        </row>
        <row r="143">
          <cell r="B143" t="str">
            <v>ESCALON</v>
          </cell>
          <cell r="C143">
            <v>0.375</v>
          </cell>
          <cell r="D143">
            <v>8</v>
          </cell>
          <cell r="E143">
            <v>2020</v>
          </cell>
          <cell r="F143">
            <v>2016</v>
          </cell>
        </row>
        <row r="144">
          <cell r="B144" t="str">
            <v>ESCONDIDO</v>
          </cell>
          <cell r="C144">
            <v>0.75</v>
          </cell>
          <cell r="D144">
            <v>8</v>
          </cell>
          <cell r="E144">
            <v>2017</v>
          </cell>
          <cell r="F144">
            <v>2013</v>
          </cell>
        </row>
        <row r="145">
          <cell r="B145" t="str">
            <v>ETNA</v>
          </cell>
          <cell r="C145">
            <v>1</v>
          </cell>
          <cell r="D145">
            <v>5</v>
          </cell>
          <cell r="E145">
            <v>2017</v>
          </cell>
          <cell r="F145">
            <v>2014</v>
          </cell>
        </row>
        <row r="146">
          <cell r="B146" t="str">
            <v>EUREKA</v>
          </cell>
          <cell r="C146">
            <v>1</v>
          </cell>
          <cell r="D146">
            <v>5</v>
          </cell>
          <cell r="E146">
            <v>2017</v>
          </cell>
          <cell r="F146">
            <v>2014</v>
          </cell>
        </row>
        <row r="147">
          <cell r="B147" t="str">
            <v>EXETER</v>
          </cell>
          <cell r="C147">
            <v>0.375</v>
          </cell>
          <cell r="D147">
            <v>8</v>
          </cell>
          <cell r="E147">
            <v>2020</v>
          </cell>
          <cell r="F147">
            <v>2016</v>
          </cell>
        </row>
        <row r="148">
          <cell r="B148" t="str">
            <v>FAIRFAX</v>
          </cell>
          <cell r="C148">
            <v>0.5</v>
          </cell>
          <cell r="D148">
            <v>8</v>
          </cell>
          <cell r="E148">
            <v>2019</v>
          </cell>
          <cell r="F148">
            <v>2015</v>
          </cell>
        </row>
        <row r="149">
          <cell r="B149" t="str">
            <v>FAIRFIELD</v>
          </cell>
          <cell r="C149">
            <v>0.5</v>
          </cell>
          <cell r="D149">
            <v>8</v>
          </cell>
          <cell r="E149">
            <v>2019</v>
          </cell>
          <cell r="F149">
            <v>2015</v>
          </cell>
        </row>
        <row r="150">
          <cell r="B150" t="str">
            <v>FARMERSVILLE</v>
          </cell>
          <cell r="C150">
            <v>0.375</v>
          </cell>
          <cell r="D150">
            <v>8</v>
          </cell>
          <cell r="E150">
            <v>2020</v>
          </cell>
          <cell r="F150">
            <v>2016</v>
          </cell>
        </row>
        <row r="151">
          <cell r="B151" t="str">
            <v>FERNDALE</v>
          </cell>
          <cell r="C151">
            <v>1</v>
          </cell>
          <cell r="D151">
            <v>5</v>
          </cell>
          <cell r="E151">
            <v>2017</v>
          </cell>
          <cell r="F151">
            <v>2014</v>
          </cell>
        </row>
        <row r="152">
          <cell r="B152" t="str">
            <v>FILLMORE</v>
          </cell>
          <cell r="C152">
            <v>0.625</v>
          </cell>
          <cell r="D152">
            <v>8</v>
          </cell>
          <cell r="E152">
            <v>2018</v>
          </cell>
          <cell r="F152">
            <v>2014</v>
          </cell>
        </row>
        <row r="153">
          <cell r="B153" t="str">
            <v>FIREBAUGH</v>
          </cell>
          <cell r="C153">
            <v>0.375</v>
          </cell>
          <cell r="D153">
            <v>8</v>
          </cell>
          <cell r="E153">
            <v>2020</v>
          </cell>
          <cell r="F153">
            <v>2016</v>
          </cell>
        </row>
        <row r="154">
          <cell r="B154" t="str">
            <v>FOLSOM</v>
          </cell>
          <cell r="C154">
            <v>0.625</v>
          </cell>
          <cell r="D154">
            <v>8</v>
          </cell>
          <cell r="E154">
            <v>2018</v>
          </cell>
          <cell r="F154">
            <v>2014</v>
          </cell>
        </row>
        <row r="155">
          <cell r="B155" t="str">
            <v>FONTANA</v>
          </cell>
          <cell r="C155">
            <v>0.625</v>
          </cell>
          <cell r="D155">
            <v>8</v>
          </cell>
          <cell r="E155">
            <v>2018</v>
          </cell>
          <cell r="F155">
            <v>2014</v>
          </cell>
        </row>
        <row r="156">
          <cell r="B156" t="str">
            <v>FORT BRAGG</v>
          </cell>
          <cell r="C156">
            <v>1</v>
          </cell>
          <cell r="D156">
            <v>5</v>
          </cell>
          <cell r="E156">
            <v>2017</v>
          </cell>
          <cell r="F156">
            <v>2014</v>
          </cell>
        </row>
        <row r="157">
          <cell r="B157" t="str">
            <v>FORT JONES</v>
          </cell>
          <cell r="C157">
            <v>1</v>
          </cell>
          <cell r="D157">
            <v>5</v>
          </cell>
          <cell r="E157">
            <v>2017</v>
          </cell>
          <cell r="F157">
            <v>2014</v>
          </cell>
        </row>
        <row r="158">
          <cell r="B158" t="str">
            <v>FORTUNA</v>
          </cell>
          <cell r="C158">
            <v>1</v>
          </cell>
          <cell r="D158">
            <v>5</v>
          </cell>
          <cell r="E158">
            <v>2017</v>
          </cell>
          <cell r="F158">
            <v>2014</v>
          </cell>
        </row>
        <row r="159">
          <cell r="B159" t="str">
            <v>FOSTER CITY</v>
          </cell>
          <cell r="C159">
            <v>0.5</v>
          </cell>
          <cell r="D159">
            <v>8</v>
          </cell>
          <cell r="E159">
            <v>2019</v>
          </cell>
          <cell r="F159">
            <v>2015</v>
          </cell>
        </row>
        <row r="160">
          <cell r="B160" t="str">
            <v>FOUNTAIN VALLEY</v>
          </cell>
          <cell r="C160">
            <v>0.625</v>
          </cell>
          <cell r="D160">
            <v>8</v>
          </cell>
          <cell r="E160">
            <v>2018</v>
          </cell>
          <cell r="F160">
            <v>2014</v>
          </cell>
        </row>
        <row r="161">
          <cell r="B161" t="str">
            <v>FOWLER</v>
          </cell>
          <cell r="C161">
            <v>0.375</v>
          </cell>
          <cell r="D161">
            <v>8</v>
          </cell>
          <cell r="E161">
            <v>2020</v>
          </cell>
          <cell r="F161">
            <v>2016</v>
          </cell>
        </row>
        <row r="162">
          <cell r="B162" t="str">
            <v>FREMONT</v>
          </cell>
          <cell r="C162">
            <v>0.5</v>
          </cell>
          <cell r="D162">
            <v>8</v>
          </cell>
          <cell r="E162">
            <v>2019</v>
          </cell>
          <cell r="F162">
            <v>2015</v>
          </cell>
        </row>
        <row r="163">
          <cell r="B163" t="str">
            <v>FRESNO</v>
          </cell>
          <cell r="C163">
            <v>0.375</v>
          </cell>
          <cell r="D163">
            <v>8</v>
          </cell>
          <cell r="E163">
            <v>2020</v>
          </cell>
          <cell r="F163">
            <v>2016</v>
          </cell>
        </row>
        <row r="164">
          <cell r="B164" t="str">
            <v>FRESNO COUNTY</v>
          </cell>
          <cell r="C164">
            <v>0.375</v>
          </cell>
          <cell r="D164">
            <v>8</v>
          </cell>
          <cell r="E164">
            <v>2020</v>
          </cell>
          <cell r="F164">
            <v>2016</v>
          </cell>
        </row>
        <row r="165">
          <cell r="B165" t="str">
            <v>FULLERTON</v>
          </cell>
          <cell r="C165">
            <v>0.625</v>
          </cell>
          <cell r="D165">
            <v>8</v>
          </cell>
          <cell r="E165">
            <v>2018</v>
          </cell>
          <cell r="F165">
            <v>2014</v>
          </cell>
        </row>
        <row r="166">
          <cell r="B166" t="str">
            <v>GALT</v>
          </cell>
          <cell r="C166">
            <v>0.625</v>
          </cell>
          <cell r="D166">
            <v>8</v>
          </cell>
          <cell r="E166">
            <v>2018</v>
          </cell>
          <cell r="F166">
            <v>2014</v>
          </cell>
        </row>
        <row r="167">
          <cell r="B167" t="str">
            <v>GARDEN GROVE</v>
          </cell>
          <cell r="C167">
            <v>0.625</v>
          </cell>
          <cell r="D167">
            <v>8</v>
          </cell>
          <cell r="E167">
            <v>2018</v>
          </cell>
          <cell r="F167">
            <v>2014</v>
          </cell>
        </row>
        <row r="168">
          <cell r="B168" t="str">
            <v>GARDENA</v>
          </cell>
          <cell r="C168">
            <v>0.625</v>
          </cell>
          <cell r="D168">
            <v>8</v>
          </cell>
          <cell r="E168">
            <v>2018</v>
          </cell>
          <cell r="F168">
            <v>2014</v>
          </cell>
        </row>
        <row r="169">
          <cell r="B169" t="str">
            <v>GILROY</v>
          </cell>
          <cell r="C169">
            <v>0.5</v>
          </cell>
          <cell r="D169">
            <v>8</v>
          </cell>
          <cell r="E169">
            <v>2019</v>
          </cell>
          <cell r="F169">
            <v>2015</v>
          </cell>
        </row>
        <row r="170">
          <cell r="B170" t="str">
            <v>GLENDALE</v>
          </cell>
          <cell r="C170">
            <v>0.625</v>
          </cell>
          <cell r="D170">
            <v>8</v>
          </cell>
          <cell r="E170">
            <v>2018</v>
          </cell>
          <cell r="F170">
            <v>2014</v>
          </cell>
        </row>
        <row r="171">
          <cell r="B171" t="str">
            <v>GLENDORA</v>
          </cell>
          <cell r="C171">
            <v>0.625</v>
          </cell>
          <cell r="D171">
            <v>8</v>
          </cell>
          <cell r="E171">
            <v>2018</v>
          </cell>
          <cell r="F171">
            <v>2014</v>
          </cell>
        </row>
        <row r="172">
          <cell r="B172" t="str">
            <v>GLENN COUNTY</v>
          </cell>
          <cell r="C172">
            <v>1</v>
          </cell>
          <cell r="D172">
            <v>5</v>
          </cell>
          <cell r="E172">
            <v>2017</v>
          </cell>
          <cell r="F172">
            <v>2014</v>
          </cell>
        </row>
        <row r="173">
          <cell r="B173" t="str">
            <v>GOLETA</v>
          </cell>
          <cell r="C173">
            <v>0.5</v>
          </cell>
          <cell r="D173">
            <v>8</v>
          </cell>
          <cell r="E173">
            <v>2019</v>
          </cell>
          <cell r="F173">
            <v>2015</v>
          </cell>
        </row>
        <row r="174">
          <cell r="B174" t="str">
            <v>GONZALES</v>
          </cell>
          <cell r="C174">
            <v>0.375</v>
          </cell>
          <cell r="D174">
            <v>8</v>
          </cell>
          <cell r="E174">
            <v>2020</v>
          </cell>
          <cell r="F174">
            <v>2016</v>
          </cell>
        </row>
        <row r="175">
          <cell r="B175" t="str">
            <v>GRAND TERRACE</v>
          </cell>
          <cell r="C175">
            <v>0.625</v>
          </cell>
          <cell r="D175">
            <v>8</v>
          </cell>
          <cell r="E175">
            <v>2018</v>
          </cell>
          <cell r="F175">
            <v>2014</v>
          </cell>
        </row>
        <row r="176">
          <cell r="B176" t="str">
            <v>GRASS VALLEY</v>
          </cell>
          <cell r="C176">
            <v>1</v>
          </cell>
          <cell r="D176">
            <v>5</v>
          </cell>
          <cell r="E176">
            <v>2017</v>
          </cell>
          <cell r="F176">
            <v>2014</v>
          </cell>
        </row>
        <row r="177">
          <cell r="B177" t="str">
            <v>GREENFIELD</v>
          </cell>
          <cell r="C177">
            <v>0.375</v>
          </cell>
          <cell r="D177">
            <v>8</v>
          </cell>
          <cell r="E177">
            <v>2020</v>
          </cell>
          <cell r="F177">
            <v>2016</v>
          </cell>
        </row>
        <row r="178">
          <cell r="B178" t="str">
            <v>GRIDLEY</v>
          </cell>
          <cell r="C178">
            <v>0.625</v>
          </cell>
          <cell r="D178">
            <v>8</v>
          </cell>
          <cell r="E178">
            <v>2018</v>
          </cell>
          <cell r="F178">
            <v>2014</v>
          </cell>
        </row>
        <row r="179">
          <cell r="B179" t="str">
            <v>GROVER BEACH</v>
          </cell>
          <cell r="C179">
            <v>1</v>
          </cell>
          <cell r="D179">
            <v>5</v>
          </cell>
          <cell r="E179">
            <v>2017</v>
          </cell>
          <cell r="F179">
            <v>2014</v>
          </cell>
        </row>
        <row r="180">
          <cell r="B180" t="str">
            <v>GUADALUPE</v>
          </cell>
          <cell r="C180">
            <v>0.5</v>
          </cell>
          <cell r="D180">
            <v>8</v>
          </cell>
          <cell r="E180">
            <v>2019</v>
          </cell>
          <cell r="F180">
            <v>2015</v>
          </cell>
        </row>
        <row r="181">
          <cell r="B181" t="str">
            <v>GUSTINE</v>
          </cell>
          <cell r="C181">
            <v>0.375</v>
          </cell>
          <cell r="D181">
            <v>8</v>
          </cell>
          <cell r="E181">
            <v>2020</v>
          </cell>
          <cell r="F181">
            <v>2016</v>
          </cell>
        </row>
        <row r="182">
          <cell r="B182" t="str">
            <v>HALF MOON BAY</v>
          </cell>
          <cell r="C182">
            <v>0.5</v>
          </cell>
          <cell r="D182">
            <v>8</v>
          </cell>
          <cell r="E182">
            <v>2019</v>
          </cell>
          <cell r="F182">
            <v>2015</v>
          </cell>
        </row>
        <row r="183">
          <cell r="B183" t="str">
            <v>HANFORD</v>
          </cell>
          <cell r="C183">
            <v>0.375</v>
          </cell>
          <cell r="D183">
            <v>8</v>
          </cell>
          <cell r="E183">
            <v>2020</v>
          </cell>
          <cell r="F183">
            <v>2016</v>
          </cell>
        </row>
        <row r="184">
          <cell r="B184" t="str">
            <v>HAWAIIAN GARDENS</v>
          </cell>
          <cell r="C184">
            <v>0.625</v>
          </cell>
          <cell r="D184">
            <v>8</v>
          </cell>
          <cell r="E184">
            <v>2018</v>
          </cell>
          <cell r="F184">
            <v>2014</v>
          </cell>
        </row>
        <row r="185">
          <cell r="B185" t="str">
            <v>HAWTHORNE</v>
          </cell>
          <cell r="C185">
            <v>0.625</v>
          </cell>
          <cell r="D185">
            <v>8</v>
          </cell>
          <cell r="E185">
            <v>2018</v>
          </cell>
          <cell r="F185">
            <v>2014</v>
          </cell>
        </row>
        <row r="186">
          <cell r="B186" t="str">
            <v>HAYWARD</v>
          </cell>
          <cell r="C186">
            <v>0.5</v>
          </cell>
          <cell r="D186">
            <v>8</v>
          </cell>
          <cell r="E186">
            <v>2019</v>
          </cell>
          <cell r="F186">
            <v>2015</v>
          </cell>
        </row>
        <row r="187">
          <cell r="B187" t="str">
            <v>HEALDSBURG</v>
          </cell>
          <cell r="C187">
            <v>0.5</v>
          </cell>
          <cell r="D187">
            <v>8</v>
          </cell>
          <cell r="E187">
            <v>2019</v>
          </cell>
          <cell r="F187">
            <v>2015</v>
          </cell>
        </row>
        <row r="188">
          <cell r="B188" t="str">
            <v>HEMET</v>
          </cell>
          <cell r="C188">
            <v>0.625</v>
          </cell>
          <cell r="D188">
            <v>8</v>
          </cell>
          <cell r="E188">
            <v>2018</v>
          </cell>
          <cell r="F188">
            <v>2014</v>
          </cell>
        </row>
        <row r="189">
          <cell r="B189" t="str">
            <v>HERCULES</v>
          </cell>
          <cell r="C189">
            <v>0.5</v>
          </cell>
          <cell r="D189">
            <v>8</v>
          </cell>
          <cell r="E189">
            <v>2019</v>
          </cell>
          <cell r="F189">
            <v>2015</v>
          </cell>
        </row>
        <row r="190">
          <cell r="B190" t="str">
            <v>HERMOSA BEACH</v>
          </cell>
          <cell r="C190">
            <v>0.625</v>
          </cell>
          <cell r="D190">
            <v>8</v>
          </cell>
          <cell r="E190">
            <v>2018</v>
          </cell>
          <cell r="F190">
            <v>2014</v>
          </cell>
        </row>
        <row r="191">
          <cell r="B191" t="str">
            <v>HESPERIA</v>
          </cell>
          <cell r="C191">
            <v>0.625</v>
          </cell>
          <cell r="D191">
            <v>8</v>
          </cell>
          <cell r="E191">
            <v>2018</v>
          </cell>
          <cell r="F191">
            <v>2014</v>
          </cell>
        </row>
        <row r="192">
          <cell r="B192" t="str">
            <v>HIDDEN HILLS</v>
          </cell>
          <cell r="C192">
            <v>0.625</v>
          </cell>
          <cell r="D192">
            <v>8</v>
          </cell>
          <cell r="E192">
            <v>2018</v>
          </cell>
          <cell r="F192">
            <v>2014</v>
          </cell>
        </row>
        <row r="193">
          <cell r="B193" t="str">
            <v>HIGHLAND</v>
          </cell>
          <cell r="C193">
            <v>0.625</v>
          </cell>
          <cell r="D193">
            <v>8</v>
          </cell>
          <cell r="E193">
            <v>2018</v>
          </cell>
          <cell r="F193">
            <v>2014</v>
          </cell>
        </row>
        <row r="194">
          <cell r="B194" t="str">
            <v>HILLSBOROUGH</v>
          </cell>
          <cell r="C194">
            <v>0.5</v>
          </cell>
          <cell r="D194">
            <v>8</v>
          </cell>
          <cell r="E194">
            <v>2019</v>
          </cell>
          <cell r="F194">
            <v>2015</v>
          </cell>
        </row>
        <row r="195">
          <cell r="B195" t="str">
            <v>HOLLISTER</v>
          </cell>
          <cell r="C195">
            <v>0.375</v>
          </cell>
          <cell r="D195">
            <v>8</v>
          </cell>
          <cell r="E195">
            <v>2020</v>
          </cell>
          <cell r="F195">
            <v>2016</v>
          </cell>
        </row>
        <row r="196">
          <cell r="B196" t="str">
            <v>HOLTVILLE</v>
          </cell>
          <cell r="C196">
            <v>0.625</v>
          </cell>
          <cell r="D196">
            <v>8</v>
          </cell>
          <cell r="E196">
            <v>2018</v>
          </cell>
          <cell r="F196">
            <v>2014</v>
          </cell>
        </row>
        <row r="197">
          <cell r="B197" t="str">
            <v>HUGHSON</v>
          </cell>
          <cell r="C197">
            <v>0.375</v>
          </cell>
          <cell r="D197">
            <v>8</v>
          </cell>
          <cell r="E197">
            <v>2020</v>
          </cell>
          <cell r="F197">
            <v>2016</v>
          </cell>
        </row>
        <row r="198">
          <cell r="B198" t="str">
            <v>HUMBOLDT COUNTY</v>
          </cell>
          <cell r="C198">
            <v>1</v>
          </cell>
          <cell r="D198">
            <v>5</v>
          </cell>
          <cell r="E198">
            <v>2017</v>
          </cell>
          <cell r="F198">
            <v>2014</v>
          </cell>
        </row>
        <row r="199">
          <cell r="B199" t="str">
            <v>HUNTINGTON BEACH</v>
          </cell>
          <cell r="C199">
            <v>0.625</v>
          </cell>
          <cell r="D199">
            <v>8</v>
          </cell>
          <cell r="E199">
            <v>2018</v>
          </cell>
          <cell r="F199">
            <v>2014</v>
          </cell>
        </row>
        <row r="200">
          <cell r="B200" t="str">
            <v>HUNTINGTON PARK</v>
          </cell>
          <cell r="C200">
            <v>0.625</v>
          </cell>
          <cell r="D200">
            <v>8</v>
          </cell>
          <cell r="E200">
            <v>2018</v>
          </cell>
          <cell r="F200">
            <v>2014</v>
          </cell>
        </row>
        <row r="201">
          <cell r="B201" t="str">
            <v>HURON</v>
          </cell>
          <cell r="C201">
            <v>0.375</v>
          </cell>
          <cell r="D201">
            <v>8</v>
          </cell>
          <cell r="E201">
            <v>2020</v>
          </cell>
          <cell r="F201">
            <v>2016</v>
          </cell>
        </row>
        <row r="202">
          <cell r="B202" t="str">
            <v>IMPERIAL</v>
          </cell>
          <cell r="C202">
            <v>0.625</v>
          </cell>
          <cell r="D202">
            <v>8</v>
          </cell>
          <cell r="E202">
            <v>2018</v>
          </cell>
          <cell r="F202">
            <v>2014</v>
          </cell>
        </row>
        <row r="203">
          <cell r="B203" t="str">
            <v>IMPERIAL BEACH</v>
          </cell>
          <cell r="C203">
            <v>0.75</v>
          </cell>
          <cell r="D203">
            <v>8</v>
          </cell>
          <cell r="E203">
            <v>2017</v>
          </cell>
          <cell r="F203">
            <v>2013</v>
          </cell>
        </row>
        <row r="204">
          <cell r="B204" t="str">
            <v>IMPERIAL COUNTY</v>
          </cell>
          <cell r="C204">
            <v>0.625</v>
          </cell>
          <cell r="D204">
            <v>8</v>
          </cell>
          <cell r="E204">
            <v>2018</v>
          </cell>
          <cell r="F204">
            <v>2014</v>
          </cell>
        </row>
        <row r="205">
          <cell r="B205" t="str">
            <v>INDIAN WELLS</v>
          </cell>
          <cell r="C205">
            <v>0.625</v>
          </cell>
          <cell r="D205">
            <v>8</v>
          </cell>
          <cell r="E205">
            <v>2018</v>
          </cell>
          <cell r="F205">
            <v>2014</v>
          </cell>
        </row>
        <row r="206">
          <cell r="B206" t="str">
            <v>INDIO</v>
          </cell>
          <cell r="C206">
            <v>0.625</v>
          </cell>
          <cell r="D206">
            <v>8</v>
          </cell>
          <cell r="E206">
            <v>2018</v>
          </cell>
          <cell r="F206">
            <v>2014</v>
          </cell>
        </row>
        <row r="207">
          <cell r="B207" t="str">
            <v>INDUSTRY</v>
          </cell>
          <cell r="C207">
            <v>0.625</v>
          </cell>
          <cell r="D207">
            <v>8</v>
          </cell>
          <cell r="E207">
            <v>2018</v>
          </cell>
          <cell r="F207">
            <v>2014</v>
          </cell>
        </row>
        <row r="208">
          <cell r="B208" t="str">
            <v>INGLEWOOD</v>
          </cell>
          <cell r="C208">
            <v>0.625</v>
          </cell>
          <cell r="D208">
            <v>8</v>
          </cell>
          <cell r="E208">
            <v>2018</v>
          </cell>
          <cell r="F208">
            <v>2014</v>
          </cell>
        </row>
        <row r="209">
          <cell r="B209" t="str">
            <v>INYO COUNTY</v>
          </cell>
          <cell r="C209">
            <v>1</v>
          </cell>
          <cell r="D209">
            <v>5</v>
          </cell>
          <cell r="E209">
            <v>2017</v>
          </cell>
          <cell r="F209">
            <v>2014</v>
          </cell>
        </row>
        <row r="210">
          <cell r="B210" t="str">
            <v>IONE</v>
          </cell>
          <cell r="C210">
            <v>1</v>
          </cell>
          <cell r="D210">
            <v>5</v>
          </cell>
          <cell r="E210">
            <v>2017</v>
          </cell>
          <cell r="F210">
            <v>2014</v>
          </cell>
        </row>
        <row r="211">
          <cell r="B211" t="str">
            <v>IRVINE</v>
          </cell>
          <cell r="C211">
            <v>0.625</v>
          </cell>
          <cell r="D211">
            <v>8</v>
          </cell>
          <cell r="E211">
            <v>2018</v>
          </cell>
          <cell r="F211">
            <v>2014</v>
          </cell>
        </row>
        <row r="212">
          <cell r="B212" t="str">
            <v>IRWINDALE</v>
          </cell>
          <cell r="C212">
            <v>0.625</v>
          </cell>
          <cell r="D212">
            <v>8</v>
          </cell>
          <cell r="E212">
            <v>2018</v>
          </cell>
          <cell r="F212">
            <v>2014</v>
          </cell>
        </row>
        <row r="213">
          <cell r="B213" t="str">
            <v>ISLETON</v>
          </cell>
          <cell r="C213">
            <v>0.625</v>
          </cell>
          <cell r="D213">
            <v>8</v>
          </cell>
          <cell r="E213">
            <v>2018</v>
          </cell>
          <cell r="F213">
            <v>2014</v>
          </cell>
        </row>
        <row r="214">
          <cell r="B214" t="str">
            <v>JACKSON</v>
          </cell>
          <cell r="C214">
            <v>1</v>
          </cell>
          <cell r="D214">
            <v>5</v>
          </cell>
          <cell r="E214">
            <v>2017</v>
          </cell>
          <cell r="F214">
            <v>2014</v>
          </cell>
        </row>
        <row r="215">
          <cell r="B215" t="str">
            <v>JURUPA VALLEY</v>
          </cell>
          <cell r="C215">
            <v>0.625</v>
          </cell>
          <cell r="D215">
            <v>8</v>
          </cell>
          <cell r="E215">
            <v>2018</v>
          </cell>
          <cell r="F215">
            <v>2014</v>
          </cell>
        </row>
        <row r="216">
          <cell r="B216" t="str">
            <v>KERMAN</v>
          </cell>
          <cell r="C216">
            <v>0.375</v>
          </cell>
          <cell r="D216">
            <v>8</v>
          </cell>
          <cell r="E216">
            <v>2020</v>
          </cell>
          <cell r="F216">
            <v>2016</v>
          </cell>
        </row>
        <row r="217">
          <cell r="B217" t="str">
            <v>KERN COUNTY</v>
          </cell>
          <cell r="C217">
            <v>0.375</v>
          </cell>
          <cell r="D217">
            <v>8</v>
          </cell>
          <cell r="E217">
            <v>2020</v>
          </cell>
          <cell r="F217">
            <v>2016</v>
          </cell>
        </row>
        <row r="218">
          <cell r="B218" t="str">
            <v>KING CITY</v>
          </cell>
          <cell r="C218">
            <v>0.375</v>
          </cell>
          <cell r="D218">
            <v>8</v>
          </cell>
          <cell r="E218">
            <v>2020</v>
          </cell>
          <cell r="F218">
            <v>2016</v>
          </cell>
        </row>
        <row r="219">
          <cell r="B219" t="str">
            <v>KINGS COUNTY</v>
          </cell>
          <cell r="C219">
            <v>0.375</v>
          </cell>
          <cell r="D219">
            <v>8</v>
          </cell>
          <cell r="E219">
            <v>2020</v>
          </cell>
          <cell r="F219">
            <v>2016</v>
          </cell>
        </row>
        <row r="220">
          <cell r="B220" t="str">
            <v>KINGSBURG</v>
          </cell>
          <cell r="C220">
            <v>0.375</v>
          </cell>
          <cell r="D220">
            <v>8</v>
          </cell>
          <cell r="E220">
            <v>2020</v>
          </cell>
          <cell r="F220">
            <v>2016</v>
          </cell>
        </row>
        <row r="221">
          <cell r="B221" t="str">
            <v>LA CANADA FLINTRIDGE</v>
          </cell>
          <cell r="C221">
            <v>0.625</v>
          </cell>
          <cell r="D221">
            <v>8</v>
          </cell>
          <cell r="E221">
            <v>2018</v>
          </cell>
          <cell r="F221">
            <v>2014</v>
          </cell>
        </row>
        <row r="222">
          <cell r="B222" t="str">
            <v>LA HABRA</v>
          </cell>
          <cell r="C222">
            <v>0.625</v>
          </cell>
          <cell r="D222">
            <v>8</v>
          </cell>
          <cell r="E222">
            <v>2018</v>
          </cell>
          <cell r="F222">
            <v>2014</v>
          </cell>
        </row>
        <row r="223">
          <cell r="B223" t="str">
            <v>LA HABRA HEIGHTS</v>
          </cell>
          <cell r="C223">
            <v>0.625</v>
          </cell>
          <cell r="D223">
            <v>8</v>
          </cell>
          <cell r="E223">
            <v>2018</v>
          </cell>
          <cell r="F223">
            <v>2014</v>
          </cell>
        </row>
        <row r="224">
          <cell r="B224" t="str">
            <v>LA MESA</v>
          </cell>
          <cell r="C224">
            <v>0.75</v>
          </cell>
          <cell r="D224">
            <v>8</v>
          </cell>
          <cell r="E224">
            <v>2017</v>
          </cell>
          <cell r="F224">
            <v>2013</v>
          </cell>
        </row>
        <row r="225">
          <cell r="B225" t="str">
            <v>LA MIRADA</v>
          </cell>
          <cell r="C225">
            <v>0.625</v>
          </cell>
          <cell r="D225">
            <v>8</v>
          </cell>
          <cell r="E225">
            <v>2018</v>
          </cell>
          <cell r="F225">
            <v>2014</v>
          </cell>
        </row>
        <row r="226">
          <cell r="B226" t="str">
            <v>LA PALMA</v>
          </cell>
          <cell r="C226">
            <v>0.625</v>
          </cell>
          <cell r="D226">
            <v>8</v>
          </cell>
          <cell r="E226">
            <v>2018</v>
          </cell>
          <cell r="F226">
            <v>2014</v>
          </cell>
        </row>
        <row r="227">
          <cell r="B227" t="str">
            <v>LA PUENTE</v>
          </cell>
          <cell r="C227">
            <v>0.625</v>
          </cell>
          <cell r="D227">
            <v>8</v>
          </cell>
          <cell r="E227">
            <v>2018</v>
          </cell>
          <cell r="F227">
            <v>2014</v>
          </cell>
        </row>
        <row r="228">
          <cell r="B228" t="str">
            <v>LA QUINTA</v>
          </cell>
          <cell r="C228">
            <v>0.625</v>
          </cell>
          <cell r="D228">
            <v>8</v>
          </cell>
          <cell r="E228">
            <v>2018</v>
          </cell>
          <cell r="F228">
            <v>2014</v>
          </cell>
        </row>
        <row r="229">
          <cell r="B229" t="str">
            <v>LA VERNE</v>
          </cell>
          <cell r="C229">
            <v>0.625</v>
          </cell>
          <cell r="D229">
            <v>8</v>
          </cell>
          <cell r="E229">
            <v>2018</v>
          </cell>
          <cell r="F229">
            <v>2014</v>
          </cell>
        </row>
        <row r="230">
          <cell r="B230" t="str">
            <v>LAFAYETTE</v>
          </cell>
          <cell r="C230">
            <v>0.5</v>
          </cell>
          <cell r="D230">
            <v>8</v>
          </cell>
          <cell r="E230">
            <v>2019</v>
          </cell>
          <cell r="F230">
            <v>2015</v>
          </cell>
        </row>
        <row r="231">
          <cell r="B231" t="str">
            <v>LAGUNA BEACH</v>
          </cell>
          <cell r="C231">
            <v>0.625</v>
          </cell>
          <cell r="D231">
            <v>8</v>
          </cell>
          <cell r="E231">
            <v>2018</v>
          </cell>
          <cell r="F231">
            <v>2014</v>
          </cell>
        </row>
        <row r="232">
          <cell r="B232" t="str">
            <v>LAGUNA HILLS</v>
          </cell>
          <cell r="C232">
            <v>0.625</v>
          </cell>
          <cell r="D232">
            <v>8</v>
          </cell>
          <cell r="E232">
            <v>2018</v>
          </cell>
          <cell r="F232">
            <v>2014</v>
          </cell>
        </row>
        <row r="233">
          <cell r="B233" t="str">
            <v>LAGUNA NIGUEL</v>
          </cell>
          <cell r="C233">
            <v>0.625</v>
          </cell>
          <cell r="D233">
            <v>8</v>
          </cell>
          <cell r="E233">
            <v>2018</v>
          </cell>
          <cell r="F233">
            <v>2014</v>
          </cell>
        </row>
        <row r="234">
          <cell r="B234" t="str">
            <v>LAGUNA WOODS</v>
          </cell>
          <cell r="C234">
            <v>0.625</v>
          </cell>
          <cell r="D234">
            <v>8</v>
          </cell>
          <cell r="E234">
            <v>2018</v>
          </cell>
          <cell r="F234">
            <v>2014</v>
          </cell>
        </row>
        <row r="235">
          <cell r="B235" t="str">
            <v>LAKE COUNTY</v>
          </cell>
          <cell r="C235">
            <v>1</v>
          </cell>
          <cell r="D235">
            <v>5</v>
          </cell>
          <cell r="E235">
            <v>2017</v>
          </cell>
          <cell r="F235">
            <v>2014</v>
          </cell>
        </row>
        <row r="236">
          <cell r="B236" t="str">
            <v>LAKE ELSINORE</v>
          </cell>
          <cell r="C236">
            <v>0.625</v>
          </cell>
          <cell r="D236">
            <v>8</v>
          </cell>
          <cell r="E236">
            <v>2018</v>
          </cell>
          <cell r="F236">
            <v>2014</v>
          </cell>
        </row>
        <row r="237">
          <cell r="B237" t="str">
            <v>LAKE FOREST</v>
          </cell>
          <cell r="C237">
            <v>0.625</v>
          </cell>
          <cell r="D237">
            <v>8</v>
          </cell>
          <cell r="E237">
            <v>2018</v>
          </cell>
          <cell r="F237">
            <v>2014</v>
          </cell>
        </row>
        <row r="238">
          <cell r="B238" t="str">
            <v>LAKEPORT</v>
          </cell>
          <cell r="C238">
            <v>1</v>
          </cell>
          <cell r="D238">
            <v>5</v>
          </cell>
          <cell r="E238">
            <v>2017</v>
          </cell>
          <cell r="F238">
            <v>2014</v>
          </cell>
        </row>
        <row r="239">
          <cell r="B239" t="str">
            <v>LAKEWOOD</v>
          </cell>
          <cell r="C239">
            <v>0.625</v>
          </cell>
          <cell r="D239">
            <v>8</v>
          </cell>
          <cell r="E239">
            <v>2018</v>
          </cell>
          <cell r="F239">
            <v>2014</v>
          </cell>
        </row>
        <row r="240">
          <cell r="B240" t="str">
            <v>LANCASTER</v>
          </cell>
          <cell r="C240">
            <v>0.625</v>
          </cell>
          <cell r="D240">
            <v>8</v>
          </cell>
          <cell r="E240">
            <v>2018</v>
          </cell>
          <cell r="F240">
            <v>2014</v>
          </cell>
        </row>
        <row r="241">
          <cell r="B241" t="str">
            <v>LARKSPUR</v>
          </cell>
          <cell r="C241">
            <v>0.5</v>
          </cell>
          <cell r="D241">
            <v>8</v>
          </cell>
          <cell r="E241">
            <v>2019</v>
          </cell>
          <cell r="F241">
            <v>2015</v>
          </cell>
        </row>
        <row r="242">
          <cell r="B242" t="str">
            <v>LASSEN COUNTY</v>
          </cell>
          <cell r="C242">
            <v>1</v>
          </cell>
          <cell r="D242">
            <v>5</v>
          </cell>
          <cell r="E242">
            <v>2017</v>
          </cell>
          <cell r="F242">
            <v>2014</v>
          </cell>
        </row>
        <row r="243">
          <cell r="B243" t="str">
            <v>LATHROP</v>
          </cell>
          <cell r="C243">
            <v>0.375</v>
          </cell>
          <cell r="D243">
            <v>8</v>
          </cell>
          <cell r="E243">
            <v>2020</v>
          </cell>
          <cell r="F243">
            <v>2016</v>
          </cell>
        </row>
        <row r="244">
          <cell r="B244" t="str">
            <v>LAWNDALE</v>
          </cell>
          <cell r="C244">
            <v>0.625</v>
          </cell>
          <cell r="D244">
            <v>8</v>
          </cell>
          <cell r="E244">
            <v>2018</v>
          </cell>
          <cell r="F244">
            <v>2014</v>
          </cell>
        </row>
        <row r="245">
          <cell r="B245" t="str">
            <v>LEMON GROVE</v>
          </cell>
          <cell r="C245">
            <v>0.75</v>
          </cell>
          <cell r="D245">
            <v>8</v>
          </cell>
          <cell r="E245">
            <v>2017</v>
          </cell>
          <cell r="F245">
            <v>2013</v>
          </cell>
        </row>
        <row r="246">
          <cell r="B246" t="str">
            <v>LEMOORE</v>
          </cell>
          <cell r="C246">
            <v>0.375</v>
          </cell>
          <cell r="D246">
            <v>8</v>
          </cell>
          <cell r="E246">
            <v>2020</v>
          </cell>
          <cell r="F246">
            <v>2016</v>
          </cell>
        </row>
        <row r="247">
          <cell r="B247" t="str">
            <v>LINCOLN</v>
          </cell>
          <cell r="C247">
            <v>0.625</v>
          </cell>
          <cell r="D247">
            <v>8</v>
          </cell>
          <cell r="E247">
            <v>2018</v>
          </cell>
          <cell r="F247">
            <v>2014</v>
          </cell>
        </row>
        <row r="248">
          <cell r="B248" t="str">
            <v>LINDSAY</v>
          </cell>
          <cell r="C248">
            <v>0.375</v>
          </cell>
          <cell r="D248">
            <v>8</v>
          </cell>
          <cell r="E248">
            <v>2020</v>
          </cell>
          <cell r="F248">
            <v>2016</v>
          </cell>
        </row>
        <row r="249">
          <cell r="B249" t="str">
            <v>LIVE OAK</v>
          </cell>
          <cell r="C249">
            <v>0.625</v>
          </cell>
          <cell r="D249">
            <v>8</v>
          </cell>
          <cell r="E249">
            <v>2018</v>
          </cell>
          <cell r="F249">
            <v>2014</v>
          </cell>
        </row>
        <row r="250">
          <cell r="B250" t="str">
            <v>LIVERMORE</v>
          </cell>
          <cell r="C250">
            <v>0.5</v>
          </cell>
          <cell r="D250">
            <v>8</v>
          </cell>
          <cell r="E250">
            <v>2019</v>
          </cell>
          <cell r="F250">
            <v>2015</v>
          </cell>
        </row>
        <row r="251">
          <cell r="B251" t="str">
            <v>LIVINGSTON</v>
          </cell>
          <cell r="C251">
            <v>0.375</v>
          </cell>
          <cell r="D251">
            <v>8</v>
          </cell>
          <cell r="E251">
            <v>2020</v>
          </cell>
          <cell r="F251">
            <v>2016</v>
          </cell>
        </row>
        <row r="252">
          <cell r="B252" t="str">
            <v>LODI</v>
          </cell>
          <cell r="C252">
            <v>0.375</v>
          </cell>
          <cell r="D252">
            <v>8</v>
          </cell>
          <cell r="E252">
            <v>2020</v>
          </cell>
          <cell r="F252">
            <v>2016</v>
          </cell>
        </row>
        <row r="253">
          <cell r="B253" t="str">
            <v>LOMA LINDA</v>
          </cell>
          <cell r="C253">
            <v>0.625</v>
          </cell>
          <cell r="D253">
            <v>8</v>
          </cell>
          <cell r="E253">
            <v>2018</v>
          </cell>
          <cell r="F253">
            <v>2014</v>
          </cell>
        </row>
        <row r="254">
          <cell r="B254" t="str">
            <v>LOMITA</v>
          </cell>
          <cell r="C254">
            <v>0.625</v>
          </cell>
          <cell r="D254">
            <v>8</v>
          </cell>
          <cell r="E254">
            <v>2018</v>
          </cell>
          <cell r="F254">
            <v>2014</v>
          </cell>
        </row>
        <row r="255">
          <cell r="B255" t="str">
            <v>LOMPOC</v>
          </cell>
          <cell r="C255">
            <v>0.5</v>
          </cell>
          <cell r="D255">
            <v>8</v>
          </cell>
          <cell r="E255">
            <v>2019</v>
          </cell>
          <cell r="F255">
            <v>2015</v>
          </cell>
        </row>
        <row r="256">
          <cell r="B256" t="str">
            <v>LONG BEACH</v>
          </cell>
          <cell r="C256">
            <v>0.625</v>
          </cell>
          <cell r="D256">
            <v>8</v>
          </cell>
          <cell r="E256">
            <v>2018</v>
          </cell>
          <cell r="F256">
            <v>2014</v>
          </cell>
        </row>
        <row r="257">
          <cell r="B257" t="str">
            <v>LOOMIS</v>
          </cell>
          <cell r="C257">
            <v>0.625</v>
          </cell>
          <cell r="D257">
            <v>8</v>
          </cell>
          <cell r="E257">
            <v>2018</v>
          </cell>
          <cell r="F257">
            <v>2014</v>
          </cell>
        </row>
        <row r="258">
          <cell r="B258" t="str">
            <v>LOS ALAMITOS</v>
          </cell>
          <cell r="C258">
            <v>0.625</v>
          </cell>
          <cell r="D258">
            <v>8</v>
          </cell>
          <cell r="E258">
            <v>2018</v>
          </cell>
          <cell r="F258">
            <v>2014</v>
          </cell>
        </row>
        <row r="259">
          <cell r="B259" t="str">
            <v>LOS ALTOS</v>
          </cell>
          <cell r="C259">
            <v>0.5</v>
          </cell>
          <cell r="D259">
            <v>8</v>
          </cell>
          <cell r="E259">
            <v>2019</v>
          </cell>
          <cell r="F259">
            <v>2015</v>
          </cell>
        </row>
        <row r="260">
          <cell r="B260" t="str">
            <v>LOS ALTOS HILLS</v>
          </cell>
          <cell r="C260">
            <v>0.5</v>
          </cell>
          <cell r="D260">
            <v>8</v>
          </cell>
          <cell r="E260">
            <v>2019</v>
          </cell>
          <cell r="F260">
            <v>2015</v>
          </cell>
        </row>
        <row r="261">
          <cell r="B261" t="str">
            <v>LOS ANGELES</v>
          </cell>
          <cell r="C261">
            <v>0.625</v>
          </cell>
          <cell r="D261">
            <v>8</v>
          </cell>
          <cell r="E261">
            <v>2018</v>
          </cell>
          <cell r="F261">
            <v>2014</v>
          </cell>
        </row>
        <row r="262">
          <cell r="B262" t="str">
            <v>LOS ANGELES COUNTY</v>
          </cell>
          <cell r="C262">
            <v>0.625</v>
          </cell>
          <cell r="D262">
            <v>8</v>
          </cell>
          <cell r="E262">
            <v>2018</v>
          </cell>
          <cell r="F262">
            <v>2014</v>
          </cell>
        </row>
        <row r="263">
          <cell r="B263" t="str">
            <v>LOS BANOS</v>
          </cell>
          <cell r="C263">
            <v>0.375</v>
          </cell>
          <cell r="D263">
            <v>8</v>
          </cell>
          <cell r="E263">
            <v>2020</v>
          </cell>
          <cell r="F263">
            <v>2016</v>
          </cell>
        </row>
        <row r="264">
          <cell r="B264" t="str">
            <v>LOS GATOS</v>
          </cell>
          <cell r="C264">
            <v>0.5</v>
          </cell>
          <cell r="D264">
            <v>8</v>
          </cell>
          <cell r="E264">
            <v>2019</v>
          </cell>
          <cell r="F264">
            <v>2015</v>
          </cell>
        </row>
        <row r="265">
          <cell r="B265" t="str">
            <v>LOYALTON</v>
          </cell>
          <cell r="C265">
            <v>1</v>
          </cell>
          <cell r="D265">
            <v>5</v>
          </cell>
          <cell r="E265">
            <v>2017</v>
          </cell>
          <cell r="F265">
            <v>2014</v>
          </cell>
        </row>
        <row r="266">
          <cell r="B266" t="str">
            <v>LYNWOOD</v>
          </cell>
          <cell r="C266">
            <v>0.625</v>
          </cell>
          <cell r="D266">
            <v>8</v>
          </cell>
          <cell r="E266">
            <v>2018</v>
          </cell>
          <cell r="F266">
            <v>2014</v>
          </cell>
        </row>
        <row r="267">
          <cell r="B267" t="str">
            <v>MADERA</v>
          </cell>
          <cell r="C267">
            <v>0.375</v>
          </cell>
          <cell r="D267">
            <v>8</v>
          </cell>
          <cell r="E267">
            <v>2020</v>
          </cell>
          <cell r="F267">
            <v>2016</v>
          </cell>
        </row>
        <row r="268">
          <cell r="B268" t="str">
            <v>MADERA COUNTY</v>
          </cell>
          <cell r="C268">
            <v>0.375</v>
          </cell>
          <cell r="D268">
            <v>8</v>
          </cell>
          <cell r="E268">
            <v>2020</v>
          </cell>
          <cell r="F268">
            <v>2016</v>
          </cell>
        </row>
        <row r="269">
          <cell r="B269" t="str">
            <v>MALIBU</v>
          </cell>
          <cell r="C269">
            <v>0.625</v>
          </cell>
          <cell r="D269">
            <v>8</v>
          </cell>
          <cell r="E269">
            <v>2018</v>
          </cell>
          <cell r="F269">
            <v>2014</v>
          </cell>
        </row>
        <row r="270">
          <cell r="B270" t="str">
            <v>MAMMOTH LAKES</v>
          </cell>
          <cell r="C270">
            <v>1</v>
          </cell>
          <cell r="D270">
            <v>5</v>
          </cell>
          <cell r="E270">
            <v>2017</v>
          </cell>
          <cell r="F270">
            <v>2014</v>
          </cell>
        </row>
        <row r="271">
          <cell r="B271" t="str">
            <v>MANHATTAN BEACH</v>
          </cell>
          <cell r="C271">
            <v>0.625</v>
          </cell>
          <cell r="D271">
            <v>8</v>
          </cell>
          <cell r="E271">
            <v>2018</v>
          </cell>
          <cell r="F271">
            <v>2014</v>
          </cell>
        </row>
        <row r="272">
          <cell r="B272" t="str">
            <v>MANTECA</v>
          </cell>
          <cell r="C272">
            <v>0.375</v>
          </cell>
          <cell r="D272">
            <v>8</v>
          </cell>
          <cell r="E272">
            <v>2020</v>
          </cell>
          <cell r="F272">
            <v>2016</v>
          </cell>
        </row>
        <row r="273">
          <cell r="B273" t="str">
            <v>MARICOPA</v>
          </cell>
          <cell r="C273">
            <v>0.375</v>
          </cell>
          <cell r="D273">
            <v>8</v>
          </cell>
          <cell r="E273">
            <v>2020</v>
          </cell>
          <cell r="F273">
            <v>2016</v>
          </cell>
        </row>
        <row r="274">
          <cell r="B274" t="str">
            <v>MARIN COUNTY</v>
          </cell>
          <cell r="C274">
            <v>0.5</v>
          </cell>
          <cell r="D274">
            <v>8</v>
          </cell>
          <cell r="E274">
            <v>2019</v>
          </cell>
          <cell r="F274">
            <v>2015</v>
          </cell>
        </row>
        <row r="275">
          <cell r="B275" t="str">
            <v>MARINA</v>
          </cell>
          <cell r="C275">
            <v>0.375</v>
          </cell>
          <cell r="D275">
            <v>8</v>
          </cell>
          <cell r="E275">
            <v>2020</v>
          </cell>
          <cell r="F275">
            <v>2016</v>
          </cell>
        </row>
        <row r="276">
          <cell r="B276" t="str">
            <v>MARIPOSA COUNTY</v>
          </cell>
          <cell r="C276">
            <v>1</v>
          </cell>
          <cell r="D276">
            <v>5</v>
          </cell>
          <cell r="E276">
            <v>2017</v>
          </cell>
          <cell r="F276">
            <v>2014</v>
          </cell>
        </row>
        <row r="277">
          <cell r="B277" t="str">
            <v>MARTINEZ</v>
          </cell>
          <cell r="C277">
            <v>0.5</v>
          </cell>
          <cell r="D277">
            <v>8</v>
          </cell>
          <cell r="E277">
            <v>2019</v>
          </cell>
          <cell r="F277">
            <v>2015</v>
          </cell>
        </row>
        <row r="278">
          <cell r="B278" t="str">
            <v>MARYSVILLE</v>
          </cell>
          <cell r="C278">
            <v>0.625</v>
          </cell>
          <cell r="D278">
            <v>8</v>
          </cell>
          <cell r="E278">
            <v>2018</v>
          </cell>
          <cell r="F278">
            <v>2014</v>
          </cell>
        </row>
        <row r="279">
          <cell r="B279" t="str">
            <v>MAYWOOD</v>
          </cell>
          <cell r="C279">
            <v>0.625</v>
          </cell>
          <cell r="D279">
            <v>8</v>
          </cell>
          <cell r="E279">
            <v>2018</v>
          </cell>
          <cell r="F279">
            <v>2014</v>
          </cell>
        </row>
        <row r="280">
          <cell r="B280" t="str">
            <v>MCFARLAND</v>
          </cell>
          <cell r="C280">
            <v>0.375</v>
          </cell>
          <cell r="D280">
            <v>8</v>
          </cell>
          <cell r="E280">
            <v>2020</v>
          </cell>
          <cell r="F280">
            <v>2016</v>
          </cell>
        </row>
        <row r="281">
          <cell r="B281" t="str">
            <v>MENDOCINO COUNTY</v>
          </cell>
          <cell r="C281">
            <v>1</v>
          </cell>
          <cell r="D281">
            <v>5</v>
          </cell>
          <cell r="E281">
            <v>2017</v>
          </cell>
          <cell r="F281">
            <v>2014</v>
          </cell>
        </row>
        <row r="282">
          <cell r="B282" t="str">
            <v>MENDOTA</v>
          </cell>
          <cell r="C282">
            <v>0.375</v>
          </cell>
          <cell r="D282">
            <v>8</v>
          </cell>
          <cell r="E282">
            <v>2020</v>
          </cell>
          <cell r="F282">
            <v>2016</v>
          </cell>
        </row>
        <row r="283">
          <cell r="B283" t="str">
            <v>MENIFEE</v>
          </cell>
          <cell r="C283">
            <v>0.625</v>
          </cell>
          <cell r="D283">
            <v>8</v>
          </cell>
          <cell r="E283">
            <v>2018</v>
          </cell>
          <cell r="F283">
            <v>2014</v>
          </cell>
        </row>
        <row r="284">
          <cell r="B284" t="str">
            <v>MENLO PARK</v>
          </cell>
          <cell r="C284">
            <v>0.5</v>
          </cell>
          <cell r="D284">
            <v>8</v>
          </cell>
          <cell r="E284">
            <v>2019</v>
          </cell>
          <cell r="F284">
            <v>2015</v>
          </cell>
        </row>
        <row r="285">
          <cell r="B285" t="str">
            <v>MERCED</v>
          </cell>
          <cell r="C285">
            <v>0.375</v>
          </cell>
          <cell r="D285">
            <v>8</v>
          </cell>
          <cell r="E285">
            <v>2020</v>
          </cell>
          <cell r="F285">
            <v>2016</v>
          </cell>
        </row>
        <row r="286">
          <cell r="B286" t="str">
            <v>MERCED COUNTY</v>
          </cell>
          <cell r="C286">
            <v>0.375</v>
          </cell>
          <cell r="D286">
            <v>8</v>
          </cell>
          <cell r="E286">
            <v>2020</v>
          </cell>
          <cell r="F286">
            <v>2016</v>
          </cell>
        </row>
        <row r="287">
          <cell r="B287" t="str">
            <v>MILL VALLEY</v>
          </cell>
          <cell r="C287">
            <v>0.5</v>
          </cell>
          <cell r="D287">
            <v>8</v>
          </cell>
          <cell r="E287">
            <v>2019</v>
          </cell>
          <cell r="F287">
            <v>2015</v>
          </cell>
        </row>
        <row r="288">
          <cell r="B288" t="str">
            <v>MILLBRAE</v>
          </cell>
          <cell r="C288">
            <v>0.5</v>
          </cell>
          <cell r="D288">
            <v>8</v>
          </cell>
          <cell r="E288">
            <v>2019</v>
          </cell>
          <cell r="F288">
            <v>2015</v>
          </cell>
        </row>
        <row r="289">
          <cell r="B289" t="str">
            <v>MILPITAS</v>
          </cell>
          <cell r="C289">
            <v>0.5</v>
          </cell>
          <cell r="D289">
            <v>8</v>
          </cell>
          <cell r="E289">
            <v>2019</v>
          </cell>
          <cell r="F289">
            <v>2015</v>
          </cell>
        </row>
        <row r="290">
          <cell r="B290" t="str">
            <v>MISSION VIEJO</v>
          </cell>
          <cell r="C290">
            <v>0.625</v>
          </cell>
          <cell r="D290">
            <v>8</v>
          </cell>
          <cell r="E290">
            <v>2018</v>
          </cell>
          <cell r="F290">
            <v>2014</v>
          </cell>
        </row>
        <row r="291">
          <cell r="B291" t="str">
            <v>MODESTO</v>
          </cell>
          <cell r="C291">
            <v>0.375</v>
          </cell>
          <cell r="D291">
            <v>8</v>
          </cell>
          <cell r="E291">
            <v>2020</v>
          </cell>
          <cell r="F291">
            <v>2016</v>
          </cell>
        </row>
        <row r="292">
          <cell r="B292" t="str">
            <v>MODOC COUNTY</v>
          </cell>
          <cell r="C292">
            <v>1</v>
          </cell>
          <cell r="D292">
            <v>5</v>
          </cell>
          <cell r="E292">
            <v>2017</v>
          </cell>
          <cell r="F292">
            <v>2014</v>
          </cell>
        </row>
        <row r="293">
          <cell r="B293" t="str">
            <v>MONO COUNTY</v>
          </cell>
          <cell r="C293">
            <v>1</v>
          </cell>
          <cell r="D293">
            <v>5</v>
          </cell>
          <cell r="E293">
            <v>2017</v>
          </cell>
          <cell r="F293">
            <v>2014</v>
          </cell>
        </row>
        <row r="294">
          <cell r="B294" t="str">
            <v>MONROVIA</v>
          </cell>
          <cell r="C294">
            <v>0.625</v>
          </cell>
          <cell r="D294">
            <v>8</v>
          </cell>
          <cell r="E294">
            <v>2018</v>
          </cell>
          <cell r="F294">
            <v>2014</v>
          </cell>
        </row>
        <row r="295">
          <cell r="B295" t="str">
            <v>MONTAGUE</v>
          </cell>
          <cell r="C295">
            <v>1</v>
          </cell>
          <cell r="D295">
            <v>5</v>
          </cell>
          <cell r="E295">
            <v>2017</v>
          </cell>
          <cell r="F295">
            <v>2014</v>
          </cell>
        </row>
        <row r="296">
          <cell r="B296" t="str">
            <v>MONTCLAIR</v>
          </cell>
          <cell r="C296">
            <v>0.625</v>
          </cell>
          <cell r="D296">
            <v>8</v>
          </cell>
          <cell r="E296">
            <v>2018</v>
          </cell>
          <cell r="F296">
            <v>2014</v>
          </cell>
        </row>
        <row r="297">
          <cell r="B297" t="str">
            <v>MONTE SERENO</v>
          </cell>
          <cell r="C297">
            <v>0.5</v>
          </cell>
          <cell r="D297">
            <v>8</v>
          </cell>
          <cell r="E297">
            <v>2019</v>
          </cell>
          <cell r="F297">
            <v>2015</v>
          </cell>
        </row>
        <row r="298">
          <cell r="B298" t="str">
            <v>MONTEBELLO</v>
          </cell>
          <cell r="C298">
            <v>0.625</v>
          </cell>
          <cell r="D298">
            <v>8</v>
          </cell>
          <cell r="E298">
            <v>2018</v>
          </cell>
          <cell r="F298">
            <v>2014</v>
          </cell>
        </row>
        <row r="299">
          <cell r="B299" t="str">
            <v>MONTEREY</v>
          </cell>
          <cell r="C299">
            <v>0.375</v>
          </cell>
          <cell r="D299">
            <v>8</v>
          </cell>
          <cell r="E299">
            <v>2020</v>
          </cell>
          <cell r="F299">
            <v>2016</v>
          </cell>
        </row>
        <row r="300">
          <cell r="B300" t="str">
            <v>MONTEREY COUNTY</v>
          </cell>
          <cell r="C300">
            <v>0.375</v>
          </cell>
          <cell r="D300">
            <v>8</v>
          </cell>
          <cell r="E300">
            <v>2020</v>
          </cell>
          <cell r="F300">
            <v>2016</v>
          </cell>
        </row>
        <row r="301">
          <cell r="B301" t="str">
            <v>MONTEREY PARK</v>
          </cell>
          <cell r="C301">
            <v>0.625</v>
          </cell>
          <cell r="D301">
            <v>8</v>
          </cell>
          <cell r="E301">
            <v>2018</v>
          </cell>
          <cell r="F301">
            <v>2014</v>
          </cell>
        </row>
        <row r="302">
          <cell r="B302" t="str">
            <v>MOORPARK</v>
          </cell>
          <cell r="C302">
            <v>0.625</v>
          </cell>
          <cell r="D302">
            <v>8</v>
          </cell>
          <cell r="E302">
            <v>2018</v>
          </cell>
          <cell r="F302">
            <v>2014</v>
          </cell>
        </row>
        <row r="303">
          <cell r="B303" t="str">
            <v>MORAGA</v>
          </cell>
          <cell r="C303">
            <v>0.5</v>
          </cell>
          <cell r="D303">
            <v>8</v>
          </cell>
          <cell r="E303">
            <v>2019</v>
          </cell>
          <cell r="F303">
            <v>2015</v>
          </cell>
        </row>
        <row r="304">
          <cell r="B304" t="str">
            <v>MORENO VALLEY</v>
          </cell>
          <cell r="C304">
            <v>0.625</v>
          </cell>
          <cell r="D304">
            <v>8</v>
          </cell>
          <cell r="E304">
            <v>2018</v>
          </cell>
          <cell r="F304">
            <v>2014</v>
          </cell>
        </row>
        <row r="305">
          <cell r="B305" t="str">
            <v>MORGAN HILL</v>
          </cell>
          <cell r="C305">
            <v>0.5</v>
          </cell>
          <cell r="D305">
            <v>8</v>
          </cell>
          <cell r="E305">
            <v>2019</v>
          </cell>
          <cell r="F305">
            <v>2015</v>
          </cell>
        </row>
        <row r="306">
          <cell r="B306" t="str">
            <v>MORRO BAY</v>
          </cell>
          <cell r="C306">
            <v>1</v>
          </cell>
          <cell r="D306">
            <v>5</v>
          </cell>
          <cell r="E306">
            <v>2017</v>
          </cell>
          <cell r="F306">
            <v>2014</v>
          </cell>
        </row>
        <row r="307">
          <cell r="B307" t="str">
            <v>MOUNT SHASTA</v>
          </cell>
          <cell r="C307">
            <v>1</v>
          </cell>
          <cell r="D307">
            <v>5</v>
          </cell>
          <cell r="E307">
            <v>2017</v>
          </cell>
          <cell r="F307">
            <v>2014</v>
          </cell>
        </row>
        <row r="308">
          <cell r="B308" t="str">
            <v>MOUNTAIN VIEW</v>
          </cell>
          <cell r="C308">
            <v>0.5</v>
          </cell>
          <cell r="D308">
            <v>8</v>
          </cell>
          <cell r="E308">
            <v>2019</v>
          </cell>
          <cell r="F308">
            <v>2015</v>
          </cell>
        </row>
        <row r="309">
          <cell r="B309" t="str">
            <v>MURRIETA</v>
          </cell>
          <cell r="C309">
            <v>0.625</v>
          </cell>
          <cell r="D309">
            <v>8</v>
          </cell>
          <cell r="E309">
            <v>2018</v>
          </cell>
          <cell r="F309">
            <v>2014</v>
          </cell>
        </row>
        <row r="310">
          <cell r="B310" t="str">
            <v>NAPA</v>
          </cell>
          <cell r="C310">
            <v>0.5</v>
          </cell>
          <cell r="D310">
            <v>8</v>
          </cell>
          <cell r="E310">
            <v>2019</v>
          </cell>
          <cell r="F310">
            <v>2015</v>
          </cell>
        </row>
        <row r="311">
          <cell r="B311" t="str">
            <v>NAPA COUNTY</v>
          </cell>
          <cell r="C311">
            <v>0.5</v>
          </cell>
          <cell r="D311">
            <v>8</v>
          </cell>
          <cell r="E311">
            <v>2019</v>
          </cell>
          <cell r="F311">
            <v>2015</v>
          </cell>
        </row>
        <row r="312">
          <cell r="B312" t="str">
            <v>NATIONAL CITY</v>
          </cell>
          <cell r="C312">
            <v>0.75</v>
          </cell>
          <cell r="D312">
            <v>8</v>
          </cell>
          <cell r="E312">
            <v>2017</v>
          </cell>
          <cell r="F312">
            <v>2013</v>
          </cell>
        </row>
        <row r="313">
          <cell r="B313" t="str">
            <v>NEEDLES</v>
          </cell>
          <cell r="C313">
            <v>0.625</v>
          </cell>
          <cell r="D313">
            <v>8</v>
          </cell>
          <cell r="E313">
            <v>2018</v>
          </cell>
          <cell r="F313">
            <v>2014</v>
          </cell>
        </row>
        <row r="314">
          <cell r="B314" t="str">
            <v>NEVADA CITY</v>
          </cell>
          <cell r="C314">
            <v>1</v>
          </cell>
          <cell r="D314">
            <v>5</v>
          </cell>
          <cell r="E314">
            <v>2017</v>
          </cell>
          <cell r="F314">
            <v>2014</v>
          </cell>
        </row>
        <row r="315">
          <cell r="B315" t="str">
            <v>NEVADA COUNTY</v>
          </cell>
          <cell r="C315">
            <v>1</v>
          </cell>
          <cell r="D315">
            <v>5</v>
          </cell>
          <cell r="E315">
            <v>2017</v>
          </cell>
          <cell r="F315">
            <v>2014</v>
          </cell>
        </row>
        <row r="316">
          <cell r="B316" t="str">
            <v>NEWARK</v>
          </cell>
          <cell r="C316">
            <v>0.5</v>
          </cell>
          <cell r="D316">
            <v>8</v>
          </cell>
          <cell r="E316">
            <v>2019</v>
          </cell>
          <cell r="F316">
            <v>2015</v>
          </cell>
        </row>
        <row r="317">
          <cell r="B317" t="str">
            <v>NEWMAN</v>
          </cell>
          <cell r="C317">
            <v>0.375</v>
          </cell>
          <cell r="D317">
            <v>8</v>
          </cell>
          <cell r="E317">
            <v>2020</v>
          </cell>
          <cell r="F317">
            <v>2016</v>
          </cell>
        </row>
        <row r="318">
          <cell r="B318" t="str">
            <v>NEWPORT BEACH</v>
          </cell>
          <cell r="C318">
            <v>0.625</v>
          </cell>
          <cell r="D318">
            <v>8</v>
          </cell>
          <cell r="E318">
            <v>2018</v>
          </cell>
          <cell r="F318">
            <v>2014</v>
          </cell>
        </row>
        <row r="319">
          <cell r="B319" t="str">
            <v>NORCO</v>
          </cell>
          <cell r="C319">
            <v>0.625</v>
          </cell>
          <cell r="D319">
            <v>8</v>
          </cell>
          <cell r="E319">
            <v>2018</v>
          </cell>
          <cell r="F319">
            <v>2014</v>
          </cell>
        </row>
        <row r="320">
          <cell r="B320" t="str">
            <v>NORWALK</v>
          </cell>
          <cell r="C320">
            <v>0.625</v>
          </cell>
          <cell r="D320">
            <v>8</v>
          </cell>
          <cell r="E320">
            <v>2018</v>
          </cell>
          <cell r="F320">
            <v>2014</v>
          </cell>
        </row>
        <row r="321">
          <cell r="B321" t="str">
            <v>NOVATO</v>
          </cell>
          <cell r="C321">
            <v>0.5</v>
          </cell>
          <cell r="D321">
            <v>8</v>
          </cell>
          <cell r="E321">
            <v>2019</v>
          </cell>
          <cell r="F321">
            <v>2015</v>
          </cell>
        </row>
        <row r="322">
          <cell r="B322" t="str">
            <v>OAKDALE</v>
          </cell>
          <cell r="C322">
            <v>0.375</v>
          </cell>
          <cell r="D322">
            <v>8</v>
          </cell>
          <cell r="E322">
            <v>2020</v>
          </cell>
          <cell r="F322">
            <v>2016</v>
          </cell>
        </row>
        <row r="323">
          <cell r="B323" t="str">
            <v>OAKLAND</v>
          </cell>
          <cell r="C323">
            <v>0.5</v>
          </cell>
          <cell r="D323">
            <v>8</v>
          </cell>
          <cell r="E323">
            <v>2019</v>
          </cell>
          <cell r="F323">
            <v>2015</v>
          </cell>
        </row>
        <row r="324">
          <cell r="B324" t="str">
            <v>OAKLEY</v>
          </cell>
          <cell r="C324">
            <v>0.5</v>
          </cell>
          <cell r="D324">
            <v>8</v>
          </cell>
          <cell r="E324">
            <v>2019</v>
          </cell>
          <cell r="F324">
            <v>2015</v>
          </cell>
        </row>
        <row r="325">
          <cell r="B325" t="str">
            <v>OCEANSIDE</v>
          </cell>
          <cell r="C325">
            <v>0.75</v>
          </cell>
          <cell r="D325">
            <v>8</v>
          </cell>
          <cell r="E325">
            <v>2017</v>
          </cell>
          <cell r="F325">
            <v>2013</v>
          </cell>
        </row>
        <row r="326">
          <cell r="B326" t="str">
            <v>OJAI</v>
          </cell>
          <cell r="C326">
            <v>0.625</v>
          </cell>
          <cell r="D326">
            <v>8</v>
          </cell>
          <cell r="E326">
            <v>2018</v>
          </cell>
          <cell r="F326">
            <v>2014</v>
          </cell>
        </row>
        <row r="327">
          <cell r="B327" t="str">
            <v>ONTARIO</v>
          </cell>
          <cell r="C327">
            <v>0.625</v>
          </cell>
          <cell r="D327">
            <v>8</v>
          </cell>
          <cell r="E327">
            <v>2018</v>
          </cell>
          <cell r="F327">
            <v>2014</v>
          </cell>
        </row>
        <row r="328">
          <cell r="B328" t="str">
            <v>ORANGE</v>
          </cell>
          <cell r="C328">
            <v>0.625</v>
          </cell>
          <cell r="D328">
            <v>8</v>
          </cell>
          <cell r="E328">
            <v>2018</v>
          </cell>
          <cell r="F328">
            <v>2014</v>
          </cell>
        </row>
        <row r="329">
          <cell r="B329" t="str">
            <v>ORANGE COUNTY</v>
          </cell>
          <cell r="C329">
            <v>0.625</v>
          </cell>
          <cell r="D329">
            <v>8</v>
          </cell>
          <cell r="E329">
            <v>2018</v>
          </cell>
          <cell r="F329">
            <v>2014</v>
          </cell>
        </row>
        <row r="330">
          <cell r="B330" t="str">
            <v>ORANGE COVE</v>
          </cell>
          <cell r="C330">
            <v>0.375</v>
          </cell>
          <cell r="D330">
            <v>8</v>
          </cell>
          <cell r="E330">
            <v>2020</v>
          </cell>
          <cell r="F330">
            <v>2016</v>
          </cell>
        </row>
        <row r="331">
          <cell r="B331" t="str">
            <v>ORINDA</v>
          </cell>
          <cell r="C331">
            <v>0.5</v>
          </cell>
          <cell r="D331">
            <v>8</v>
          </cell>
          <cell r="E331">
            <v>2019</v>
          </cell>
          <cell r="F331">
            <v>2015</v>
          </cell>
        </row>
        <row r="332">
          <cell r="B332" t="str">
            <v>ORLAND</v>
          </cell>
          <cell r="C332">
            <v>1</v>
          </cell>
          <cell r="D332">
            <v>5</v>
          </cell>
          <cell r="E332">
            <v>2017</v>
          </cell>
          <cell r="F332">
            <v>2014</v>
          </cell>
        </row>
        <row r="333">
          <cell r="B333" t="str">
            <v>OROVILLE</v>
          </cell>
          <cell r="C333">
            <v>0.625</v>
          </cell>
          <cell r="D333">
            <v>8</v>
          </cell>
          <cell r="E333">
            <v>2018</v>
          </cell>
          <cell r="F333">
            <v>2014</v>
          </cell>
        </row>
        <row r="334">
          <cell r="B334" t="str">
            <v>OXNARD</v>
          </cell>
          <cell r="C334">
            <v>0.625</v>
          </cell>
          <cell r="D334">
            <v>8</v>
          </cell>
          <cell r="E334">
            <v>2018</v>
          </cell>
          <cell r="F334">
            <v>2014</v>
          </cell>
        </row>
        <row r="335">
          <cell r="B335" t="str">
            <v>PACIFIC GROVE</v>
          </cell>
          <cell r="C335">
            <v>0.375</v>
          </cell>
          <cell r="D335">
            <v>8</v>
          </cell>
          <cell r="E335">
            <v>2020</v>
          </cell>
          <cell r="F335">
            <v>2016</v>
          </cell>
        </row>
        <row r="336">
          <cell r="B336" t="str">
            <v>PACIFICA</v>
          </cell>
          <cell r="C336">
            <v>0.5</v>
          </cell>
          <cell r="D336">
            <v>8</v>
          </cell>
          <cell r="E336">
            <v>2019</v>
          </cell>
          <cell r="F336">
            <v>2015</v>
          </cell>
        </row>
        <row r="337">
          <cell r="B337" t="str">
            <v>PALM DESERT</v>
          </cell>
          <cell r="C337">
            <v>0.625</v>
          </cell>
          <cell r="D337">
            <v>8</v>
          </cell>
          <cell r="E337">
            <v>2018</v>
          </cell>
          <cell r="F337">
            <v>2014</v>
          </cell>
        </row>
        <row r="338">
          <cell r="B338" t="str">
            <v>PALM SPRINGS</v>
          </cell>
          <cell r="C338">
            <v>0.625</v>
          </cell>
          <cell r="D338">
            <v>8</v>
          </cell>
          <cell r="E338">
            <v>2018</v>
          </cell>
          <cell r="F338">
            <v>2014</v>
          </cell>
        </row>
        <row r="339">
          <cell r="B339" t="str">
            <v>PALMDALE</v>
          </cell>
          <cell r="C339">
            <v>0.625</v>
          </cell>
          <cell r="D339">
            <v>8</v>
          </cell>
          <cell r="E339">
            <v>2018</v>
          </cell>
          <cell r="F339">
            <v>2014</v>
          </cell>
        </row>
        <row r="340">
          <cell r="B340" t="str">
            <v>PALO ALTO</v>
          </cell>
          <cell r="C340">
            <v>0.5</v>
          </cell>
          <cell r="D340">
            <v>8</v>
          </cell>
          <cell r="E340">
            <v>2019</v>
          </cell>
          <cell r="F340">
            <v>2015</v>
          </cell>
        </row>
        <row r="341">
          <cell r="B341" t="str">
            <v>PALOS VERDES ESTATES</v>
          </cell>
          <cell r="C341">
            <v>0.625</v>
          </cell>
          <cell r="D341">
            <v>8</v>
          </cell>
          <cell r="E341">
            <v>2018</v>
          </cell>
          <cell r="F341">
            <v>2014</v>
          </cell>
        </row>
        <row r="342">
          <cell r="B342" t="str">
            <v>PARADISE</v>
          </cell>
          <cell r="C342">
            <v>0.625</v>
          </cell>
          <cell r="D342">
            <v>8</v>
          </cell>
          <cell r="E342">
            <v>2018</v>
          </cell>
          <cell r="F342">
            <v>2014</v>
          </cell>
        </row>
        <row r="343">
          <cell r="B343" t="str">
            <v>PARAMOUNT</v>
          </cell>
          <cell r="C343">
            <v>0.625</v>
          </cell>
          <cell r="D343">
            <v>8</v>
          </cell>
          <cell r="E343">
            <v>2018</v>
          </cell>
          <cell r="F343">
            <v>2014</v>
          </cell>
        </row>
        <row r="344">
          <cell r="B344" t="str">
            <v>PARLIER</v>
          </cell>
          <cell r="C344">
            <v>0.375</v>
          </cell>
          <cell r="D344">
            <v>8</v>
          </cell>
          <cell r="E344">
            <v>2020</v>
          </cell>
          <cell r="F344">
            <v>2016</v>
          </cell>
        </row>
        <row r="345">
          <cell r="B345" t="str">
            <v>PASADENA</v>
          </cell>
          <cell r="C345">
            <v>0.625</v>
          </cell>
          <cell r="D345">
            <v>8</v>
          </cell>
          <cell r="E345">
            <v>2018</v>
          </cell>
          <cell r="F345">
            <v>2014</v>
          </cell>
        </row>
        <row r="346">
          <cell r="B346" t="str">
            <v>PASO ROBLES</v>
          </cell>
          <cell r="C346">
            <v>1</v>
          </cell>
          <cell r="D346">
            <v>5</v>
          </cell>
          <cell r="E346">
            <v>2017</v>
          </cell>
          <cell r="F346">
            <v>2014</v>
          </cell>
        </row>
        <row r="347">
          <cell r="B347" t="str">
            <v>PATTERSON</v>
          </cell>
          <cell r="C347">
            <v>0.375</v>
          </cell>
          <cell r="D347">
            <v>8</v>
          </cell>
          <cell r="E347">
            <v>2020</v>
          </cell>
          <cell r="F347">
            <v>2016</v>
          </cell>
        </row>
        <row r="348">
          <cell r="B348" t="str">
            <v>PERRIS</v>
          </cell>
          <cell r="C348">
            <v>0.625</v>
          </cell>
          <cell r="D348">
            <v>8</v>
          </cell>
          <cell r="E348">
            <v>2018</v>
          </cell>
          <cell r="F348">
            <v>2014</v>
          </cell>
        </row>
        <row r="349">
          <cell r="B349" t="str">
            <v>PETALUMA</v>
          </cell>
          <cell r="C349">
            <v>0.5</v>
          </cell>
          <cell r="D349">
            <v>8</v>
          </cell>
          <cell r="E349">
            <v>2019</v>
          </cell>
          <cell r="F349">
            <v>2015</v>
          </cell>
        </row>
        <row r="350">
          <cell r="B350" t="str">
            <v>PICO RIVERA</v>
          </cell>
          <cell r="C350">
            <v>0.625</v>
          </cell>
          <cell r="D350">
            <v>8</v>
          </cell>
          <cell r="E350">
            <v>2018</v>
          </cell>
          <cell r="F350">
            <v>2014</v>
          </cell>
        </row>
        <row r="351">
          <cell r="B351" t="str">
            <v>PIEDMONT</v>
          </cell>
          <cell r="C351">
            <v>0.5</v>
          </cell>
          <cell r="D351">
            <v>8</v>
          </cell>
          <cell r="E351">
            <v>2019</v>
          </cell>
          <cell r="F351">
            <v>2015</v>
          </cell>
        </row>
        <row r="352">
          <cell r="B352" t="str">
            <v>PINOLE</v>
          </cell>
          <cell r="C352">
            <v>0.5</v>
          </cell>
          <cell r="D352">
            <v>8</v>
          </cell>
          <cell r="E352">
            <v>2019</v>
          </cell>
          <cell r="F352">
            <v>2015</v>
          </cell>
        </row>
        <row r="353">
          <cell r="B353" t="str">
            <v>PISMO BEACH</v>
          </cell>
          <cell r="C353">
            <v>1</v>
          </cell>
          <cell r="D353">
            <v>5</v>
          </cell>
          <cell r="E353">
            <v>2017</v>
          </cell>
          <cell r="F353">
            <v>2014</v>
          </cell>
        </row>
        <row r="354">
          <cell r="B354" t="str">
            <v>PITTSBURG</v>
          </cell>
          <cell r="C354">
            <v>0.5</v>
          </cell>
          <cell r="D354">
            <v>8</v>
          </cell>
          <cell r="E354">
            <v>2019</v>
          </cell>
          <cell r="F354">
            <v>2015</v>
          </cell>
        </row>
        <row r="355">
          <cell r="B355" t="str">
            <v>PLACENTIA</v>
          </cell>
          <cell r="C355">
            <v>0.625</v>
          </cell>
          <cell r="D355">
            <v>8</v>
          </cell>
          <cell r="E355">
            <v>2018</v>
          </cell>
          <cell r="F355">
            <v>2014</v>
          </cell>
        </row>
        <row r="356">
          <cell r="B356" t="str">
            <v>PLACER COUNTY</v>
          </cell>
          <cell r="C356">
            <v>0.625</v>
          </cell>
          <cell r="D356">
            <v>8</v>
          </cell>
          <cell r="E356">
            <v>2018</v>
          </cell>
          <cell r="F356">
            <v>2014</v>
          </cell>
        </row>
        <row r="357">
          <cell r="B357" t="str">
            <v>PLACERVILLE</v>
          </cell>
          <cell r="C357">
            <v>0.625</v>
          </cell>
          <cell r="D357">
            <v>8</v>
          </cell>
          <cell r="E357">
            <v>2018</v>
          </cell>
          <cell r="F357">
            <v>2014</v>
          </cell>
        </row>
        <row r="358">
          <cell r="B358" t="str">
            <v>PLEASANT HILL</v>
          </cell>
          <cell r="C358">
            <v>0.5</v>
          </cell>
          <cell r="D358">
            <v>8</v>
          </cell>
          <cell r="E358">
            <v>2019</v>
          </cell>
          <cell r="F358">
            <v>2015</v>
          </cell>
        </row>
        <row r="359">
          <cell r="B359" t="str">
            <v>PLEASANTON</v>
          </cell>
          <cell r="C359">
            <v>0.5</v>
          </cell>
          <cell r="D359">
            <v>8</v>
          </cell>
          <cell r="E359">
            <v>2019</v>
          </cell>
          <cell r="F359">
            <v>2015</v>
          </cell>
        </row>
        <row r="360">
          <cell r="B360" t="str">
            <v>PLUMAS COUNTY</v>
          </cell>
          <cell r="C360">
            <v>1</v>
          </cell>
          <cell r="D360">
            <v>5</v>
          </cell>
          <cell r="E360">
            <v>2017</v>
          </cell>
          <cell r="F360">
            <v>2014</v>
          </cell>
        </row>
        <row r="361">
          <cell r="B361" t="str">
            <v>PLYMOUTH</v>
          </cell>
          <cell r="C361">
            <v>1</v>
          </cell>
          <cell r="D361">
            <v>5</v>
          </cell>
          <cell r="E361">
            <v>2017</v>
          </cell>
          <cell r="F361">
            <v>2014</v>
          </cell>
        </row>
        <row r="362">
          <cell r="B362" t="str">
            <v>POINT ARENA</v>
          </cell>
          <cell r="C362">
            <v>1</v>
          </cell>
          <cell r="D362">
            <v>5</v>
          </cell>
          <cell r="E362">
            <v>2017</v>
          </cell>
          <cell r="F362">
            <v>2014</v>
          </cell>
        </row>
        <row r="363">
          <cell r="B363" t="str">
            <v>POMONA</v>
          </cell>
          <cell r="C363">
            <v>0.625</v>
          </cell>
          <cell r="D363">
            <v>8</v>
          </cell>
          <cell r="E363">
            <v>2018</v>
          </cell>
          <cell r="F363">
            <v>2014</v>
          </cell>
        </row>
        <row r="364">
          <cell r="B364" t="str">
            <v>PORT HUENEME</v>
          </cell>
          <cell r="C364">
            <v>0.625</v>
          </cell>
          <cell r="D364">
            <v>8</v>
          </cell>
          <cell r="E364">
            <v>2018</v>
          </cell>
          <cell r="F364">
            <v>2014</v>
          </cell>
        </row>
        <row r="365">
          <cell r="B365" t="str">
            <v>PORTERVILLE</v>
          </cell>
          <cell r="C365">
            <v>0.375</v>
          </cell>
          <cell r="D365">
            <v>8</v>
          </cell>
          <cell r="E365">
            <v>2020</v>
          </cell>
          <cell r="F365">
            <v>2016</v>
          </cell>
        </row>
        <row r="366">
          <cell r="B366" t="str">
            <v>PORTOLA</v>
          </cell>
          <cell r="C366">
            <v>1</v>
          </cell>
          <cell r="D366">
            <v>5</v>
          </cell>
          <cell r="E366">
            <v>2017</v>
          </cell>
          <cell r="F366">
            <v>2014</v>
          </cell>
        </row>
        <row r="367">
          <cell r="B367" t="str">
            <v>PORTOLA VALLEY</v>
          </cell>
          <cell r="C367">
            <v>0.5</v>
          </cell>
          <cell r="D367">
            <v>8</v>
          </cell>
          <cell r="E367">
            <v>2019</v>
          </cell>
          <cell r="F367">
            <v>2015</v>
          </cell>
        </row>
        <row r="368">
          <cell r="B368" t="str">
            <v>POWAY</v>
          </cell>
          <cell r="C368">
            <v>0.75</v>
          </cell>
          <cell r="D368">
            <v>8</v>
          </cell>
          <cell r="E368">
            <v>2017</v>
          </cell>
          <cell r="F368">
            <v>2013</v>
          </cell>
        </row>
        <row r="369">
          <cell r="B369" t="str">
            <v>RANCHO CORDOVA</v>
          </cell>
          <cell r="C369">
            <v>0.625</v>
          </cell>
          <cell r="D369">
            <v>8</v>
          </cell>
          <cell r="E369">
            <v>2018</v>
          </cell>
          <cell r="F369">
            <v>2014</v>
          </cell>
        </row>
        <row r="370">
          <cell r="B370" t="str">
            <v>RANCHO CUCAMONGA</v>
          </cell>
          <cell r="C370">
            <v>0.625</v>
          </cell>
          <cell r="D370">
            <v>8</v>
          </cell>
          <cell r="E370">
            <v>2018</v>
          </cell>
          <cell r="F370">
            <v>2014</v>
          </cell>
        </row>
        <row r="371">
          <cell r="B371" t="str">
            <v>RANCHO MIRAGE</v>
          </cell>
          <cell r="C371">
            <v>0.625</v>
          </cell>
          <cell r="D371">
            <v>8</v>
          </cell>
          <cell r="E371">
            <v>2018</v>
          </cell>
          <cell r="F371">
            <v>2014</v>
          </cell>
        </row>
        <row r="372">
          <cell r="B372" t="str">
            <v>RANCHO PALOS VERDES</v>
          </cell>
          <cell r="C372">
            <v>0.625</v>
          </cell>
          <cell r="D372">
            <v>8</v>
          </cell>
          <cell r="E372">
            <v>2018</v>
          </cell>
          <cell r="F372">
            <v>2014</v>
          </cell>
        </row>
        <row r="373">
          <cell r="B373" t="str">
            <v>RANCHO ST. MARGARITA</v>
          </cell>
          <cell r="C373">
            <v>0.625</v>
          </cell>
          <cell r="D373">
            <v>8</v>
          </cell>
          <cell r="E373">
            <v>2018</v>
          </cell>
          <cell r="F373">
            <v>2014</v>
          </cell>
        </row>
        <row r="374">
          <cell r="B374" t="str">
            <v>RED BLUFF</v>
          </cell>
          <cell r="C374">
            <v>1</v>
          </cell>
          <cell r="D374">
            <v>5</v>
          </cell>
          <cell r="E374">
            <v>2017</v>
          </cell>
          <cell r="F374">
            <v>2014</v>
          </cell>
        </row>
        <row r="375">
          <cell r="B375" t="str">
            <v>REDDING</v>
          </cell>
          <cell r="C375">
            <v>1</v>
          </cell>
          <cell r="D375">
            <v>5</v>
          </cell>
          <cell r="E375">
            <v>2017</v>
          </cell>
          <cell r="F375">
            <v>2014</v>
          </cell>
        </row>
        <row r="376">
          <cell r="B376" t="str">
            <v>REDLANDS</v>
          </cell>
          <cell r="C376">
            <v>0.625</v>
          </cell>
          <cell r="D376">
            <v>8</v>
          </cell>
          <cell r="E376">
            <v>2018</v>
          </cell>
          <cell r="F376">
            <v>2014</v>
          </cell>
        </row>
        <row r="377">
          <cell r="B377" t="str">
            <v>REDONDO BEACH</v>
          </cell>
          <cell r="C377">
            <v>0.625</v>
          </cell>
          <cell r="D377">
            <v>8</v>
          </cell>
          <cell r="E377">
            <v>2018</v>
          </cell>
          <cell r="F377">
            <v>2014</v>
          </cell>
        </row>
        <row r="378">
          <cell r="B378" t="str">
            <v>REDWOOD CITY</v>
          </cell>
          <cell r="C378">
            <v>0.5</v>
          </cell>
          <cell r="D378">
            <v>8</v>
          </cell>
          <cell r="E378">
            <v>2019</v>
          </cell>
          <cell r="F378">
            <v>2015</v>
          </cell>
        </row>
        <row r="379">
          <cell r="B379" t="str">
            <v>REEDLEY</v>
          </cell>
          <cell r="C379">
            <v>0.375</v>
          </cell>
          <cell r="D379">
            <v>8</v>
          </cell>
          <cell r="E379">
            <v>2020</v>
          </cell>
          <cell r="F379">
            <v>2016</v>
          </cell>
        </row>
        <row r="380">
          <cell r="B380" t="str">
            <v>RIALTO</v>
          </cell>
          <cell r="C380">
            <v>0.625</v>
          </cell>
          <cell r="D380">
            <v>8</v>
          </cell>
          <cell r="E380">
            <v>2018</v>
          </cell>
          <cell r="F380">
            <v>2014</v>
          </cell>
        </row>
        <row r="381">
          <cell r="B381" t="str">
            <v>RICHMOND</v>
          </cell>
          <cell r="C381">
            <v>0.5</v>
          </cell>
          <cell r="D381">
            <v>8</v>
          </cell>
          <cell r="E381">
            <v>2019</v>
          </cell>
          <cell r="F381">
            <v>2015</v>
          </cell>
        </row>
        <row r="382">
          <cell r="B382" t="str">
            <v>RIDGECREST</v>
          </cell>
          <cell r="C382">
            <v>0.375</v>
          </cell>
          <cell r="D382">
            <v>8</v>
          </cell>
          <cell r="E382">
            <v>2020</v>
          </cell>
          <cell r="F382">
            <v>2016</v>
          </cell>
        </row>
        <row r="383">
          <cell r="B383" t="str">
            <v>RIO DELL</v>
          </cell>
          <cell r="C383">
            <v>1</v>
          </cell>
          <cell r="D383">
            <v>5</v>
          </cell>
          <cell r="E383">
            <v>2017</v>
          </cell>
          <cell r="F383">
            <v>2014</v>
          </cell>
        </row>
        <row r="384">
          <cell r="B384" t="str">
            <v>RIO VISTA</v>
          </cell>
          <cell r="C384">
            <v>0.5</v>
          </cell>
          <cell r="D384">
            <v>8</v>
          </cell>
          <cell r="E384">
            <v>2019</v>
          </cell>
          <cell r="F384">
            <v>2015</v>
          </cell>
        </row>
        <row r="385">
          <cell r="B385" t="str">
            <v>RIPON</v>
          </cell>
          <cell r="C385">
            <v>0.375</v>
          </cell>
          <cell r="D385">
            <v>8</v>
          </cell>
          <cell r="E385">
            <v>2020</v>
          </cell>
          <cell r="F385">
            <v>2016</v>
          </cell>
        </row>
        <row r="386">
          <cell r="B386" t="str">
            <v>RIVERBANK</v>
          </cell>
          <cell r="C386">
            <v>0.375</v>
          </cell>
          <cell r="D386">
            <v>8</v>
          </cell>
          <cell r="E386">
            <v>2020</v>
          </cell>
          <cell r="F386">
            <v>2016</v>
          </cell>
        </row>
        <row r="387">
          <cell r="B387" t="str">
            <v>RIVERSIDE</v>
          </cell>
          <cell r="C387">
            <v>0.625</v>
          </cell>
          <cell r="D387">
            <v>8</v>
          </cell>
          <cell r="E387">
            <v>2018</v>
          </cell>
          <cell r="F387">
            <v>2014</v>
          </cell>
        </row>
        <row r="388">
          <cell r="B388" t="str">
            <v>RIVERSIDE COUNTY</v>
          </cell>
          <cell r="C388">
            <v>0.625</v>
          </cell>
          <cell r="D388">
            <v>8</v>
          </cell>
          <cell r="E388">
            <v>2018</v>
          </cell>
          <cell r="F388">
            <v>2014</v>
          </cell>
        </row>
        <row r="389">
          <cell r="B389" t="str">
            <v>ROCKLIN</v>
          </cell>
          <cell r="C389">
            <v>0.625</v>
          </cell>
          <cell r="D389">
            <v>8</v>
          </cell>
          <cell r="E389">
            <v>2018</v>
          </cell>
          <cell r="F389">
            <v>2014</v>
          </cell>
        </row>
        <row r="390">
          <cell r="B390" t="str">
            <v>ROHNERT PARK</v>
          </cell>
          <cell r="C390">
            <v>0.5</v>
          </cell>
          <cell r="D390">
            <v>8</v>
          </cell>
          <cell r="E390">
            <v>2019</v>
          </cell>
          <cell r="F390">
            <v>2015</v>
          </cell>
        </row>
        <row r="391">
          <cell r="B391" t="str">
            <v>ROLLING HILLS</v>
          </cell>
          <cell r="C391">
            <v>0.625</v>
          </cell>
          <cell r="D391">
            <v>8</v>
          </cell>
          <cell r="E391">
            <v>2018</v>
          </cell>
          <cell r="F391">
            <v>2014</v>
          </cell>
        </row>
        <row r="392">
          <cell r="B392" t="str">
            <v>ROLLING HILLS ESTATES</v>
          </cell>
          <cell r="C392">
            <v>0.625</v>
          </cell>
          <cell r="D392">
            <v>8</v>
          </cell>
          <cell r="E392">
            <v>2018</v>
          </cell>
          <cell r="F392">
            <v>2014</v>
          </cell>
        </row>
        <row r="393">
          <cell r="B393" t="str">
            <v>ROSEMEAD</v>
          </cell>
          <cell r="C393">
            <v>0.625</v>
          </cell>
          <cell r="D393">
            <v>8</v>
          </cell>
          <cell r="E393">
            <v>2018</v>
          </cell>
          <cell r="F393">
            <v>2014</v>
          </cell>
        </row>
        <row r="394">
          <cell r="B394" t="str">
            <v>ROSEVILLE</v>
          </cell>
          <cell r="C394">
            <v>0.625</v>
          </cell>
          <cell r="D394">
            <v>8</v>
          </cell>
          <cell r="E394">
            <v>2018</v>
          </cell>
          <cell r="F394">
            <v>2014</v>
          </cell>
        </row>
        <row r="395">
          <cell r="B395" t="str">
            <v>ROSS</v>
          </cell>
          <cell r="C395">
            <v>0.5</v>
          </cell>
          <cell r="D395">
            <v>8</v>
          </cell>
          <cell r="E395">
            <v>2019</v>
          </cell>
          <cell r="F395">
            <v>2015</v>
          </cell>
        </row>
        <row r="396">
          <cell r="B396" t="str">
            <v>SACRAMENTO</v>
          </cell>
          <cell r="C396">
            <v>0.625</v>
          </cell>
          <cell r="D396">
            <v>8</v>
          </cell>
          <cell r="E396">
            <v>2018</v>
          </cell>
          <cell r="F396">
            <v>2014</v>
          </cell>
        </row>
        <row r="397">
          <cell r="B397" t="str">
            <v>SACRAMENTO COUNTY</v>
          </cell>
          <cell r="C397">
            <v>0.625</v>
          </cell>
          <cell r="D397">
            <v>8</v>
          </cell>
          <cell r="E397">
            <v>2018</v>
          </cell>
          <cell r="F397">
            <v>2014</v>
          </cell>
        </row>
        <row r="398">
          <cell r="B398" t="str">
            <v>SAINT HELENA</v>
          </cell>
          <cell r="C398">
            <v>0.5</v>
          </cell>
          <cell r="D398">
            <v>8</v>
          </cell>
          <cell r="E398">
            <v>2019</v>
          </cell>
          <cell r="F398">
            <v>2015</v>
          </cell>
        </row>
        <row r="399">
          <cell r="B399" t="str">
            <v>SALINAS</v>
          </cell>
          <cell r="C399">
            <v>0.375</v>
          </cell>
          <cell r="D399">
            <v>8</v>
          </cell>
          <cell r="E399">
            <v>2020</v>
          </cell>
          <cell r="F399">
            <v>2016</v>
          </cell>
        </row>
        <row r="400">
          <cell r="B400" t="str">
            <v>SAN ANSELMO</v>
          </cell>
          <cell r="C400">
            <v>0.5</v>
          </cell>
          <cell r="D400">
            <v>8</v>
          </cell>
          <cell r="E400">
            <v>2019</v>
          </cell>
          <cell r="F400">
            <v>2015</v>
          </cell>
        </row>
        <row r="401">
          <cell r="B401" t="str">
            <v>SAN BENITO COUNTY</v>
          </cell>
          <cell r="C401">
            <v>0.375</v>
          </cell>
          <cell r="D401">
            <v>8</v>
          </cell>
          <cell r="E401">
            <v>2020</v>
          </cell>
          <cell r="F401">
            <v>2016</v>
          </cell>
        </row>
        <row r="402">
          <cell r="B402" t="str">
            <v>SAN BERNARDINO</v>
          </cell>
          <cell r="C402">
            <v>0.625</v>
          </cell>
          <cell r="D402">
            <v>8</v>
          </cell>
          <cell r="E402">
            <v>2018</v>
          </cell>
          <cell r="F402">
            <v>2014</v>
          </cell>
        </row>
        <row r="403">
          <cell r="B403" t="str">
            <v>SAN BERNARDINO COUNTY</v>
          </cell>
          <cell r="C403">
            <v>0.625</v>
          </cell>
          <cell r="D403">
            <v>8</v>
          </cell>
          <cell r="E403">
            <v>2018</v>
          </cell>
          <cell r="F403">
            <v>2014</v>
          </cell>
        </row>
        <row r="404">
          <cell r="B404" t="str">
            <v>SAN BRUNO</v>
          </cell>
          <cell r="C404">
            <v>0.5</v>
          </cell>
          <cell r="D404">
            <v>8</v>
          </cell>
          <cell r="E404">
            <v>2019</v>
          </cell>
          <cell r="F404">
            <v>2015</v>
          </cell>
        </row>
        <row r="405">
          <cell r="B405" t="str">
            <v>SAN BUENAVENTURA</v>
          </cell>
          <cell r="C405">
            <v>0.625</v>
          </cell>
          <cell r="D405">
            <v>8</v>
          </cell>
          <cell r="E405">
            <v>2018</v>
          </cell>
          <cell r="F405">
            <v>2014</v>
          </cell>
        </row>
        <row r="406">
          <cell r="B406" t="str">
            <v>SAN CARLOS</v>
          </cell>
          <cell r="C406">
            <v>0.5</v>
          </cell>
          <cell r="D406">
            <v>8</v>
          </cell>
          <cell r="E406">
            <v>2019</v>
          </cell>
          <cell r="F406">
            <v>2015</v>
          </cell>
        </row>
        <row r="407">
          <cell r="B407" t="str">
            <v>SAN CLEMENTE</v>
          </cell>
          <cell r="C407">
            <v>0.625</v>
          </cell>
          <cell r="D407">
            <v>8</v>
          </cell>
          <cell r="E407">
            <v>2018</v>
          </cell>
          <cell r="F407">
            <v>2014</v>
          </cell>
        </row>
        <row r="408">
          <cell r="B408" t="str">
            <v>SAN DIEGO</v>
          </cell>
          <cell r="C408">
            <v>0.75</v>
          </cell>
          <cell r="D408">
            <v>8</v>
          </cell>
          <cell r="E408">
            <v>2017</v>
          </cell>
          <cell r="F408">
            <v>2013</v>
          </cell>
        </row>
        <row r="409">
          <cell r="B409" t="str">
            <v>SAN DIEGO COUNTY</v>
          </cell>
          <cell r="C409">
            <v>0.75</v>
          </cell>
          <cell r="D409">
            <v>8</v>
          </cell>
          <cell r="E409">
            <v>2017</v>
          </cell>
          <cell r="F409">
            <v>2013</v>
          </cell>
        </row>
        <row r="410">
          <cell r="B410" t="str">
            <v>SAN DIMAS</v>
          </cell>
          <cell r="C410">
            <v>0.625</v>
          </cell>
          <cell r="D410">
            <v>8</v>
          </cell>
          <cell r="E410">
            <v>2018</v>
          </cell>
          <cell r="F410">
            <v>2014</v>
          </cell>
        </row>
        <row r="411">
          <cell r="B411" t="str">
            <v>SAN FERNANDO</v>
          </cell>
          <cell r="C411">
            <v>0.625</v>
          </cell>
          <cell r="D411">
            <v>8</v>
          </cell>
          <cell r="E411">
            <v>2018</v>
          </cell>
          <cell r="F411">
            <v>2014</v>
          </cell>
        </row>
        <row r="412">
          <cell r="B412" t="str">
            <v>SAN FRANCISCO</v>
          </cell>
          <cell r="C412">
            <v>0.5</v>
          </cell>
          <cell r="D412">
            <v>8</v>
          </cell>
          <cell r="E412">
            <v>2019</v>
          </cell>
          <cell r="F412">
            <v>2015</v>
          </cell>
        </row>
        <row r="413">
          <cell r="B413" t="str">
            <v>SAN GABRIEL</v>
          </cell>
          <cell r="C413">
            <v>0.625</v>
          </cell>
          <cell r="D413">
            <v>8</v>
          </cell>
          <cell r="E413">
            <v>2018</v>
          </cell>
          <cell r="F413">
            <v>2014</v>
          </cell>
        </row>
        <row r="414">
          <cell r="B414" t="str">
            <v>SAN JACINTO</v>
          </cell>
          <cell r="C414">
            <v>0.625</v>
          </cell>
          <cell r="D414">
            <v>8</v>
          </cell>
          <cell r="E414">
            <v>2018</v>
          </cell>
          <cell r="F414">
            <v>2014</v>
          </cell>
        </row>
        <row r="415">
          <cell r="B415" t="str">
            <v>SAN JOAQUIN</v>
          </cell>
          <cell r="C415">
            <v>0.375</v>
          </cell>
          <cell r="D415">
            <v>8</v>
          </cell>
          <cell r="E415">
            <v>2020</v>
          </cell>
          <cell r="F415">
            <v>2016</v>
          </cell>
        </row>
        <row r="416">
          <cell r="B416" t="str">
            <v>SAN JOAQUIN COUNTY</v>
          </cell>
          <cell r="C416">
            <v>0.375</v>
          </cell>
          <cell r="D416">
            <v>8</v>
          </cell>
          <cell r="E416">
            <v>2020</v>
          </cell>
          <cell r="F416">
            <v>2016</v>
          </cell>
        </row>
        <row r="417">
          <cell r="B417" t="str">
            <v>SAN JOSE</v>
          </cell>
          <cell r="C417">
            <v>0.5</v>
          </cell>
          <cell r="D417">
            <v>8</v>
          </cell>
          <cell r="E417">
            <v>2019</v>
          </cell>
          <cell r="F417">
            <v>2015</v>
          </cell>
        </row>
        <row r="418">
          <cell r="B418" t="str">
            <v>SAN JUAN BAUTISTA</v>
          </cell>
          <cell r="C418">
            <v>0.375</v>
          </cell>
          <cell r="D418">
            <v>8</v>
          </cell>
          <cell r="E418">
            <v>2020</v>
          </cell>
          <cell r="F418">
            <v>2016</v>
          </cell>
        </row>
        <row r="419">
          <cell r="B419" t="str">
            <v>SAN JUAN CAPISTRANO</v>
          </cell>
          <cell r="C419">
            <v>0.625</v>
          </cell>
          <cell r="D419">
            <v>8</v>
          </cell>
          <cell r="E419">
            <v>2018</v>
          </cell>
          <cell r="F419">
            <v>2014</v>
          </cell>
        </row>
        <row r="420">
          <cell r="B420" t="str">
            <v>SAN LEANDRO</v>
          </cell>
          <cell r="C420">
            <v>0.5</v>
          </cell>
          <cell r="D420">
            <v>8</v>
          </cell>
          <cell r="E420">
            <v>2019</v>
          </cell>
          <cell r="F420">
            <v>2015</v>
          </cell>
        </row>
        <row r="421">
          <cell r="B421" t="str">
            <v>SAN LUIS OBISPO</v>
          </cell>
          <cell r="C421">
            <v>1</v>
          </cell>
          <cell r="D421">
            <v>5</v>
          </cell>
          <cell r="E421">
            <v>2017</v>
          </cell>
          <cell r="F421">
            <v>2014</v>
          </cell>
        </row>
        <row r="422">
          <cell r="B422" t="str">
            <v>SAN LUIS OBISPO CO.</v>
          </cell>
          <cell r="C422">
            <v>1</v>
          </cell>
          <cell r="D422">
            <v>5</v>
          </cell>
          <cell r="E422">
            <v>2017</v>
          </cell>
          <cell r="F422">
            <v>2014</v>
          </cell>
        </row>
        <row r="423">
          <cell r="B423" t="str">
            <v>SAN MARCOS</v>
          </cell>
          <cell r="C423">
            <v>0.75</v>
          </cell>
          <cell r="D423">
            <v>8</v>
          </cell>
          <cell r="E423">
            <v>2017</v>
          </cell>
          <cell r="F423">
            <v>2013</v>
          </cell>
        </row>
        <row r="424">
          <cell r="B424" t="str">
            <v>SAN MARINO</v>
          </cell>
          <cell r="C424">
            <v>0.625</v>
          </cell>
          <cell r="D424">
            <v>8</v>
          </cell>
          <cell r="E424">
            <v>2018</v>
          </cell>
          <cell r="F424">
            <v>2014</v>
          </cell>
        </row>
        <row r="425">
          <cell r="B425" t="str">
            <v>SAN MATEO</v>
          </cell>
          <cell r="C425">
            <v>0.5</v>
          </cell>
          <cell r="D425">
            <v>8</v>
          </cell>
          <cell r="E425">
            <v>2019</v>
          </cell>
          <cell r="F425">
            <v>2015</v>
          </cell>
        </row>
        <row r="426">
          <cell r="B426" t="str">
            <v>SAN MATEO COUNTY</v>
          </cell>
          <cell r="C426">
            <v>0.5</v>
          </cell>
          <cell r="D426">
            <v>8</v>
          </cell>
          <cell r="E426">
            <v>2019</v>
          </cell>
          <cell r="F426">
            <v>2015</v>
          </cell>
        </row>
        <row r="427">
          <cell r="B427" t="str">
            <v>SAN PABLO</v>
          </cell>
          <cell r="C427">
            <v>0.5</v>
          </cell>
          <cell r="D427">
            <v>8</v>
          </cell>
          <cell r="E427">
            <v>2019</v>
          </cell>
          <cell r="F427">
            <v>2015</v>
          </cell>
        </row>
        <row r="428">
          <cell r="B428" t="str">
            <v>SAN RAFAEL</v>
          </cell>
          <cell r="C428">
            <v>0.5</v>
          </cell>
          <cell r="D428">
            <v>8</v>
          </cell>
          <cell r="E428">
            <v>2019</v>
          </cell>
          <cell r="F428">
            <v>2015</v>
          </cell>
        </row>
        <row r="429">
          <cell r="B429" t="str">
            <v>SAN RAMON</v>
          </cell>
          <cell r="C429">
            <v>0.5</v>
          </cell>
          <cell r="D429">
            <v>8</v>
          </cell>
          <cell r="E429">
            <v>2019</v>
          </cell>
          <cell r="F429">
            <v>2015</v>
          </cell>
        </row>
        <row r="430">
          <cell r="B430" t="str">
            <v>SAND CITY</v>
          </cell>
          <cell r="C430">
            <v>0.375</v>
          </cell>
          <cell r="D430">
            <v>8</v>
          </cell>
          <cell r="E430">
            <v>2020</v>
          </cell>
          <cell r="F430">
            <v>2016</v>
          </cell>
        </row>
        <row r="431">
          <cell r="B431" t="str">
            <v>SANGER</v>
          </cell>
          <cell r="C431">
            <v>0.375</v>
          </cell>
          <cell r="D431">
            <v>8</v>
          </cell>
          <cell r="E431">
            <v>2020</v>
          </cell>
          <cell r="F431">
            <v>2016</v>
          </cell>
        </row>
        <row r="432">
          <cell r="B432" t="str">
            <v>SANTA ANA</v>
          </cell>
          <cell r="C432">
            <v>0.625</v>
          </cell>
          <cell r="D432">
            <v>8</v>
          </cell>
          <cell r="E432">
            <v>2018</v>
          </cell>
          <cell r="F432">
            <v>2014</v>
          </cell>
        </row>
        <row r="433">
          <cell r="B433" t="str">
            <v>SANTA BARBARA</v>
          </cell>
          <cell r="C433">
            <v>0.5</v>
          </cell>
          <cell r="D433">
            <v>8</v>
          </cell>
          <cell r="E433">
            <v>2019</v>
          </cell>
          <cell r="F433">
            <v>2015</v>
          </cell>
        </row>
        <row r="434">
          <cell r="B434" t="str">
            <v>SANTA BARBARA COUNTY</v>
          </cell>
          <cell r="C434">
            <v>0.5</v>
          </cell>
          <cell r="D434">
            <v>8</v>
          </cell>
          <cell r="E434">
            <v>2019</v>
          </cell>
          <cell r="F434">
            <v>2015</v>
          </cell>
        </row>
        <row r="435">
          <cell r="B435" t="str">
            <v>SANTA CLARA</v>
          </cell>
          <cell r="C435">
            <v>0.5</v>
          </cell>
          <cell r="D435">
            <v>8</v>
          </cell>
          <cell r="E435">
            <v>2019</v>
          </cell>
          <cell r="F435">
            <v>2015</v>
          </cell>
        </row>
        <row r="436">
          <cell r="B436" t="str">
            <v>SANTA CLARA COUNTY</v>
          </cell>
          <cell r="C436">
            <v>0.5</v>
          </cell>
          <cell r="D436">
            <v>8</v>
          </cell>
          <cell r="E436">
            <v>2019</v>
          </cell>
          <cell r="F436">
            <v>2015</v>
          </cell>
        </row>
        <row r="437">
          <cell r="B437" t="str">
            <v>SANTA CLARITA</v>
          </cell>
          <cell r="C437">
            <v>0.625</v>
          </cell>
          <cell r="D437">
            <v>8</v>
          </cell>
          <cell r="E437">
            <v>2018</v>
          </cell>
          <cell r="F437">
            <v>2014</v>
          </cell>
        </row>
        <row r="438">
          <cell r="B438" t="str">
            <v>SANTA CRUZ</v>
          </cell>
          <cell r="C438">
            <v>0.375</v>
          </cell>
          <cell r="D438">
            <v>8</v>
          </cell>
          <cell r="E438">
            <v>2020</v>
          </cell>
          <cell r="F438">
            <v>2016</v>
          </cell>
        </row>
        <row r="439">
          <cell r="B439" t="str">
            <v>SANTA CRUZ COUNTY</v>
          </cell>
          <cell r="C439">
            <v>0.375</v>
          </cell>
          <cell r="D439">
            <v>8</v>
          </cell>
          <cell r="E439">
            <v>2020</v>
          </cell>
          <cell r="F439">
            <v>2016</v>
          </cell>
        </row>
        <row r="440">
          <cell r="B440" t="str">
            <v>SANTA FE SPRINGS</v>
          </cell>
          <cell r="C440">
            <v>0.625</v>
          </cell>
          <cell r="D440">
            <v>8</v>
          </cell>
          <cell r="E440">
            <v>2018</v>
          </cell>
          <cell r="F440">
            <v>2014</v>
          </cell>
        </row>
        <row r="441">
          <cell r="B441" t="str">
            <v>SANTA MARIA</v>
          </cell>
          <cell r="C441">
            <v>0.5</v>
          </cell>
          <cell r="D441">
            <v>8</v>
          </cell>
          <cell r="E441">
            <v>2019</v>
          </cell>
          <cell r="F441">
            <v>2015</v>
          </cell>
        </row>
        <row r="442">
          <cell r="B442" t="str">
            <v>SANTA MONICA</v>
          </cell>
          <cell r="C442">
            <v>0.625</v>
          </cell>
          <cell r="D442">
            <v>8</v>
          </cell>
          <cell r="E442">
            <v>2018</v>
          </cell>
          <cell r="F442">
            <v>2014</v>
          </cell>
        </row>
        <row r="443">
          <cell r="B443" t="str">
            <v>SANTA PAULA</v>
          </cell>
          <cell r="C443">
            <v>0.625</v>
          </cell>
          <cell r="D443">
            <v>8</v>
          </cell>
          <cell r="E443">
            <v>2018</v>
          </cell>
          <cell r="F443">
            <v>2014</v>
          </cell>
        </row>
        <row r="444">
          <cell r="B444" t="str">
            <v>SANTA ROSA</v>
          </cell>
          <cell r="C444">
            <v>0.5</v>
          </cell>
          <cell r="D444">
            <v>8</v>
          </cell>
          <cell r="E444">
            <v>2019</v>
          </cell>
          <cell r="F444">
            <v>2015</v>
          </cell>
        </row>
        <row r="445">
          <cell r="B445" t="str">
            <v>SANTEE</v>
          </cell>
          <cell r="C445">
            <v>0.75</v>
          </cell>
          <cell r="D445">
            <v>8</v>
          </cell>
          <cell r="E445">
            <v>2017</v>
          </cell>
          <cell r="F445">
            <v>2013</v>
          </cell>
        </row>
        <row r="446">
          <cell r="B446" t="str">
            <v>SARATOGA</v>
          </cell>
          <cell r="C446">
            <v>0.5</v>
          </cell>
          <cell r="D446">
            <v>8</v>
          </cell>
          <cell r="E446">
            <v>2019</v>
          </cell>
          <cell r="F446">
            <v>2015</v>
          </cell>
        </row>
        <row r="447">
          <cell r="B447" t="str">
            <v>SAUSALITO</v>
          </cell>
          <cell r="C447">
            <v>0.5</v>
          </cell>
          <cell r="D447">
            <v>8</v>
          </cell>
          <cell r="E447">
            <v>2019</v>
          </cell>
          <cell r="F447">
            <v>2015</v>
          </cell>
        </row>
        <row r="448">
          <cell r="B448" t="str">
            <v>SCOTTS VALLEY</v>
          </cell>
          <cell r="C448">
            <v>0.375</v>
          </cell>
          <cell r="D448">
            <v>8</v>
          </cell>
          <cell r="E448">
            <v>2020</v>
          </cell>
          <cell r="F448">
            <v>2016</v>
          </cell>
        </row>
        <row r="449">
          <cell r="B449" t="str">
            <v>SEAL BEACH</v>
          </cell>
          <cell r="C449">
            <v>0.625</v>
          </cell>
          <cell r="D449">
            <v>8</v>
          </cell>
          <cell r="E449">
            <v>2018</v>
          </cell>
          <cell r="F449">
            <v>2014</v>
          </cell>
        </row>
        <row r="450">
          <cell r="B450" t="str">
            <v>SEASIDE</v>
          </cell>
          <cell r="C450">
            <v>0.375</v>
          </cell>
          <cell r="D450">
            <v>8</v>
          </cell>
          <cell r="E450">
            <v>2020</v>
          </cell>
          <cell r="F450">
            <v>2016</v>
          </cell>
        </row>
        <row r="451">
          <cell r="B451" t="str">
            <v>SEBASTOPOL</v>
          </cell>
          <cell r="C451">
            <v>0.5</v>
          </cell>
          <cell r="D451">
            <v>8</v>
          </cell>
          <cell r="E451">
            <v>2019</v>
          </cell>
          <cell r="F451">
            <v>2015</v>
          </cell>
        </row>
        <row r="452">
          <cell r="B452" t="str">
            <v>SELMA</v>
          </cell>
          <cell r="C452">
            <v>0.375</v>
          </cell>
          <cell r="D452">
            <v>8</v>
          </cell>
          <cell r="E452">
            <v>2020</v>
          </cell>
          <cell r="F452">
            <v>2016</v>
          </cell>
        </row>
        <row r="453">
          <cell r="B453" t="str">
            <v>SHAFTER</v>
          </cell>
          <cell r="C453">
            <v>0.375</v>
          </cell>
          <cell r="D453">
            <v>8</v>
          </cell>
          <cell r="E453">
            <v>2020</v>
          </cell>
          <cell r="F453">
            <v>2016</v>
          </cell>
        </row>
        <row r="454">
          <cell r="B454" t="str">
            <v>SHASTA COUNTY</v>
          </cell>
          <cell r="C454">
            <v>1</v>
          </cell>
          <cell r="D454">
            <v>5</v>
          </cell>
          <cell r="E454">
            <v>2017</v>
          </cell>
          <cell r="F454">
            <v>2014</v>
          </cell>
        </row>
        <row r="455">
          <cell r="B455" t="str">
            <v>SHASTA LAKE</v>
          </cell>
          <cell r="C455">
            <v>1</v>
          </cell>
          <cell r="D455">
            <v>5</v>
          </cell>
          <cell r="E455">
            <v>2017</v>
          </cell>
          <cell r="F455">
            <v>2014</v>
          </cell>
        </row>
        <row r="456">
          <cell r="B456" t="str">
            <v>SIERRA COUNTY</v>
          </cell>
          <cell r="C456">
            <v>1</v>
          </cell>
          <cell r="D456">
            <v>5</v>
          </cell>
          <cell r="E456">
            <v>2017</v>
          </cell>
          <cell r="F456">
            <v>2014</v>
          </cell>
        </row>
        <row r="457">
          <cell r="B457" t="str">
            <v>SIERRA MADRE</v>
          </cell>
          <cell r="C457">
            <v>0.625</v>
          </cell>
          <cell r="D457">
            <v>8</v>
          </cell>
          <cell r="E457">
            <v>2018</v>
          </cell>
          <cell r="F457">
            <v>2014</v>
          </cell>
        </row>
        <row r="458">
          <cell r="B458" t="str">
            <v>SIGNAL HILL</v>
          </cell>
          <cell r="C458">
            <v>0.625</v>
          </cell>
          <cell r="D458">
            <v>8</v>
          </cell>
          <cell r="E458">
            <v>2018</v>
          </cell>
          <cell r="F458">
            <v>2014</v>
          </cell>
        </row>
        <row r="459">
          <cell r="B459" t="str">
            <v>SIMI VALLEY</v>
          </cell>
          <cell r="C459">
            <v>0.625</v>
          </cell>
          <cell r="D459">
            <v>8</v>
          </cell>
          <cell r="E459">
            <v>2018</v>
          </cell>
          <cell r="F459">
            <v>2014</v>
          </cell>
        </row>
        <row r="460">
          <cell r="B460" t="str">
            <v>SISKIYOU COUNTY</v>
          </cell>
          <cell r="C460">
            <v>1</v>
          </cell>
          <cell r="D460">
            <v>5</v>
          </cell>
          <cell r="E460">
            <v>2017</v>
          </cell>
          <cell r="F460">
            <v>2014</v>
          </cell>
        </row>
        <row r="461">
          <cell r="B461" t="str">
            <v>SOLANA BEACH</v>
          </cell>
          <cell r="C461">
            <v>0.75</v>
          </cell>
          <cell r="D461">
            <v>8</v>
          </cell>
          <cell r="E461">
            <v>2017</v>
          </cell>
          <cell r="F461">
            <v>2013</v>
          </cell>
        </row>
        <row r="462">
          <cell r="B462" t="str">
            <v>SOLANO COUNTY</v>
          </cell>
          <cell r="C462">
            <v>0.5</v>
          </cell>
          <cell r="D462">
            <v>8</v>
          </cell>
          <cell r="E462">
            <v>2019</v>
          </cell>
          <cell r="F462">
            <v>2015</v>
          </cell>
        </row>
        <row r="463">
          <cell r="B463" t="str">
            <v>SOLEDAD</v>
          </cell>
          <cell r="C463">
            <v>0.375</v>
          </cell>
          <cell r="D463">
            <v>8</v>
          </cell>
          <cell r="E463">
            <v>2020</v>
          </cell>
          <cell r="F463">
            <v>2016</v>
          </cell>
        </row>
        <row r="464">
          <cell r="B464" t="str">
            <v>SOLVANG</v>
          </cell>
          <cell r="C464">
            <v>0.5</v>
          </cell>
          <cell r="D464">
            <v>8</v>
          </cell>
          <cell r="E464">
            <v>2019</v>
          </cell>
          <cell r="F464">
            <v>2015</v>
          </cell>
        </row>
        <row r="465">
          <cell r="B465" t="str">
            <v>SONOMA</v>
          </cell>
          <cell r="C465">
            <v>0.5</v>
          </cell>
          <cell r="D465">
            <v>8</v>
          </cell>
          <cell r="E465">
            <v>2019</v>
          </cell>
          <cell r="F465">
            <v>2015</v>
          </cell>
        </row>
        <row r="466">
          <cell r="B466" t="str">
            <v>SONOMA COUNTY</v>
          </cell>
          <cell r="C466">
            <v>0.5</v>
          </cell>
          <cell r="D466">
            <v>8</v>
          </cell>
          <cell r="E466">
            <v>2019</v>
          </cell>
          <cell r="F466">
            <v>2015</v>
          </cell>
        </row>
        <row r="467">
          <cell r="B467" t="str">
            <v>SONORA</v>
          </cell>
          <cell r="C467">
            <v>1</v>
          </cell>
          <cell r="D467">
            <v>5</v>
          </cell>
          <cell r="E467">
            <v>2017</v>
          </cell>
          <cell r="F467">
            <v>2014</v>
          </cell>
        </row>
        <row r="468">
          <cell r="B468" t="str">
            <v>SOUTH EL MONTE</v>
          </cell>
          <cell r="C468">
            <v>0.625</v>
          </cell>
          <cell r="D468">
            <v>8</v>
          </cell>
          <cell r="E468">
            <v>2018</v>
          </cell>
          <cell r="F468">
            <v>2014</v>
          </cell>
        </row>
        <row r="469">
          <cell r="B469" t="str">
            <v>SOUTH GATE</v>
          </cell>
          <cell r="C469">
            <v>0.625</v>
          </cell>
          <cell r="D469">
            <v>8</v>
          </cell>
          <cell r="E469">
            <v>2018</v>
          </cell>
          <cell r="F469">
            <v>2014</v>
          </cell>
        </row>
        <row r="470">
          <cell r="B470" t="str">
            <v>SOUTH LAKE TAHOE</v>
          </cell>
          <cell r="C470">
            <v>0.625</v>
          </cell>
          <cell r="D470">
            <v>8</v>
          </cell>
          <cell r="E470">
            <v>2018</v>
          </cell>
          <cell r="F470">
            <v>2014</v>
          </cell>
        </row>
        <row r="471">
          <cell r="B471" t="str">
            <v>SOUTH PASADENA</v>
          </cell>
          <cell r="C471">
            <v>0.625</v>
          </cell>
          <cell r="D471">
            <v>8</v>
          </cell>
          <cell r="E471">
            <v>2018</v>
          </cell>
          <cell r="F471">
            <v>2014</v>
          </cell>
        </row>
        <row r="472">
          <cell r="B472" t="str">
            <v>SOUTH SAN FRANCISCO</v>
          </cell>
          <cell r="C472">
            <v>0.5</v>
          </cell>
          <cell r="D472">
            <v>8</v>
          </cell>
          <cell r="E472">
            <v>2019</v>
          </cell>
          <cell r="F472">
            <v>2015</v>
          </cell>
        </row>
        <row r="473">
          <cell r="B473" t="str">
            <v>STANISLAUS COUNTY</v>
          </cell>
          <cell r="C473">
            <v>0.375</v>
          </cell>
          <cell r="D473">
            <v>8</v>
          </cell>
          <cell r="E473">
            <v>2020</v>
          </cell>
          <cell r="F473">
            <v>2016</v>
          </cell>
        </row>
        <row r="474">
          <cell r="B474" t="str">
            <v>STANTON</v>
          </cell>
          <cell r="C474">
            <v>0.625</v>
          </cell>
          <cell r="D474">
            <v>8</v>
          </cell>
          <cell r="E474">
            <v>2018</v>
          </cell>
          <cell r="F474">
            <v>2014</v>
          </cell>
        </row>
        <row r="475">
          <cell r="B475" t="str">
            <v>STOCKTON</v>
          </cell>
          <cell r="C475">
            <v>0.375</v>
          </cell>
          <cell r="D475">
            <v>8</v>
          </cell>
          <cell r="E475">
            <v>2020</v>
          </cell>
          <cell r="F475">
            <v>2016</v>
          </cell>
        </row>
        <row r="476">
          <cell r="B476" t="str">
            <v>SUISUN CITY</v>
          </cell>
          <cell r="C476">
            <v>0.5</v>
          </cell>
          <cell r="D476">
            <v>8</v>
          </cell>
          <cell r="E476">
            <v>2019</v>
          </cell>
          <cell r="F476">
            <v>2015</v>
          </cell>
        </row>
        <row r="477">
          <cell r="B477" t="str">
            <v>SUNNYVALE</v>
          </cell>
          <cell r="C477">
            <v>0.5</v>
          </cell>
          <cell r="D477">
            <v>8</v>
          </cell>
          <cell r="E477">
            <v>2019</v>
          </cell>
          <cell r="F477">
            <v>2015</v>
          </cell>
        </row>
        <row r="478">
          <cell r="B478" t="str">
            <v>SUSANVILLE</v>
          </cell>
          <cell r="C478">
            <v>1</v>
          </cell>
          <cell r="D478">
            <v>5</v>
          </cell>
          <cell r="E478">
            <v>2017</v>
          </cell>
          <cell r="F478">
            <v>2014</v>
          </cell>
        </row>
        <row r="479">
          <cell r="B479" t="str">
            <v>SUTTER COUNTY</v>
          </cell>
          <cell r="C479">
            <v>0.625</v>
          </cell>
          <cell r="D479">
            <v>8</v>
          </cell>
          <cell r="E479">
            <v>2018</v>
          </cell>
          <cell r="F479">
            <v>2014</v>
          </cell>
        </row>
        <row r="480">
          <cell r="B480" t="str">
            <v>SUTTER CREEK</v>
          </cell>
          <cell r="C480">
            <v>1</v>
          </cell>
          <cell r="D480">
            <v>5</v>
          </cell>
          <cell r="E480">
            <v>2017</v>
          </cell>
          <cell r="F480">
            <v>2014</v>
          </cell>
        </row>
        <row r="481">
          <cell r="B481" t="str">
            <v>TAFT</v>
          </cell>
          <cell r="C481">
            <v>0.375</v>
          </cell>
          <cell r="D481">
            <v>8</v>
          </cell>
          <cell r="E481">
            <v>2020</v>
          </cell>
          <cell r="F481">
            <v>2016</v>
          </cell>
        </row>
        <row r="482">
          <cell r="B482" t="str">
            <v>TEHACHAPI</v>
          </cell>
          <cell r="C482">
            <v>0.375</v>
          </cell>
          <cell r="D482">
            <v>8</v>
          </cell>
          <cell r="E482">
            <v>2020</v>
          </cell>
          <cell r="F482">
            <v>2016</v>
          </cell>
        </row>
        <row r="483">
          <cell r="B483" t="str">
            <v>TEHAMA</v>
          </cell>
          <cell r="C483">
            <v>1</v>
          </cell>
          <cell r="D483">
            <v>5</v>
          </cell>
          <cell r="E483">
            <v>2017</v>
          </cell>
          <cell r="F483">
            <v>2014</v>
          </cell>
        </row>
        <row r="484">
          <cell r="B484" t="str">
            <v>TEHAMA COUNTY</v>
          </cell>
          <cell r="C484">
            <v>1</v>
          </cell>
          <cell r="D484">
            <v>5</v>
          </cell>
          <cell r="E484">
            <v>2017</v>
          </cell>
          <cell r="F484">
            <v>2014</v>
          </cell>
        </row>
        <row r="485">
          <cell r="B485" t="str">
            <v>TEMECULA</v>
          </cell>
          <cell r="C485">
            <v>0.625</v>
          </cell>
          <cell r="D485">
            <v>8</v>
          </cell>
          <cell r="E485">
            <v>2018</v>
          </cell>
          <cell r="F485">
            <v>2014</v>
          </cell>
        </row>
        <row r="486">
          <cell r="B486" t="str">
            <v>TEMPLE CITY</v>
          </cell>
          <cell r="C486">
            <v>0.625</v>
          </cell>
          <cell r="D486">
            <v>8</v>
          </cell>
          <cell r="E486">
            <v>2018</v>
          </cell>
          <cell r="F486">
            <v>2014</v>
          </cell>
        </row>
        <row r="487">
          <cell r="B487" t="str">
            <v>THOUSAND OAKS</v>
          </cell>
          <cell r="C487">
            <v>0.625</v>
          </cell>
          <cell r="D487">
            <v>8</v>
          </cell>
          <cell r="E487">
            <v>2018</v>
          </cell>
          <cell r="F487">
            <v>2014</v>
          </cell>
        </row>
        <row r="488">
          <cell r="B488" t="str">
            <v>TIBURON</v>
          </cell>
          <cell r="C488">
            <v>0.5</v>
          </cell>
          <cell r="D488">
            <v>8</v>
          </cell>
          <cell r="E488">
            <v>2019</v>
          </cell>
          <cell r="F488">
            <v>2015</v>
          </cell>
        </row>
        <row r="489">
          <cell r="B489" t="str">
            <v>TORRANCE</v>
          </cell>
          <cell r="C489">
            <v>0.625</v>
          </cell>
          <cell r="D489">
            <v>8</v>
          </cell>
          <cell r="E489">
            <v>2018</v>
          </cell>
          <cell r="F489">
            <v>2014</v>
          </cell>
        </row>
        <row r="490">
          <cell r="B490" t="str">
            <v>TRACY</v>
          </cell>
          <cell r="C490">
            <v>0.375</v>
          </cell>
          <cell r="D490">
            <v>8</v>
          </cell>
          <cell r="E490">
            <v>2020</v>
          </cell>
          <cell r="F490">
            <v>2016</v>
          </cell>
        </row>
        <row r="491">
          <cell r="B491" t="str">
            <v>TRINIDAD</v>
          </cell>
          <cell r="C491">
            <v>1</v>
          </cell>
          <cell r="D491">
            <v>5</v>
          </cell>
          <cell r="E491">
            <v>2017</v>
          </cell>
          <cell r="F491">
            <v>2014</v>
          </cell>
        </row>
        <row r="492">
          <cell r="B492" t="str">
            <v>TRINITY COUNTY</v>
          </cell>
          <cell r="C492">
            <v>1</v>
          </cell>
          <cell r="D492">
            <v>5</v>
          </cell>
          <cell r="E492">
            <v>2017</v>
          </cell>
          <cell r="F492">
            <v>2014</v>
          </cell>
        </row>
        <row r="493">
          <cell r="B493" t="str">
            <v>TRUCKEE</v>
          </cell>
          <cell r="C493">
            <v>1</v>
          </cell>
          <cell r="D493">
            <v>5</v>
          </cell>
          <cell r="E493">
            <v>2017</v>
          </cell>
          <cell r="F493">
            <v>2014</v>
          </cell>
        </row>
        <row r="494">
          <cell r="B494" t="str">
            <v>TULARE</v>
          </cell>
          <cell r="C494">
            <v>0.375</v>
          </cell>
          <cell r="D494">
            <v>8</v>
          </cell>
          <cell r="E494">
            <v>2020</v>
          </cell>
          <cell r="F494">
            <v>2016</v>
          </cell>
        </row>
        <row r="495">
          <cell r="B495" t="str">
            <v>TULARE COUNTY</v>
          </cell>
          <cell r="C495">
            <v>0.375</v>
          </cell>
          <cell r="D495">
            <v>8</v>
          </cell>
          <cell r="E495">
            <v>2020</v>
          </cell>
          <cell r="F495">
            <v>2016</v>
          </cell>
        </row>
        <row r="496">
          <cell r="B496" t="str">
            <v>TULELAKE</v>
          </cell>
          <cell r="C496">
            <v>1</v>
          </cell>
          <cell r="D496">
            <v>5</v>
          </cell>
          <cell r="E496">
            <v>2017</v>
          </cell>
          <cell r="F496">
            <v>2014</v>
          </cell>
        </row>
        <row r="497">
          <cell r="B497" t="str">
            <v>TUOLUMNE COUNTY</v>
          </cell>
          <cell r="C497">
            <v>1</v>
          </cell>
          <cell r="D497">
            <v>5</v>
          </cell>
          <cell r="E497">
            <v>2017</v>
          </cell>
          <cell r="F497">
            <v>2014</v>
          </cell>
        </row>
        <row r="498">
          <cell r="B498" t="str">
            <v>TURLOCK</v>
          </cell>
          <cell r="C498">
            <v>0.375</v>
          </cell>
          <cell r="D498">
            <v>8</v>
          </cell>
          <cell r="E498">
            <v>2020</v>
          </cell>
          <cell r="F498">
            <v>2016</v>
          </cell>
        </row>
        <row r="499">
          <cell r="B499" t="str">
            <v>TUSTIN</v>
          </cell>
          <cell r="C499">
            <v>0.625</v>
          </cell>
          <cell r="D499">
            <v>8</v>
          </cell>
          <cell r="E499">
            <v>2018</v>
          </cell>
          <cell r="F499">
            <v>2014</v>
          </cell>
        </row>
        <row r="500">
          <cell r="B500" t="str">
            <v>TWENTYNINE PALMS</v>
          </cell>
          <cell r="C500">
            <v>0.625</v>
          </cell>
          <cell r="D500">
            <v>8</v>
          </cell>
          <cell r="E500">
            <v>2018</v>
          </cell>
          <cell r="F500">
            <v>2014</v>
          </cell>
        </row>
        <row r="501">
          <cell r="B501" t="str">
            <v>UKIAH</v>
          </cell>
          <cell r="C501">
            <v>1</v>
          </cell>
          <cell r="D501">
            <v>5</v>
          </cell>
          <cell r="E501">
            <v>2017</v>
          </cell>
          <cell r="F501">
            <v>2014</v>
          </cell>
        </row>
        <row r="502">
          <cell r="B502" t="str">
            <v>UNION CITY</v>
          </cell>
          <cell r="C502">
            <v>0.5</v>
          </cell>
          <cell r="D502">
            <v>8</v>
          </cell>
          <cell r="E502">
            <v>2019</v>
          </cell>
          <cell r="F502">
            <v>2015</v>
          </cell>
        </row>
        <row r="503">
          <cell r="B503" t="str">
            <v>UPLAND</v>
          </cell>
          <cell r="C503">
            <v>0.625</v>
          </cell>
          <cell r="D503">
            <v>8</v>
          </cell>
          <cell r="E503">
            <v>2018</v>
          </cell>
          <cell r="F503">
            <v>2014</v>
          </cell>
        </row>
        <row r="504">
          <cell r="B504" t="str">
            <v>VACAVILLE</v>
          </cell>
          <cell r="C504">
            <v>0.5</v>
          </cell>
          <cell r="D504">
            <v>8</v>
          </cell>
          <cell r="E504">
            <v>2019</v>
          </cell>
          <cell r="F504">
            <v>2015</v>
          </cell>
        </row>
        <row r="505">
          <cell r="B505" t="str">
            <v>VALLEJO</v>
          </cell>
          <cell r="C505">
            <v>0.5</v>
          </cell>
          <cell r="D505">
            <v>8</v>
          </cell>
          <cell r="E505">
            <v>2019</v>
          </cell>
          <cell r="F505">
            <v>2015</v>
          </cell>
        </row>
        <row r="506">
          <cell r="B506" t="str">
            <v>VENTURA COUNTY</v>
          </cell>
          <cell r="C506">
            <v>0.625</v>
          </cell>
          <cell r="D506">
            <v>8</v>
          </cell>
          <cell r="E506">
            <v>2018</v>
          </cell>
          <cell r="F506">
            <v>2014</v>
          </cell>
        </row>
        <row r="507">
          <cell r="B507" t="str">
            <v>VERNON</v>
          </cell>
          <cell r="C507">
            <v>0.625</v>
          </cell>
          <cell r="D507">
            <v>8</v>
          </cell>
          <cell r="E507">
            <v>2018</v>
          </cell>
          <cell r="F507">
            <v>2014</v>
          </cell>
        </row>
        <row r="508">
          <cell r="B508" t="str">
            <v>VICTORVILLE</v>
          </cell>
          <cell r="C508">
            <v>0.625</v>
          </cell>
          <cell r="D508">
            <v>8</v>
          </cell>
          <cell r="E508">
            <v>2018</v>
          </cell>
          <cell r="F508">
            <v>2014</v>
          </cell>
        </row>
        <row r="509">
          <cell r="B509" t="str">
            <v>VILLA PARK</v>
          </cell>
          <cell r="C509">
            <v>0.625</v>
          </cell>
          <cell r="D509">
            <v>8</v>
          </cell>
          <cell r="E509">
            <v>2018</v>
          </cell>
          <cell r="F509">
            <v>2014</v>
          </cell>
        </row>
        <row r="510">
          <cell r="B510" t="str">
            <v>VISALIA</v>
          </cell>
          <cell r="C510">
            <v>0.375</v>
          </cell>
          <cell r="D510">
            <v>8</v>
          </cell>
          <cell r="E510">
            <v>2020</v>
          </cell>
          <cell r="F510">
            <v>2016</v>
          </cell>
        </row>
        <row r="511">
          <cell r="B511" t="str">
            <v>VISTA</v>
          </cell>
          <cell r="C511">
            <v>0.75</v>
          </cell>
          <cell r="D511">
            <v>8</v>
          </cell>
          <cell r="E511">
            <v>2017</v>
          </cell>
          <cell r="F511">
            <v>2013</v>
          </cell>
        </row>
        <row r="512">
          <cell r="B512" t="str">
            <v>WALNUT</v>
          </cell>
          <cell r="C512">
            <v>0.625</v>
          </cell>
          <cell r="D512">
            <v>8</v>
          </cell>
          <cell r="E512">
            <v>2018</v>
          </cell>
          <cell r="F512">
            <v>2014</v>
          </cell>
        </row>
        <row r="513">
          <cell r="B513" t="str">
            <v>WALNUT CREEK</v>
          </cell>
          <cell r="C513">
            <v>0.5</v>
          </cell>
          <cell r="D513">
            <v>8</v>
          </cell>
          <cell r="E513">
            <v>2019</v>
          </cell>
          <cell r="F513">
            <v>2015</v>
          </cell>
        </row>
        <row r="514">
          <cell r="B514" t="str">
            <v>WASCO</v>
          </cell>
          <cell r="C514">
            <v>0.375</v>
          </cell>
          <cell r="D514">
            <v>8</v>
          </cell>
          <cell r="E514">
            <v>2020</v>
          </cell>
          <cell r="F514">
            <v>2016</v>
          </cell>
        </row>
        <row r="515">
          <cell r="B515" t="str">
            <v>WATERFORD</v>
          </cell>
          <cell r="C515">
            <v>0.375</v>
          </cell>
          <cell r="D515">
            <v>8</v>
          </cell>
          <cell r="E515">
            <v>2020</v>
          </cell>
          <cell r="F515">
            <v>2016</v>
          </cell>
        </row>
        <row r="516">
          <cell r="B516" t="str">
            <v>WATSONVILLE</v>
          </cell>
          <cell r="C516">
            <v>0.375</v>
          </cell>
          <cell r="D516">
            <v>8</v>
          </cell>
          <cell r="E516">
            <v>2020</v>
          </cell>
          <cell r="F516">
            <v>2016</v>
          </cell>
        </row>
        <row r="517">
          <cell r="B517" t="str">
            <v>WEED</v>
          </cell>
          <cell r="C517">
            <v>1</v>
          </cell>
          <cell r="D517">
            <v>5</v>
          </cell>
          <cell r="E517">
            <v>2017</v>
          </cell>
          <cell r="F517">
            <v>2014</v>
          </cell>
        </row>
        <row r="518">
          <cell r="B518" t="str">
            <v>WEST COVINA</v>
          </cell>
          <cell r="C518">
            <v>0.625</v>
          </cell>
          <cell r="D518">
            <v>8</v>
          </cell>
          <cell r="E518">
            <v>2018</v>
          </cell>
          <cell r="F518">
            <v>2014</v>
          </cell>
        </row>
        <row r="519">
          <cell r="B519" t="str">
            <v>WEST HOLLYWOOD</v>
          </cell>
          <cell r="C519">
            <v>0.625</v>
          </cell>
          <cell r="D519">
            <v>8</v>
          </cell>
          <cell r="E519">
            <v>2018</v>
          </cell>
          <cell r="F519">
            <v>2014</v>
          </cell>
        </row>
        <row r="520">
          <cell r="B520" t="str">
            <v>WEST SACRAMENTO</v>
          </cell>
          <cell r="C520">
            <v>0.625</v>
          </cell>
          <cell r="D520">
            <v>8</v>
          </cell>
          <cell r="E520">
            <v>2018</v>
          </cell>
          <cell r="F520">
            <v>2014</v>
          </cell>
        </row>
        <row r="521">
          <cell r="B521" t="str">
            <v>WESTLAKE VILLAGE</v>
          </cell>
          <cell r="C521">
            <v>0.625</v>
          </cell>
          <cell r="D521">
            <v>8</v>
          </cell>
          <cell r="E521">
            <v>2018</v>
          </cell>
          <cell r="F521">
            <v>2014</v>
          </cell>
        </row>
        <row r="522">
          <cell r="B522" t="str">
            <v>WESTMINSTER</v>
          </cell>
          <cell r="C522">
            <v>0.625</v>
          </cell>
          <cell r="D522">
            <v>8</v>
          </cell>
          <cell r="E522">
            <v>2018</v>
          </cell>
          <cell r="F522">
            <v>2014</v>
          </cell>
        </row>
        <row r="523">
          <cell r="B523" t="str">
            <v>WESTMORLAND</v>
          </cell>
          <cell r="C523">
            <v>0.625</v>
          </cell>
          <cell r="D523">
            <v>8</v>
          </cell>
          <cell r="E523">
            <v>2018</v>
          </cell>
          <cell r="F523">
            <v>2014</v>
          </cell>
        </row>
        <row r="524">
          <cell r="B524" t="str">
            <v>WHEATLAND</v>
          </cell>
          <cell r="C524">
            <v>0.625</v>
          </cell>
          <cell r="D524">
            <v>8</v>
          </cell>
          <cell r="E524">
            <v>2018</v>
          </cell>
          <cell r="F524">
            <v>2014</v>
          </cell>
        </row>
        <row r="525">
          <cell r="B525" t="str">
            <v>WHITTIER</v>
          </cell>
          <cell r="C525">
            <v>0.625</v>
          </cell>
          <cell r="D525">
            <v>8</v>
          </cell>
          <cell r="E525">
            <v>2018</v>
          </cell>
          <cell r="F525">
            <v>2014</v>
          </cell>
        </row>
        <row r="526">
          <cell r="B526" t="str">
            <v>WILDOMAR</v>
          </cell>
          <cell r="C526">
            <v>0.625</v>
          </cell>
          <cell r="D526">
            <v>8</v>
          </cell>
          <cell r="E526">
            <v>2018</v>
          </cell>
          <cell r="F526">
            <v>2014</v>
          </cell>
        </row>
        <row r="527">
          <cell r="B527" t="str">
            <v>WILLIAMS</v>
          </cell>
          <cell r="C527">
            <v>1</v>
          </cell>
          <cell r="D527">
            <v>5</v>
          </cell>
          <cell r="E527">
            <v>2017</v>
          </cell>
          <cell r="F527">
            <v>2014</v>
          </cell>
        </row>
        <row r="528">
          <cell r="B528" t="str">
            <v>WILLITS</v>
          </cell>
          <cell r="C528">
            <v>1</v>
          </cell>
          <cell r="D528">
            <v>5</v>
          </cell>
          <cell r="E528">
            <v>2017</v>
          </cell>
          <cell r="F528">
            <v>2014</v>
          </cell>
        </row>
        <row r="529">
          <cell r="B529" t="str">
            <v>WILLOWS</v>
          </cell>
          <cell r="C529">
            <v>1</v>
          </cell>
          <cell r="D529">
            <v>5</v>
          </cell>
          <cell r="E529">
            <v>2017</v>
          </cell>
          <cell r="F529">
            <v>2014</v>
          </cell>
        </row>
        <row r="530">
          <cell r="B530" t="str">
            <v>WINDSOR</v>
          </cell>
          <cell r="C530">
            <v>0.5</v>
          </cell>
          <cell r="D530">
            <v>8</v>
          </cell>
          <cell r="E530">
            <v>2019</v>
          </cell>
          <cell r="F530">
            <v>2015</v>
          </cell>
        </row>
        <row r="531">
          <cell r="B531" t="str">
            <v>WINTERS</v>
          </cell>
          <cell r="C531">
            <v>0.625</v>
          </cell>
          <cell r="D531">
            <v>8</v>
          </cell>
          <cell r="E531">
            <v>2018</v>
          </cell>
          <cell r="F531">
            <v>2014</v>
          </cell>
        </row>
        <row r="532">
          <cell r="B532" t="str">
            <v>WOODLAKE</v>
          </cell>
          <cell r="C532">
            <v>0.375</v>
          </cell>
          <cell r="D532">
            <v>8</v>
          </cell>
          <cell r="E532">
            <v>2020</v>
          </cell>
          <cell r="F532">
            <v>2016</v>
          </cell>
        </row>
        <row r="533">
          <cell r="B533" t="str">
            <v>WOODLAND</v>
          </cell>
          <cell r="C533">
            <v>0.625</v>
          </cell>
          <cell r="D533">
            <v>8</v>
          </cell>
          <cell r="E533">
            <v>2018</v>
          </cell>
          <cell r="F533">
            <v>2014</v>
          </cell>
        </row>
        <row r="534">
          <cell r="B534" t="str">
            <v>WOODSIDE</v>
          </cell>
          <cell r="C534">
            <v>0.5</v>
          </cell>
          <cell r="D534">
            <v>8</v>
          </cell>
          <cell r="E534">
            <v>2019</v>
          </cell>
          <cell r="F534">
            <v>2015</v>
          </cell>
        </row>
        <row r="535">
          <cell r="B535" t="str">
            <v>YOLO COUNTY</v>
          </cell>
          <cell r="C535">
            <v>0.625</v>
          </cell>
          <cell r="D535">
            <v>8</v>
          </cell>
          <cell r="E535">
            <v>2018</v>
          </cell>
          <cell r="F535">
            <v>2014</v>
          </cell>
        </row>
        <row r="536">
          <cell r="B536" t="str">
            <v>YORBA LINDA</v>
          </cell>
          <cell r="C536">
            <v>0.625</v>
          </cell>
          <cell r="D536">
            <v>8</v>
          </cell>
          <cell r="E536">
            <v>2018</v>
          </cell>
          <cell r="F536">
            <v>2014</v>
          </cell>
        </row>
        <row r="537">
          <cell r="B537" t="str">
            <v>YOUNTVILLE</v>
          </cell>
          <cell r="C537">
            <v>0.5</v>
          </cell>
          <cell r="D537">
            <v>8</v>
          </cell>
          <cell r="E537">
            <v>2019</v>
          </cell>
          <cell r="F537">
            <v>2015</v>
          </cell>
        </row>
        <row r="538">
          <cell r="B538" t="str">
            <v>YREKA</v>
          </cell>
          <cell r="C538">
            <v>1</v>
          </cell>
          <cell r="D538">
            <v>5</v>
          </cell>
          <cell r="E538">
            <v>2017</v>
          </cell>
          <cell r="F538">
            <v>2014</v>
          </cell>
        </row>
        <row r="539">
          <cell r="B539" t="str">
            <v>YUBA CITY</v>
          </cell>
          <cell r="C539">
            <v>0.625</v>
          </cell>
          <cell r="D539">
            <v>8</v>
          </cell>
          <cell r="E539">
            <v>2018</v>
          </cell>
          <cell r="F539">
            <v>2014</v>
          </cell>
        </row>
        <row r="540">
          <cell r="B540" t="str">
            <v>YUBA COUNTY</v>
          </cell>
          <cell r="C540">
            <v>0.625</v>
          </cell>
          <cell r="D540">
            <v>8</v>
          </cell>
          <cell r="E540">
            <v>2018</v>
          </cell>
          <cell r="F540">
            <v>2014</v>
          </cell>
        </row>
        <row r="541">
          <cell r="B541" t="str">
            <v>YUCAIPA</v>
          </cell>
          <cell r="C541">
            <v>0.625</v>
          </cell>
          <cell r="D541">
            <v>8</v>
          </cell>
          <cell r="E541">
            <v>2018</v>
          </cell>
          <cell r="F541">
            <v>2014</v>
          </cell>
        </row>
        <row r="542">
          <cell r="B542" t="str">
            <v>YUCCA VALLEY</v>
          </cell>
          <cell r="C542">
            <v>0.625</v>
          </cell>
          <cell r="D542">
            <v>8</v>
          </cell>
          <cell r="E542">
            <v>2018</v>
          </cell>
          <cell r="F542">
            <v>2014</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outlinePr summaryBelow="0" summaryRight="0"/>
  </sheetPr>
  <dimension ref="B3:S895"/>
  <sheetViews>
    <sheetView tabSelected="1" workbookViewId="0">
      <selection activeCell="B16" sqref="B16:C18"/>
    </sheetView>
  </sheetViews>
  <sheetFormatPr defaultColWidth="14.42578125" defaultRowHeight="15.75" customHeight="1" x14ac:dyDescent="0.2"/>
  <cols>
    <col min="2" max="2" width="19.42578125" customWidth="1"/>
    <col min="6" max="6" width="6" customWidth="1"/>
    <col min="7" max="7" width="22.85546875" customWidth="1"/>
    <col min="11" max="11" width="6.42578125" customWidth="1"/>
    <col min="12" max="12" width="22.85546875" customWidth="1"/>
    <col min="16" max="16" width="8" customWidth="1"/>
    <col min="19" max="19" width="21.7109375" customWidth="1"/>
  </cols>
  <sheetData>
    <row r="3" spans="2:19" ht="39" customHeight="1" x14ac:dyDescent="0.4">
      <c r="B3" s="37" t="s">
        <v>0</v>
      </c>
      <c r="S3" s="10"/>
    </row>
    <row r="4" spans="2:19" ht="15.75" customHeight="1" thickBot="1" x14ac:dyDescent="0.25">
      <c r="B4" s="37"/>
      <c r="S4" s="42"/>
    </row>
    <row r="5" spans="2:19" ht="15.75" customHeight="1" x14ac:dyDescent="0.2">
      <c r="B5" s="321" t="s">
        <v>6</v>
      </c>
      <c r="C5" s="310"/>
      <c r="D5" s="310"/>
      <c r="E5" s="310"/>
      <c r="F5" s="238"/>
      <c r="G5" s="309" t="s">
        <v>1357</v>
      </c>
      <c r="H5" s="310"/>
      <c r="I5" s="310"/>
      <c r="J5" s="310"/>
      <c r="K5" s="238"/>
      <c r="L5" s="317" t="s">
        <v>12</v>
      </c>
      <c r="M5" s="310"/>
      <c r="N5" s="310"/>
      <c r="O5" s="318"/>
      <c r="S5" s="10"/>
    </row>
    <row r="6" spans="2:19" ht="15.75" customHeight="1" x14ac:dyDescent="0.2">
      <c r="B6" s="311"/>
      <c r="C6" s="312"/>
      <c r="D6" s="312"/>
      <c r="E6" s="313"/>
      <c r="F6" s="186"/>
      <c r="G6" s="311"/>
      <c r="H6" s="312"/>
      <c r="I6" s="312"/>
      <c r="J6" s="313"/>
      <c r="K6" s="186"/>
      <c r="L6" s="311"/>
      <c r="M6" s="312"/>
      <c r="N6" s="312"/>
      <c r="O6" s="313"/>
      <c r="S6" s="10"/>
    </row>
    <row r="7" spans="2:19" ht="15.75" customHeight="1" thickBot="1" x14ac:dyDescent="0.25">
      <c r="B7" s="314"/>
      <c r="C7" s="315"/>
      <c r="D7" s="315"/>
      <c r="E7" s="316"/>
      <c r="F7" s="186"/>
      <c r="G7" s="314"/>
      <c r="H7" s="315"/>
      <c r="I7" s="315"/>
      <c r="J7" s="316"/>
      <c r="K7" s="186"/>
      <c r="L7" s="311"/>
      <c r="M7" s="312"/>
      <c r="N7" s="312"/>
      <c r="O7" s="313"/>
      <c r="S7" s="10"/>
    </row>
    <row r="8" spans="2:19" ht="36.950000000000003" customHeight="1" thickTop="1" x14ac:dyDescent="0.2">
      <c r="B8" s="319" t="s">
        <v>14</v>
      </c>
      <c r="C8" s="312"/>
      <c r="D8" s="312"/>
      <c r="E8" s="313"/>
      <c r="F8" s="186"/>
      <c r="G8" s="320"/>
      <c r="H8" s="312"/>
      <c r="I8" s="312"/>
      <c r="J8" s="313"/>
      <c r="K8" s="186"/>
      <c r="L8" s="299" t="s">
        <v>16</v>
      </c>
      <c r="M8" s="300"/>
      <c r="N8" s="300"/>
      <c r="O8" s="301"/>
    </row>
    <row r="9" spans="2:19" ht="15.75" customHeight="1" x14ac:dyDescent="0.2">
      <c r="B9" s="187"/>
      <c r="C9" s="188"/>
      <c r="D9" s="189"/>
      <c r="E9" s="216"/>
      <c r="F9" s="186"/>
      <c r="G9" s="220"/>
      <c r="H9" s="190"/>
      <c r="I9" s="191"/>
      <c r="J9" s="221"/>
      <c r="K9" s="186"/>
      <c r="L9" s="234"/>
      <c r="M9" s="193"/>
      <c r="N9" s="192"/>
      <c r="O9" s="194"/>
    </row>
    <row r="10" spans="2:19" ht="66" customHeight="1" x14ac:dyDescent="0.2">
      <c r="B10" s="195" t="s">
        <v>13</v>
      </c>
      <c r="C10" s="18" t="s">
        <v>41</v>
      </c>
      <c r="D10" s="20" t="s">
        <v>42</v>
      </c>
      <c r="E10" s="217" t="s">
        <v>43</v>
      </c>
      <c r="F10" s="186"/>
      <c r="G10" s="222" t="s">
        <v>18</v>
      </c>
      <c r="H10" s="27" t="s">
        <v>41</v>
      </c>
      <c r="I10" s="30" t="s">
        <v>42</v>
      </c>
      <c r="J10" s="223" t="s">
        <v>43</v>
      </c>
      <c r="K10" s="186"/>
      <c r="L10" s="235" t="s">
        <v>18</v>
      </c>
      <c r="M10" s="33" t="s">
        <v>41</v>
      </c>
      <c r="N10" s="35" t="s">
        <v>42</v>
      </c>
      <c r="O10" s="196" t="s">
        <v>43</v>
      </c>
    </row>
    <row r="11" spans="2:19" ht="15.75" customHeight="1" x14ac:dyDescent="0.2">
      <c r="B11" s="197" t="s">
        <v>45</v>
      </c>
      <c r="C11" s="198">
        <f>'Progress by County 2014 - 2018'!Y108</f>
        <v>112425</v>
      </c>
      <c r="D11" s="199">
        <f>'Progress by County 2014 - 2018'!U108</f>
        <v>1.0026773404491884</v>
      </c>
      <c r="E11" s="218">
        <f t="shared" ref="E11:E29" si="0">D11*C11</f>
        <v>112726.00000000001</v>
      </c>
      <c r="F11" s="186"/>
      <c r="G11" s="224" t="s">
        <v>46</v>
      </c>
      <c r="H11" s="200">
        <f>'Progress by County 2014 - 2018'!Y208</f>
        <v>121488</v>
      </c>
      <c r="I11" s="201">
        <f>'Progress by County 2014 - 2018'!U208</f>
        <v>0.52986303173976035</v>
      </c>
      <c r="J11" s="225">
        <f t="shared" ref="J11:J24" si="1">I11*H11</f>
        <v>64372.000000000007</v>
      </c>
      <c r="K11" s="186"/>
      <c r="L11" s="236" t="s">
        <v>49</v>
      </c>
      <c r="M11" s="202">
        <f>'Progress by County 2014 - 2018'!Y185</f>
        <v>63360</v>
      </c>
      <c r="N11" s="203">
        <f>'Progress by County 2014 - 2018'!U185</f>
        <v>0.40047348484848483</v>
      </c>
      <c r="O11" s="204">
        <f t="shared" ref="O11:O33" si="2">M11*N11</f>
        <v>25374</v>
      </c>
    </row>
    <row r="12" spans="2:19" ht="15.75" customHeight="1" x14ac:dyDescent="0.2">
      <c r="B12" s="197" t="s">
        <v>50</v>
      </c>
      <c r="C12" s="198">
        <f>'Progress by County 2014 - 2018'!Y238</f>
        <v>29420</v>
      </c>
      <c r="D12" s="199">
        <f>'Progress by County 2014 - 2018'!U238</f>
        <v>0.88127124405166557</v>
      </c>
      <c r="E12" s="218">
        <f t="shared" si="0"/>
        <v>25927</v>
      </c>
      <c r="F12" s="186"/>
      <c r="G12" s="226" t="s">
        <v>52</v>
      </c>
      <c r="H12" s="205">
        <f>'Progress by County 2014 - 2018'!Y201</f>
        <v>28604</v>
      </c>
      <c r="I12" s="206">
        <f>'Progress by County 2014 - 2018'!U201</f>
        <v>0.53499510557963925</v>
      </c>
      <c r="J12" s="227">
        <f t="shared" si="1"/>
        <v>15303.000000000002</v>
      </c>
      <c r="K12" s="186"/>
      <c r="L12" s="236" t="s">
        <v>53</v>
      </c>
      <c r="M12" s="202">
        <f>'Progress by County 2014 - 2018'!Y191</f>
        <v>36490</v>
      </c>
      <c r="N12" s="203">
        <f>'Progress by County 2014 - 2018'!U191</f>
        <v>0.26470265826253769</v>
      </c>
      <c r="O12" s="204">
        <f t="shared" si="2"/>
        <v>9659</v>
      </c>
    </row>
    <row r="13" spans="2:19" ht="15.75" customHeight="1" x14ac:dyDescent="0.2">
      <c r="B13" s="197" t="s">
        <v>47</v>
      </c>
      <c r="C13" s="198">
        <f>'Progress by County 2014 - 2018'!Y168</f>
        <v>23730</v>
      </c>
      <c r="D13" s="199">
        <f>'Progress by County 2014 - 2018'!U168</f>
        <v>2.369321533923304</v>
      </c>
      <c r="E13" s="218">
        <f t="shared" si="0"/>
        <v>56224.000000000007</v>
      </c>
      <c r="F13" s="186"/>
      <c r="G13" s="226" t="s">
        <v>55</v>
      </c>
      <c r="H13" s="205">
        <f>'Progress by County 2014 - 2018'!Y60</f>
        <v>20736</v>
      </c>
      <c r="I13" s="206">
        <f>'Progress by County 2014 - 2018'!U60</f>
        <v>0.66141010802469136</v>
      </c>
      <c r="J13" s="227">
        <f t="shared" si="1"/>
        <v>13715</v>
      </c>
      <c r="K13" s="186"/>
      <c r="L13" s="236" t="s">
        <v>56</v>
      </c>
      <c r="M13" s="202">
        <f>'Progress by County 2014 - 2018'!Y88</f>
        <v>25377</v>
      </c>
      <c r="N13" s="203">
        <f>'Progress by County 2014 - 2018'!U88</f>
        <v>0.39035346967726681</v>
      </c>
      <c r="O13" s="204">
        <f t="shared" si="2"/>
        <v>9906</v>
      </c>
    </row>
    <row r="14" spans="2:19" ht="15.75" customHeight="1" x14ac:dyDescent="0.2">
      <c r="B14" s="197" t="s">
        <v>51</v>
      </c>
      <c r="C14" s="198">
        <f>'Progress by County 2014 - 2018'!Y8</f>
        <v>22020</v>
      </c>
      <c r="D14" s="199">
        <f>'Progress by County 2014 - 2018'!U8</f>
        <v>1.5312897366030882</v>
      </c>
      <c r="E14" s="218">
        <f t="shared" si="0"/>
        <v>33719</v>
      </c>
      <c r="F14" s="186"/>
      <c r="G14" s="226" t="s">
        <v>58</v>
      </c>
      <c r="H14" s="205">
        <f>'Progress by County 2014 - 2018'!Y175</f>
        <v>16218</v>
      </c>
      <c r="I14" s="206">
        <f>'Progress by County 2014 - 2018'!U175</f>
        <v>0.73850043161918855</v>
      </c>
      <c r="J14" s="227">
        <f t="shared" si="1"/>
        <v>11977</v>
      </c>
      <c r="K14" s="186"/>
      <c r="L14" s="236" t="s">
        <v>59</v>
      </c>
      <c r="M14" s="202">
        <f>'Progress by County 2014 - 2018'!Y217</f>
        <v>15135</v>
      </c>
      <c r="N14" s="203">
        <f>'Progress by County 2014 - 2018'!U217</f>
        <v>0.38572844400396433</v>
      </c>
      <c r="O14" s="204">
        <f t="shared" si="2"/>
        <v>5838</v>
      </c>
    </row>
    <row r="15" spans="2:19" ht="15.75" customHeight="1" x14ac:dyDescent="0.2">
      <c r="B15" s="197" t="s">
        <v>57</v>
      </c>
      <c r="C15" s="198">
        <f>'Progress by County 2014 - 2018'!Y213</f>
        <v>14436</v>
      </c>
      <c r="D15" s="199">
        <f>'Progress by County 2014 - 2018'!U213</f>
        <v>1.3990024937655861</v>
      </c>
      <c r="E15" s="218">
        <f t="shared" si="0"/>
        <v>20196</v>
      </c>
      <c r="F15" s="186"/>
      <c r="G15" s="226" t="s">
        <v>60</v>
      </c>
      <c r="H15" s="205">
        <f>'Progress by County 2014 - 2018'!Y308</f>
        <v>11975</v>
      </c>
      <c r="I15" s="206">
        <f>'Progress by County 2014 - 2018'!U308</f>
        <v>0.59315240083507303</v>
      </c>
      <c r="J15" s="227">
        <f t="shared" si="1"/>
        <v>7103</v>
      </c>
      <c r="K15" s="186"/>
      <c r="L15" s="236" t="s">
        <v>61</v>
      </c>
      <c r="M15" s="202">
        <f>'Progress by County 2014 - 2018'!Y114</f>
        <v>12895</v>
      </c>
      <c r="N15" s="203">
        <f>'Progress by County 2014 - 2018'!U114</f>
        <v>8.4683986041101209E-2</v>
      </c>
      <c r="O15" s="204">
        <f t="shared" si="2"/>
        <v>1092</v>
      </c>
    </row>
    <row r="16" spans="2:19" ht="15.75" customHeight="1" x14ac:dyDescent="0.2">
      <c r="B16" s="197" t="s">
        <v>62</v>
      </c>
      <c r="C16" s="198">
        <f>'Progress by County 2014 - 2018'!Y43</f>
        <v>10316</v>
      </c>
      <c r="D16" s="199">
        <f>'Progress by County 2014 - 2018'!U43</f>
        <v>0.99796432725862738</v>
      </c>
      <c r="E16" s="218">
        <f t="shared" si="0"/>
        <v>10295</v>
      </c>
      <c r="F16" s="186"/>
      <c r="G16" s="226" t="s">
        <v>63</v>
      </c>
      <c r="H16" s="205">
        <f>'Progress by County 2014 - 2018'!Y314</f>
        <v>6955</v>
      </c>
      <c r="I16" s="206">
        <f>'Progress by County 2014 - 2018'!U314</f>
        <v>0.40186915887850466</v>
      </c>
      <c r="J16" s="227">
        <f t="shared" si="1"/>
        <v>2795</v>
      </c>
      <c r="K16" s="186"/>
      <c r="L16" s="236" t="s">
        <v>64</v>
      </c>
      <c r="M16" s="202">
        <f>'Progress by County 2014 - 2018'!Y296</f>
        <v>10092</v>
      </c>
      <c r="N16" s="203">
        <f>'Progress by County 2014 - 2018'!U296</f>
        <v>0.40606420927467302</v>
      </c>
      <c r="O16" s="204">
        <f t="shared" si="2"/>
        <v>4098</v>
      </c>
    </row>
    <row r="17" spans="2:19" ht="15.75" customHeight="1" x14ac:dyDescent="0.2">
      <c r="B17" s="197" t="s">
        <v>65</v>
      </c>
      <c r="C17" s="198">
        <f>'Progress by County 2014 - 2018'!Y228</f>
        <v>8208</v>
      </c>
      <c r="D17" s="199">
        <f>'Progress by County 2014 - 2018'!U228</f>
        <v>1.0077972709551657</v>
      </c>
      <c r="E17" s="218">
        <f t="shared" si="0"/>
        <v>8272</v>
      </c>
      <c r="F17" s="186"/>
      <c r="G17" s="226" t="s">
        <v>66</v>
      </c>
      <c r="H17" s="205">
        <f>'Progress by County 2014 - 2018'!Y233</f>
        <v>5516</v>
      </c>
      <c r="I17" s="206">
        <f>'Progress by County 2014 - 2018'!U233</f>
        <v>0.76649746192893398</v>
      </c>
      <c r="J17" s="227">
        <f t="shared" si="1"/>
        <v>4228</v>
      </c>
      <c r="K17" s="186"/>
      <c r="L17" s="236" t="s">
        <v>67</v>
      </c>
      <c r="M17" s="202">
        <f>'Progress by County 2014 - 2018'!Y274</f>
        <v>7998</v>
      </c>
      <c r="N17" s="203">
        <f>'Progress by County 2014 - 2018'!U274</f>
        <v>0.27544386096524132</v>
      </c>
      <c r="O17" s="204">
        <f t="shared" si="2"/>
        <v>2203</v>
      </c>
    </row>
    <row r="18" spans="2:19" ht="15.75" customHeight="1" x14ac:dyDescent="0.2">
      <c r="B18" s="197" t="s">
        <v>70</v>
      </c>
      <c r="C18" s="198">
        <f>'Progress by County 2014 - 2018'!Y270</f>
        <v>4224</v>
      </c>
      <c r="D18" s="199">
        <f>'Progress by County 2014 - 2018'!U270</f>
        <v>1.0092329545454546</v>
      </c>
      <c r="E18" s="218">
        <f t="shared" si="0"/>
        <v>4263</v>
      </c>
      <c r="F18" s="186"/>
      <c r="G18" s="226" t="s">
        <v>71</v>
      </c>
      <c r="H18" s="205">
        <f>'Progress by County 2014 - 2018'!Y151</f>
        <v>3692</v>
      </c>
      <c r="I18" s="206">
        <f>'Progress by County 2014 - 2018'!U151</f>
        <v>0.57529794149512459</v>
      </c>
      <c r="J18" s="227">
        <f t="shared" si="1"/>
        <v>2124</v>
      </c>
      <c r="K18" s="186"/>
      <c r="L18" s="236" t="s">
        <v>72</v>
      </c>
      <c r="M18" s="202">
        <f>'Progress by County 2014 - 2018'!M317</f>
        <v>1308</v>
      </c>
      <c r="N18" s="207">
        <f>'Progress by County 2014 - 2018'!U317</f>
        <v>3.8226299694189602E-3</v>
      </c>
      <c r="O18" s="204">
        <f t="shared" si="2"/>
        <v>5</v>
      </c>
    </row>
    <row r="19" spans="2:19" ht="15.75" customHeight="1" x14ac:dyDescent="0.2">
      <c r="B19" s="197" t="s">
        <v>73</v>
      </c>
      <c r="C19" s="198">
        <f>'Progress by County 2014 - 2018'!Y223</f>
        <v>4090</v>
      </c>
      <c r="D19" s="199">
        <f>'Progress by County 2014 - 2018'!U223</f>
        <v>1.1156479217603912</v>
      </c>
      <c r="E19" s="218">
        <f t="shared" si="0"/>
        <v>4563</v>
      </c>
      <c r="F19" s="186"/>
      <c r="G19" s="226" t="s">
        <v>74</v>
      </c>
      <c r="H19" s="205">
        <f>'Progress by County 2014 - 2018'!Y248</f>
        <v>2200</v>
      </c>
      <c r="I19" s="206">
        <f>'Progress by County 2014 - 2018'!U248</f>
        <v>0.69954545454545458</v>
      </c>
      <c r="J19" s="227">
        <f t="shared" si="1"/>
        <v>1539</v>
      </c>
      <c r="K19" s="186"/>
      <c r="L19" s="236" t="s">
        <v>76</v>
      </c>
      <c r="M19" s="202">
        <f>'Progress by County 2014 - 2018'!Y26</f>
        <v>6450</v>
      </c>
      <c r="N19" s="203">
        <f>'Progress by County 2014 - 2018'!U26</f>
        <v>0.38356589147286824</v>
      </c>
      <c r="O19" s="204">
        <f t="shared" si="2"/>
        <v>2474</v>
      </c>
    </row>
    <row r="20" spans="2:19" ht="15.75" customHeight="1" x14ac:dyDescent="0.2">
      <c r="B20" s="197" t="s">
        <v>77</v>
      </c>
      <c r="C20" s="198">
        <f>'Progress by County 2014 - 2018'!Y265</f>
        <v>3488</v>
      </c>
      <c r="D20" s="199">
        <f>'Progress by County 2014 - 2018'!U265</f>
        <v>1.1995412844036697</v>
      </c>
      <c r="E20" s="218">
        <f t="shared" si="0"/>
        <v>4184</v>
      </c>
      <c r="F20" s="186"/>
      <c r="G20" s="226" t="s">
        <v>78</v>
      </c>
      <c r="H20" s="205">
        <f>'Progress by County 2014 - 2018'!Y72</f>
        <v>2060</v>
      </c>
      <c r="I20" s="206">
        <f>'Progress by County 2014 - 2018'!U72</f>
        <v>0.53058252427184471</v>
      </c>
      <c r="J20" s="227">
        <f t="shared" si="1"/>
        <v>1093</v>
      </c>
      <c r="K20" s="186"/>
      <c r="L20" s="236" t="s">
        <v>79</v>
      </c>
      <c r="M20" s="202">
        <f>'Progress by County 2014 - 2018'!Y78</f>
        <v>6300</v>
      </c>
      <c r="N20" s="203">
        <f>'Progress by County 2014 - 2018'!U78</f>
        <v>0.25412698412698415</v>
      </c>
      <c r="O20" s="204">
        <f t="shared" si="2"/>
        <v>1601.0000000000002</v>
      </c>
    </row>
    <row r="21" spans="2:19" ht="15.75" customHeight="1" x14ac:dyDescent="0.2">
      <c r="B21" s="197" t="s">
        <v>80</v>
      </c>
      <c r="C21" s="198">
        <f>'Progress by County 2014 - 2018'!Y55</f>
        <v>3210</v>
      </c>
      <c r="D21" s="199">
        <f>'Progress by County 2014 - 2018'!U55</f>
        <v>0.99096573208722738</v>
      </c>
      <c r="E21" s="218">
        <f t="shared" si="0"/>
        <v>3181</v>
      </c>
      <c r="F21" s="186"/>
      <c r="G21" s="226" t="s">
        <v>81</v>
      </c>
      <c r="H21" s="205">
        <f>'Progress by County 2014 - 2018'!Y162</f>
        <v>1840</v>
      </c>
      <c r="I21" s="206">
        <f>'Progress by County 2014 - 2018'!U162</f>
        <v>0.71141304347826084</v>
      </c>
      <c r="J21" s="227">
        <f t="shared" si="1"/>
        <v>1309</v>
      </c>
      <c r="K21" s="186"/>
      <c r="L21" s="236" t="s">
        <v>82</v>
      </c>
      <c r="M21" s="202">
        <f>'Progress by County 2014 - 2018'!Y135</f>
        <v>5943</v>
      </c>
      <c r="N21" s="203">
        <f>'Progress by County 2014 - 2018'!U135</f>
        <v>0.39962981659094732</v>
      </c>
      <c r="O21" s="204">
        <f t="shared" si="2"/>
        <v>2375</v>
      </c>
    </row>
    <row r="22" spans="2:19" ht="15.75" customHeight="1" x14ac:dyDescent="0.2">
      <c r="B22" s="197" t="s">
        <v>83</v>
      </c>
      <c r="C22" s="198">
        <f>'Progress by County 2014 - 2018'!Y119</f>
        <v>1148</v>
      </c>
      <c r="D22" s="199">
        <f>'Progress by County 2014 - 2018'!U119</f>
        <v>0.86411149825783973</v>
      </c>
      <c r="E22" s="218">
        <f t="shared" si="0"/>
        <v>992</v>
      </c>
      <c r="F22" s="186"/>
      <c r="G22" s="226" t="s">
        <v>84</v>
      </c>
      <c r="H22" s="205">
        <f>'Progress by County 2014 - 2018'!Y32</f>
        <v>1240</v>
      </c>
      <c r="I22" s="206">
        <f>'Progress by County 2014 - 2018'!U32</f>
        <v>0.53387096774193543</v>
      </c>
      <c r="J22" s="227">
        <f t="shared" si="1"/>
        <v>661.99999999999989</v>
      </c>
      <c r="K22" s="186"/>
      <c r="L22" s="236" t="s">
        <v>85</v>
      </c>
      <c r="M22" s="202">
        <f>'Progress by County 2014 - 2018'!Y91</f>
        <v>2556</v>
      </c>
      <c r="N22" s="203">
        <f>'Progress by County 2014 - 2018'!U91</f>
        <v>0.11658841940532082</v>
      </c>
      <c r="O22" s="204">
        <f t="shared" si="2"/>
        <v>298</v>
      </c>
    </row>
    <row r="23" spans="2:19" ht="15.75" customHeight="1" x14ac:dyDescent="0.2">
      <c r="B23" s="197" t="s">
        <v>86</v>
      </c>
      <c r="C23" s="198">
        <f>'Progress by County 2014 - 2018'!Y242</f>
        <v>1143</v>
      </c>
      <c r="D23" s="199">
        <f>'Progress by County 2014 - 2018'!U242</f>
        <v>0.9658792650918635</v>
      </c>
      <c r="E23" s="218">
        <f t="shared" si="0"/>
        <v>1104</v>
      </c>
      <c r="F23" s="186"/>
      <c r="G23" s="226" t="s">
        <v>87</v>
      </c>
      <c r="H23" s="205">
        <f>'Progress by County 2014 - 2018'!Y196</f>
        <v>1096</v>
      </c>
      <c r="I23" s="206">
        <f>'Progress by County 2014 - 2018'!U196</f>
        <v>0.83850364963503654</v>
      </c>
      <c r="J23" s="227">
        <f t="shared" si="1"/>
        <v>919</v>
      </c>
      <c r="K23" s="186"/>
      <c r="L23" s="236" t="s">
        <v>88</v>
      </c>
      <c r="M23" s="202">
        <f>'Progress by County 2014 - 2018'!Y280</f>
        <v>1732</v>
      </c>
      <c r="N23" s="203">
        <f>'Progress by County 2014 - 2018'!U280</f>
        <v>0.24480369515011546</v>
      </c>
      <c r="O23" s="204">
        <f t="shared" si="2"/>
        <v>424</v>
      </c>
    </row>
    <row r="24" spans="2:19" ht="15.75" customHeight="1" x14ac:dyDescent="0.2">
      <c r="B24" s="197" t="s">
        <v>89</v>
      </c>
      <c r="C24" s="198">
        <f>'Progress by County 2014 - 2018'!Y156</f>
        <v>740</v>
      </c>
      <c r="D24" s="199">
        <f>'Progress by County 2014 - 2018'!U156</f>
        <v>1.9270270270270271</v>
      </c>
      <c r="E24" s="218">
        <f t="shared" si="0"/>
        <v>1426</v>
      </c>
      <c r="F24" s="186"/>
      <c r="G24" s="226" t="s">
        <v>91</v>
      </c>
      <c r="H24" s="205">
        <f>'Progress by County 2014 - 2018'!Y14</f>
        <v>30</v>
      </c>
      <c r="I24" s="206">
        <f>'Progress by County 2014 - 2018'!U14</f>
        <v>0.56666666666666665</v>
      </c>
      <c r="J24" s="227">
        <f t="shared" si="1"/>
        <v>17</v>
      </c>
      <c r="K24" s="186"/>
      <c r="L24" s="236" t="s">
        <v>92</v>
      </c>
      <c r="M24" s="202">
        <f>'Progress by County 2014 - 2018'!Y96</f>
        <v>1656</v>
      </c>
      <c r="N24" s="203">
        <f>'Progress by County 2014 - 2018'!U96</f>
        <v>4.8913043478260872E-2</v>
      </c>
      <c r="O24" s="204">
        <f t="shared" si="2"/>
        <v>81</v>
      </c>
    </row>
    <row r="25" spans="2:19" ht="15.75" customHeight="1" x14ac:dyDescent="0.2">
      <c r="B25" s="197" t="s">
        <v>93</v>
      </c>
      <c r="C25" s="198">
        <f>'Progress by County 2014 - 2018'!Y66</f>
        <v>260</v>
      </c>
      <c r="D25" s="199">
        <f>'Progress by County 2014 - 2018'!U66</f>
        <v>0.84615384615384615</v>
      </c>
      <c r="E25" s="218">
        <f t="shared" si="0"/>
        <v>220</v>
      </c>
      <c r="F25" s="186"/>
      <c r="G25" s="224"/>
      <c r="H25" s="200"/>
      <c r="I25" s="208"/>
      <c r="J25" s="228"/>
      <c r="K25" s="186"/>
      <c r="L25" s="236" t="s">
        <v>94</v>
      </c>
      <c r="M25" s="202">
        <f>'Progress by County 2014 - 2018'!Y38</f>
        <v>1160</v>
      </c>
      <c r="N25" s="203">
        <f>'Progress by County 2014 - 2018'!U38</f>
        <v>0.11724137931034483</v>
      </c>
      <c r="O25" s="204">
        <f t="shared" si="2"/>
        <v>136</v>
      </c>
    </row>
    <row r="26" spans="2:19" ht="15.75" customHeight="1" x14ac:dyDescent="0.2">
      <c r="B26" s="197" t="s">
        <v>95</v>
      </c>
      <c r="C26" s="198">
        <f>'Progress by County 2014 - 2018'!Y131</f>
        <v>250</v>
      </c>
      <c r="D26" s="199">
        <f>'Progress by County 2014 - 2018'!U131</f>
        <v>1.1200000000000001</v>
      </c>
      <c r="E26" s="218">
        <f t="shared" si="0"/>
        <v>280</v>
      </c>
      <c r="F26" s="186"/>
      <c r="G26" s="229"/>
      <c r="H26" s="209"/>
      <c r="I26" s="209"/>
      <c r="J26" s="230"/>
      <c r="K26" s="186"/>
      <c r="L26" s="236" t="s">
        <v>96</v>
      </c>
      <c r="M26" s="202">
        <f>'Progress by County 2014 - 2018'!Y125</f>
        <v>995</v>
      </c>
      <c r="N26" s="203">
        <f>'Progress by County 2014 - 2018'!U125</f>
        <v>0.2442211055276382</v>
      </c>
      <c r="O26" s="204">
        <f t="shared" si="2"/>
        <v>243</v>
      </c>
    </row>
    <row r="27" spans="2:19" ht="15.75" customHeight="1" x14ac:dyDescent="0.2">
      <c r="B27" s="197" t="s">
        <v>97</v>
      </c>
      <c r="C27" s="198">
        <f>'Progress by County 2014 - 2018'!Y147</f>
        <v>120</v>
      </c>
      <c r="D27" s="199">
        <f>'Progress by County 2014 - 2018'!U147</f>
        <v>1.9166666666666667</v>
      </c>
      <c r="E27" s="218">
        <f t="shared" si="0"/>
        <v>230</v>
      </c>
      <c r="F27" s="186"/>
      <c r="G27" s="229"/>
      <c r="H27" s="209"/>
      <c r="I27" s="209"/>
      <c r="J27" s="230"/>
      <c r="K27" s="186"/>
      <c r="L27" s="236" t="s">
        <v>98</v>
      </c>
      <c r="M27" s="202">
        <f>'Progress by County 2014 - 2018'!Y286</f>
        <v>995</v>
      </c>
      <c r="N27" s="203">
        <f>'Progress by County 2014 - 2018'!U286</f>
        <v>0.30050251256281407</v>
      </c>
      <c r="O27" s="204">
        <f t="shared" si="2"/>
        <v>299</v>
      </c>
      <c r="S27" s="10"/>
    </row>
    <row r="28" spans="2:19" ht="15.75" customHeight="1" x14ac:dyDescent="0.2">
      <c r="B28" s="197" t="s">
        <v>99</v>
      </c>
      <c r="C28" s="198">
        <f>'Progress by County 2014 - 2018'!Y20</f>
        <v>100</v>
      </c>
      <c r="D28" s="199">
        <f>'Progress by County 2014 - 2018'!U20</f>
        <v>3.03</v>
      </c>
      <c r="E28" s="218">
        <f t="shared" si="0"/>
        <v>303</v>
      </c>
      <c r="F28" s="186"/>
      <c r="G28" s="229"/>
      <c r="H28" s="209"/>
      <c r="I28" s="209"/>
      <c r="J28" s="230"/>
      <c r="K28" s="186"/>
      <c r="L28" s="236" t="s">
        <v>100</v>
      </c>
      <c r="M28" s="202">
        <f>'Progress by County 2014 - 2018'!Y302</f>
        <v>550</v>
      </c>
      <c r="N28" s="203">
        <f>'Progress by County 2014 - 2018'!U302</f>
        <v>0.25818181818181818</v>
      </c>
      <c r="O28" s="204">
        <f t="shared" si="2"/>
        <v>142</v>
      </c>
      <c r="S28" s="10"/>
    </row>
    <row r="29" spans="2:19" ht="15.75" customHeight="1" x14ac:dyDescent="0.2">
      <c r="B29" s="197" t="s">
        <v>101</v>
      </c>
      <c r="C29" s="198">
        <f>'Progress by County 2014 - 2018'!Y179</f>
        <v>42</v>
      </c>
      <c r="D29" s="199">
        <f>'Progress by County 2014 - 2018'!U179</f>
        <v>3.1904761904761907</v>
      </c>
      <c r="E29" s="218">
        <f t="shared" si="0"/>
        <v>134</v>
      </c>
      <c r="F29" s="186"/>
      <c r="G29" s="231"/>
      <c r="H29" s="200"/>
      <c r="I29" s="208"/>
      <c r="J29" s="228"/>
      <c r="K29" s="186"/>
      <c r="L29" s="236" t="s">
        <v>102</v>
      </c>
      <c r="M29" s="202">
        <f>'Progress by County 2014 - 2018'!Y260</f>
        <v>530</v>
      </c>
      <c r="N29" s="203">
        <f>'Progress by County 2014 - 2018'!U260</f>
        <v>2.8301886792452831E-2</v>
      </c>
      <c r="O29" s="204">
        <f t="shared" si="2"/>
        <v>15</v>
      </c>
      <c r="S29" s="10"/>
    </row>
    <row r="30" spans="2:19" ht="15.75" customHeight="1" x14ac:dyDescent="0.2">
      <c r="B30" s="197"/>
      <c r="C30" s="198"/>
      <c r="D30" s="210"/>
      <c r="E30" s="219"/>
      <c r="F30" s="186"/>
      <c r="G30" s="231"/>
      <c r="H30" s="200"/>
      <c r="I30" s="208"/>
      <c r="J30" s="228"/>
      <c r="K30" s="186"/>
      <c r="L30" s="236" t="s">
        <v>103</v>
      </c>
      <c r="M30" s="202">
        <f>'Progress by County 2014 - 2018'!Y49</f>
        <v>310</v>
      </c>
      <c r="N30" s="203">
        <f>'Progress by County 2014 - 2018'!U49</f>
        <v>0.45806451612903226</v>
      </c>
      <c r="O30" s="204">
        <f t="shared" si="2"/>
        <v>142</v>
      </c>
      <c r="S30" s="10"/>
    </row>
    <row r="31" spans="2:19" ht="15.75" customHeight="1" x14ac:dyDescent="0.2">
      <c r="B31" s="197"/>
      <c r="C31" s="198"/>
      <c r="D31" s="210"/>
      <c r="E31" s="219"/>
      <c r="F31" s="186"/>
      <c r="G31" s="224"/>
      <c r="H31" s="200"/>
      <c r="I31" s="208"/>
      <c r="J31" s="228"/>
      <c r="K31" s="186"/>
      <c r="L31" s="236" t="s">
        <v>104</v>
      </c>
      <c r="M31" s="202">
        <f>'Progress by County 2014 - 2018'!Y84</f>
        <v>225</v>
      </c>
      <c r="N31" s="203">
        <f>'Progress by County 2014 - 2018'!U84</f>
        <v>0.13777777777777778</v>
      </c>
      <c r="O31" s="204">
        <f t="shared" si="2"/>
        <v>31</v>
      </c>
      <c r="S31" s="10"/>
    </row>
    <row r="32" spans="2:19" ht="15.75" customHeight="1" x14ac:dyDescent="0.2">
      <c r="B32" s="197"/>
      <c r="C32" s="198"/>
      <c r="D32" s="210"/>
      <c r="E32" s="219"/>
      <c r="F32" s="186"/>
      <c r="G32" s="229"/>
      <c r="H32" s="209"/>
      <c r="I32" s="209"/>
      <c r="J32" s="230"/>
      <c r="K32" s="186"/>
      <c r="L32" s="236" t="s">
        <v>106</v>
      </c>
      <c r="M32" s="202">
        <f>'Progress by County 2014 - 2018'!Y102</f>
        <v>70</v>
      </c>
      <c r="N32" s="203">
        <f>'Progress by County 2014 - 2018'!U102</f>
        <v>0</v>
      </c>
      <c r="O32" s="204">
        <f t="shared" si="2"/>
        <v>0</v>
      </c>
      <c r="S32" s="10"/>
    </row>
    <row r="33" spans="2:19" ht="15.75" customHeight="1" x14ac:dyDescent="0.2">
      <c r="B33" s="197"/>
      <c r="C33" s="198"/>
      <c r="D33" s="210"/>
      <c r="E33" s="219"/>
      <c r="F33" s="186"/>
      <c r="G33" s="229"/>
      <c r="H33" s="209"/>
      <c r="I33" s="209"/>
      <c r="J33" s="230"/>
      <c r="K33" s="186"/>
      <c r="L33" s="237" t="s">
        <v>107</v>
      </c>
      <c r="M33" s="211">
        <f>'Progress by County 2014 - 2018'!Y141</f>
        <v>15</v>
      </c>
      <c r="N33" s="211">
        <f>'Progress by County 2014 - 2018'!U141</f>
        <v>0</v>
      </c>
      <c r="O33" s="204">
        <f t="shared" si="2"/>
        <v>0</v>
      </c>
      <c r="S33" s="10"/>
    </row>
    <row r="34" spans="2:19" ht="15" customHeight="1" x14ac:dyDescent="0.2">
      <c r="B34" s="212"/>
      <c r="C34" s="198"/>
      <c r="D34" s="210"/>
      <c r="E34" s="219"/>
      <c r="F34" s="186"/>
      <c r="G34" s="232"/>
      <c r="H34" s="213"/>
      <c r="I34" s="213"/>
      <c r="J34" s="233"/>
      <c r="K34" s="186"/>
      <c r="L34" s="237" t="s">
        <v>108</v>
      </c>
      <c r="M34" s="211">
        <f>'Progress by County 2014 - 2018'!M292</f>
        <v>10</v>
      </c>
      <c r="N34" s="211">
        <f>'Progress by County 2014 - 2018'!U292</f>
        <v>0</v>
      </c>
      <c r="O34" s="214">
        <v>0</v>
      </c>
      <c r="S34" s="10"/>
    </row>
    <row r="35" spans="2:19" ht="18" customHeight="1" x14ac:dyDescent="0.2">
      <c r="B35" s="197"/>
      <c r="C35" s="198"/>
      <c r="D35" s="210"/>
      <c r="E35" s="219"/>
      <c r="F35" s="186"/>
      <c r="G35" s="232"/>
      <c r="H35" s="213"/>
      <c r="I35" s="213"/>
      <c r="J35" s="233"/>
      <c r="K35" s="186"/>
      <c r="L35" s="237" t="s">
        <v>111</v>
      </c>
      <c r="M35" s="211">
        <f>'Progress by County 2014 - 2018'!M254</f>
        <v>6</v>
      </c>
      <c r="N35" s="211">
        <f>'Progress by County 2014 - 2018'!U254</f>
        <v>0</v>
      </c>
      <c r="O35" s="214">
        <v>0</v>
      </c>
      <c r="S35" s="10"/>
    </row>
    <row r="36" spans="2:19" ht="84.95" customHeight="1" thickBot="1" x14ac:dyDescent="0.25">
      <c r="B36" s="302" t="s">
        <v>112</v>
      </c>
      <c r="C36" s="303"/>
      <c r="D36" s="303"/>
      <c r="E36" s="304"/>
      <c r="F36" s="215"/>
      <c r="G36" s="305" t="s">
        <v>113</v>
      </c>
      <c r="H36" s="306"/>
      <c r="I36" s="306"/>
      <c r="J36" s="307"/>
      <c r="K36" s="215"/>
      <c r="L36" s="308" t="s">
        <v>114</v>
      </c>
      <c r="M36" s="306"/>
      <c r="N36" s="306"/>
      <c r="O36" s="307"/>
      <c r="S36" s="10"/>
    </row>
    <row r="37" spans="2:19" ht="12.75" x14ac:dyDescent="0.2">
      <c r="S37" s="10"/>
    </row>
    <row r="38" spans="2:19" ht="12.75" x14ac:dyDescent="0.2">
      <c r="S38" s="10"/>
    </row>
    <row r="39" spans="2:19" ht="12.75" x14ac:dyDescent="0.2">
      <c r="S39" s="10"/>
    </row>
    <row r="40" spans="2:19" ht="12.75" x14ac:dyDescent="0.2">
      <c r="S40" s="10"/>
    </row>
    <row r="41" spans="2:19" ht="12.75" x14ac:dyDescent="0.2">
      <c r="S41" s="10"/>
    </row>
    <row r="42" spans="2:19" ht="12.75" x14ac:dyDescent="0.2">
      <c r="S42" s="10"/>
    </row>
    <row r="43" spans="2:19" ht="12.75" x14ac:dyDescent="0.2">
      <c r="S43" s="10"/>
    </row>
    <row r="44" spans="2:19" ht="12.75" x14ac:dyDescent="0.2">
      <c r="S44" s="10"/>
    </row>
    <row r="45" spans="2:19" ht="12.75" x14ac:dyDescent="0.2">
      <c r="S45" s="10"/>
    </row>
    <row r="46" spans="2:19" ht="12.75" x14ac:dyDescent="0.2">
      <c r="S46" s="10"/>
    </row>
    <row r="47" spans="2:19" ht="12.75" x14ac:dyDescent="0.2">
      <c r="S47" s="10"/>
    </row>
    <row r="48" spans="2:19" ht="12.75" x14ac:dyDescent="0.2">
      <c r="S48" s="10"/>
    </row>
    <row r="49" spans="19:19" ht="12.75" x14ac:dyDescent="0.2">
      <c r="S49" s="10"/>
    </row>
    <row r="50" spans="19:19" ht="12.75" x14ac:dyDescent="0.2">
      <c r="S50" s="10"/>
    </row>
    <row r="51" spans="19:19" ht="12.75" x14ac:dyDescent="0.2">
      <c r="S51" s="10"/>
    </row>
    <row r="52" spans="19:19" ht="12.75" x14ac:dyDescent="0.2">
      <c r="S52" s="10"/>
    </row>
    <row r="53" spans="19:19" ht="12.75" x14ac:dyDescent="0.2">
      <c r="S53" s="10"/>
    </row>
    <row r="54" spans="19:19" ht="12.75" x14ac:dyDescent="0.2">
      <c r="S54" s="10"/>
    </row>
    <row r="55" spans="19:19" ht="12.75" x14ac:dyDescent="0.2">
      <c r="S55" s="10"/>
    </row>
    <row r="56" spans="19:19" ht="12.75" x14ac:dyDescent="0.2">
      <c r="S56" s="10"/>
    </row>
    <row r="57" spans="19:19" ht="12.75" x14ac:dyDescent="0.2">
      <c r="S57" s="10"/>
    </row>
    <row r="58" spans="19:19" ht="12.75" x14ac:dyDescent="0.2">
      <c r="S58" s="10"/>
    </row>
    <row r="59" spans="19:19" ht="12.75" x14ac:dyDescent="0.2">
      <c r="S59" s="10"/>
    </row>
    <row r="60" spans="19:19" ht="12.75" x14ac:dyDescent="0.2">
      <c r="S60" s="10"/>
    </row>
    <row r="61" spans="19:19" ht="12.75" x14ac:dyDescent="0.2">
      <c r="S61" s="10"/>
    </row>
    <row r="62" spans="19:19" ht="12.75" x14ac:dyDescent="0.2">
      <c r="S62" s="10"/>
    </row>
    <row r="63" spans="19:19" ht="12.75" x14ac:dyDescent="0.2">
      <c r="S63" s="10"/>
    </row>
    <row r="64" spans="19:19" ht="12.75" x14ac:dyDescent="0.2">
      <c r="S64" s="10"/>
    </row>
    <row r="65" spans="19:19" ht="12.75" x14ac:dyDescent="0.2">
      <c r="S65" s="10"/>
    </row>
    <row r="66" spans="19:19" ht="12.75" x14ac:dyDescent="0.2">
      <c r="S66" s="10"/>
    </row>
    <row r="67" spans="19:19" ht="12.75" x14ac:dyDescent="0.2">
      <c r="S67" s="10"/>
    </row>
    <row r="68" spans="19:19" ht="12.75" x14ac:dyDescent="0.2">
      <c r="S68" s="10"/>
    </row>
    <row r="69" spans="19:19" ht="12.75" x14ac:dyDescent="0.2">
      <c r="S69" s="10"/>
    </row>
    <row r="70" spans="19:19" ht="12.75" x14ac:dyDescent="0.2">
      <c r="S70" s="10"/>
    </row>
    <row r="71" spans="19:19" ht="12.75" x14ac:dyDescent="0.2">
      <c r="S71" s="10"/>
    </row>
    <row r="72" spans="19:19" ht="12.75" x14ac:dyDescent="0.2">
      <c r="S72" s="10"/>
    </row>
    <row r="73" spans="19:19" ht="12.75" x14ac:dyDescent="0.2">
      <c r="S73" s="10"/>
    </row>
    <row r="74" spans="19:19" ht="12.75" x14ac:dyDescent="0.2">
      <c r="S74" s="10"/>
    </row>
    <row r="75" spans="19:19" ht="12.75" x14ac:dyDescent="0.2">
      <c r="S75" s="10"/>
    </row>
    <row r="76" spans="19:19" ht="12.75" x14ac:dyDescent="0.2">
      <c r="S76" s="10"/>
    </row>
    <row r="77" spans="19:19" ht="12.75" x14ac:dyDescent="0.2">
      <c r="S77" s="10"/>
    </row>
    <row r="78" spans="19:19" ht="12.75" x14ac:dyDescent="0.2">
      <c r="S78" s="10"/>
    </row>
    <row r="79" spans="19:19" ht="12.75" x14ac:dyDescent="0.2">
      <c r="S79" s="10"/>
    </row>
    <row r="80" spans="19:19" ht="12.75" x14ac:dyDescent="0.2">
      <c r="S80" s="10"/>
    </row>
    <row r="81" spans="19:19" ht="12.75" x14ac:dyDescent="0.2">
      <c r="S81" s="10"/>
    </row>
    <row r="82" spans="19:19" ht="12.75" x14ac:dyDescent="0.2">
      <c r="S82" s="10"/>
    </row>
    <row r="83" spans="19:19" ht="12.75" x14ac:dyDescent="0.2">
      <c r="S83" s="10"/>
    </row>
    <row r="84" spans="19:19" ht="12.75" x14ac:dyDescent="0.2">
      <c r="S84" s="10"/>
    </row>
    <row r="85" spans="19:19" ht="12.75" x14ac:dyDescent="0.2">
      <c r="S85" s="10"/>
    </row>
    <row r="86" spans="19:19" ht="12.75" x14ac:dyDescent="0.2">
      <c r="S86" s="10"/>
    </row>
    <row r="87" spans="19:19" ht="12.75" x14ac:dyDescent="0.2">
      <c r="S87" s="10"/>
    </row>
    <row r="88" spans="19:19" ht="12.75" x14ac:dyDescent="0.2">
      <c r="S88" s="10"/>
    </row>
    <row r="89" spans="19:19" ht="12.75" x14ac:dyDescent="0.2">
      <c r="S89" s="10"/>
    </row>
    <row r="90" spans="19:19" ht="12.75" x14ac:dyDescent="0.2">
      <c r="S90" s="10"/>
    </row>
    <row r="91" spans="19:19" ht="12.75" x14ac:dyDescent="0.2">
      <c r="S91" s="10"/>
    </row>
    <row r="92" spans="19:19" ht="12.75" x14ac:dyDescent="0.2">
      <c r="S92" s="10"/>
    </row>
    <row r="93" spans="19:19" ht="12.75" x14ac:dyDescent="0.2">
      <c r="S93" s="10"/>
    </row>
    <row r="94" spans="19:19" ht="12.75" x14ac:dyDescent="0.2">
      <c r="S94" s="10"/>
    </row>
    <row r="95" spans="19:19" ht="12.75" x14ac:dyDescent="0.2">
      <c r="S95" s="10"/>
    </row>
    <row r="96" spans="19:19" ht="12.75" x14ac:dyDescent="0.2">
      <c r="S96" s="10"/>
    </row>
    <row r="97" spans="19:19" ht="12.75" x14ac:dyDescent="0.2">
      <c r="S97" s="10"/>
    </row>
    <row r="98" spans="19:19" ht="12.75" x14ac:dyDescent="0.2">
      <c r="S98" s="10"/>
    </row>
    <row r="99" spans="19:19" ht="12.75" x14ac:dyDescent="0.2">
      <c r="S99" s="10"/>
    </row>
    <row r="100" spans="19:19" ht="12.75" x14ac:dyDescent="0.2">
      <c r="S100" s="10"/>
    </row>
    <row r="101" spans="19:19" ht="12.75" x14ac:dyDescent="0.2">
      <c r="S101" s="10"/>
    </row>
    <row r="102" spans="19:19" ht="12.75" x14ac:dyDescent="0.2">
      <c r="S102" s="10"/>
    </row>
    <row r="103" spans="19:19" ht="12.75" x14ac:dyDescent="0.2">
      <c r="S103" s="10"/>
    </row>
    <row r="104" spans="19:19" ht="12.75" x14ac:dyDescent="0.2">
      <c r="S104" s="10"/>
    </row>
    <row r="105" spans="19:19" ht="12.75" x14ac:dyDescent="0.2">
      <c r="S105" s="10"/>
    </row>
    <row r="106" spans="19:19" ht="12.75" x14ac:dyDescent="0.2">
      <c r="S106" s="10"/>
    </row>
    <row r="107" spans="19:19" ht="12.75" x14ac:dyDescent="0.2">
      <c r="S107" s="10"/>
    </row>
    <row r="108" spans="19:19" ht="12.75" x14ac:dyDescent="0.2">
      <c r="S108" s="10"/>
    </row>
    <row r="109" spans="19:19" ht="12.75" x14ac:dyDescent="0.2">
      <c r="S109" s="10"/>
    </row>
    <row r="110" spans="19:19" ht="12.75" x14ac:dyDescent="0.2">
      <c r="S110" s="10"/>
    </row>
    <row r="111" spans="19:19" ht="12.75" x14ac:dyDescent="0.2">
      <c r="S111" s="10"/>
    </row>
    <row r="112" spans="19:19" ht="12.75" x14ac:dyDescent="0.2">
      <c r="S112" s="10"/>
    </row>
    <row r="113" spans="19:19" ht="12.75" x14ac:dyDescent="0.2">
      <c r="S113" s="10"/>
    </row>
    <row r="114" spans="19:19" ht="12.75" x14ac:dyDescent="0.2">
      <c r="S114" s="10"/>
    </row>
    <row r="115" spans="19:19" ht="12.75" x14ac:dyDescent="0.2">
      <c r="S115" s="10"/>
    </row>
    <row r="116" spans="19:19" ht="12.75" x14ac:dyDescent="0.2">
      <c r="S116" s="10"/>
    </row>
    <row r="117" spans="19:19" ht="12.75" x14ac:dyDescent="0.2">
      <c r="S117" s="10"/>
    </row>
    <row r="118" spans="19:19" ht="12.75" x14ac:dyDescent="0.2">
      <c r="S118" s="10"/>
    </row>
    <row r="119" spans="19:19" ht="12.75" x14ac:dyDescent="0.2">
      <c r="S119" s="10"/>
    </row>
    <row r="120" spans="19:19" ht="12.75" x14ac:dyDescent="0.2">
      <c r="S120" s="10"/>
    </row>
    <row r="121" spans="19:19" ht="12.75" x14ac:dyDescent="0.2">
      <c r="S121" s="10"/>
    </row>
    <row r="122" spans="19:19" ht="12.75" x14ac:dyDescent="0.2">
      <c r="S122" s="10"/>
    </row>
    <row r="123" spans="19:19" ht="12.75" x14ac:dyDescent="0.2">
      <c r="S123" s="10"/>
    </row>
    <row r="124" spans="19:19" ht="12.75" x14ac:dyDescent="0.2">
      <c r="S124" s="10"/>
    </row>
    <row r="125" spans="19:19" ht="12.75" x14ac:dyDescent="0.2">
      <c r="S125" s="10"/>
    </row>
    <row r="126" spans="19:19" ht="12.75" x14ac:dyDescent="0.2">
      <c r="S126" s="10"/>
    </row>
    <row r="127" spans="19:19" ht="12.75" x14ac:dyDescent="0.2">
      <c r="S127" s="10"/>
    </row>
    <row r="128" spans="19:19" ht="12.75" x14ac:dyDescent="0.2">
      <c r="S128" s="10"/>
    </row>
    <row r="129" spans="19:19" ht="12.75" x14ac:dyDescent="0.2">
      <c r="S129" s="10"/>
    </row>
    <row r="130" spans="19:19" ht="12.75" x14ac:dyDescent="0.2">
      <c r="S130" s="10"/>
    </row>
    <row r="131" spans="19:19" ht="12.75" x14ac:dyDescent="0.2">
      <c r="S131" s="10"/>
    </row>
    <row r="132" spans="19:19" ht="12.75" x14ac:dyDescent="0.2">
      <c r="S132" s="10"/>
    </row>
    <row r="133" spans="19:19" ht="12.75" x14ac:dyDescent="0.2">
      <c r="S133" s="10"/>
    </row>
    <row r="134" spans="19:19" ht="12.75" x14ac:dyDescent="0.2">
      <c r="S134" s="10"/>
    </row>
    <row r="135" spans="19:19" ht="12.75" x14ac:dyDescent="0.2">
      <c r="S135" s="10"/>
    </row>
    <row r="136" spans="19:19" ht="12.75" x14ac:dyDescent="0.2">
      <c r="S136" s="10"/>
    </row>
    <row r="137" spans="19:19" ht="12.75" x14ac:dyDescent="0.2">
      <c r="S137" s="10"/>
    </row>
    <row r="138" spans="19:19" ht="12.75" x14ac:dyDescent="0.2">
      <c r="S138" s="10"/>
    </row>
    <row r="139" spans="19:19" ht="12.75" x14ac:dyDescent="0.2">
      <c r="S139" s="10"/>
    </row>
    <row r="140" spans="19:19" ht="12.75" x14ac:dyDescent="0.2">
      <c r="S140" s="10"/>
    </row>
    <row r="141" spans="19:19" ht="12.75" x14ac:dyDescent="0.2">
      <c r="S141" s="10"/>
    </row>
    <row r="142" spans="19:19" ht="12.75" x14ac:dyDescent="0.2">
      <c r="S142" s="10"/>
    </row>
    <row r="143" spans="19:19" ht="12.75" x14ac:dyDescent="0.2">
      <c r="S143" s="10"/>
    </row>
    <row r="144" spans="19:19" ht="12.75" x14ac:dyDescent="0.2">
      <c r="S144" s="10"/>
    </row>
    <row r="145" spans="19:19" ht="12.75" x14ac:dyDescent="0.2">
      <c r="S145" s="10"/>
    </row>
    <row r="146" spans="19:19" ht="12.75" x14ac:dyDescent="0.2">
      <c r="S146" s="10"/>
    </row>
    <row r="147" spans="19:19" ht="12.75" x14ac:dyDescent="0.2">
      <c r="S147" s="10"/>
    </row>
    <row r="148" spans="19:19" ht="12.75" x14ac:dyDescent="0.2">
      <c r="S148" s="10"/>
    </row>
    <row r="149" spans="19:19" ht="12.75" x14ac:dyDescent="0.2">
      <c r="S149" s="10"/>
    </row>
    <row r="150" spans="19:19" ht="12.75" x14ac:dyDescent="0.2">
      <c r="S150" s="10"/>
    </row>
    <row r="151" spans="19:19" ht="12.75" x14ac:dyDescent="0.2">
      <c r="S151" s="10"/>
    </row>
    <row r="152" spans="19:19" ht="12.75" x14ac:dyDescent="0.2">
      <c r="S152" s="10"/>
    </row>
    <row r="153" spans="19:19" ht="12.75" x14ac:dyDescent="0.2">
      <c r="S153" s="10"/>
    </row>
    <row r="154" spans="19:19" ht="12.75" x14ac:dyDescent="0.2">
      <c r="S154" s="10"/>
    </row>
    <row r="155" spans="19:19" ht="12.75" x14ac:dyDescent="0.2">
      <c r="S155" s="10"/>
    </row>
    <row r="156" spans="19:19" ht="12.75" x14ac:dyDescent="0.2">
      <c r="S156" s="10"/>
    </row>
    <row r="157" spans="19:19" ht="12.75" x14ac:dyDescent="0.2">
      <c r="S157" s="10"/>
    </row>
    <row r="158" spans="19:19" ht="12.75" x14ac:dyDescent="0.2">
      <c r="S158" s="10"/>
    </row>
    <row r="159" spans="19:19" ht="12.75" x14ac:dyDescent="0.2">
      <c r="S159" s="10"/>
    </row>
    <row r="160" spans="19:19" ht="12.75" x14ac:dyDescent="0.2">
      <c r="S160" s="10"/>
    </row>
    <row r="161" spans="19:19" ht="12.75" x14ac:dyDescent="0.2">
      <c r="S161" s="10"/>
    </row>
    <row r="162" spans="19:19" ht="12.75" x14ac:dyDescent="0.2">
      <c r="S162" s="10"/>
    </row>
    <row r="163" spans="19:19" ht="12.75" x14ac:dyDescent="0.2">
      <c r="S163" s="10"/>
    </row>
    <row r="164" spans="19:19" ht="12.75" x14ac:dyDescent="0.2">
      <c r="S164" s="10"/>
    </row>
    <row r="165" spans="19:19" ht="12.75" x14ac:dyDescent="0.2">
      <c r="S165" s="10"/>
    </row>
    <row r="166" spans="19:19" ht="12.75" x14ac:dyDescent="0.2">
      <c r="S166" s="10"/>
    </row>
    <row r="167" spans="19:19" ht="12.75" x14ac:dyDescent="0.2">
      <c r="S167" s="10"/>
    </row>
    <row r="168" spans="19:19" ht="12.75" x14ac:dyDescent="0.2">
      <c r="S168" s="10"/>
    </row>
    <row r="169" spans="19:19" ht="12.75" x14ac:dyDescent="0.2">
      <c r="S169" s="10"/>
    </row>
    <row r="170" spans="19:19" ht="12.75" x14ac:dyDescent="0.2">
      <c r="S170" s="10"/>
    </row>
    <row r="171" spans="19:19" ht="12.75" x14ac:dyDescent="0.2">
      <c r="S171" s="10"/>
    </row>
    <row r="172" spans="19:19" ht="12.75" x14ac:dyDescent="0.2">
      <c r="S172" s="10"/>
    </row>
    <row r="173" spans="19:19" ht="12.75" x14ac:dyDescent="0.2">
      <c r="S173" s="10"/>
    </row>
    <row r="174" spans="19:19" ht="12.75" x14ac:dyDescent="0.2">
      <c r="S174" s="10"/>
    </row>
    <row r="175" spans="19:19" ht="12.75" x14ac:dyDescent="0.2">
      <c r="S175" s="10"/>
    </row>
    <row r="176" spans="19:19" ht="12.75" x14ac:dyDescent="0.2">
      <c r="S176" s="10"/>
    </row>
    <row r="177" spans="19:19" ht="12.75" x14ac:dyDescent="0.2">
      <c r="S177" s="10"/>
    </row>
    <row r="178" spans="19:19" ht="12.75" x14ac:dyDescent="0.2">
      <c r="S178" s="10"/>
    </row>
    <row r="179" spans="19:19" ht="12.75" x14ac:dyDescent="0.2">
      <c r="S179" s="10"/>
    </row>
    <row r="180" spans="19:19" ht="12.75" x14ac:dyDescent="0.2">
      <c r="S180" s="10"/>
    </row>
    <row r="181" spans="19:19" ht="12.75" x14ac:dyDescent="0.2">
      <c r="S181" s="10"/>
    </row>
    <row r="182" spans="19:19" ht="12.75" x14ac:dyDescent="0.2">
      <c r="S182" s="10"/>
    </row>
    <row r="183" spans="19:19" ht="12.75" x14ac:dyDescent="0.2">
      <c r="S183" s="10"/>
    </row>
    <row r="184" spans="19:19" ht="12.75" x14ac:dyDescent="0.2">
      <c r="S184" s="10"/>
    </row>
    <row r="185" spans="19:19" ht="12.75" x14ac:dyDescent="0.2">
      <c r="S185" s="10"/>
    </row>
    <row r="186" spans="19:19" ht="12.75" x14ac:dyDescent="0.2">
      <c r="S186" s="10"/>
    </row>
    <row r="187" spans="19:19" ht="12.75" x14ac:dyDescent="0.2">
      <c r="S187" s="10"/>
    </row>
    <row r="188" spans="19:19" ht="12.75" x14ac:dyDescent="0.2">
      <c r="S188" s="10"/>
    </row>
    <row r="189" spans="19:19" ht="12.75" x14ac:dyDescent="0.2">
      <c r="S189" s="10"/>
    </row>
    <row r="190" spans="19:19" ht="12.75" x14ac:dyDescent="0.2">
      <c r="S190" s="10"/>
    </row>
    <row r="191" spans="19:19" ht="12.75" x14ac:dyDescent="0.2">
      <c r="S191" s="10"/>
    </row>
    <row r="192" spans="19:19" ht="12.75" x14ac:dyDescent="0.2">
      <c r="S192" s="10"/>
    </row>
    <row r="193" spans="19:19" ht="12.75" x14ac:dyDescent="0.2">
      <c r="S193" s="10"/>
    </row>
    <row r="194" spans="19:19" ht="12.75" x14ac:dyDescent="0.2">
      <c r="S194" s="10"/>
    </row>
    <row r="195" spans="19:19" ht="12.75" x14ac:dyDescent="0.2">
      <c r="S195" s="10"/>
    </row>
    <row r="196" spans="19:19" ht="12.75" x14ac:dyDescent="0.2">
      <c r="S196" s="10"/>
    </row>
    <row r="197" spans="19:19" ht="12.75" x14ac:dyDescent="0.2">
      <c r="S197" s="10"/>
    </row>
    <row r="198" spans="19:19" ht="12.75" x14ac:dyDescent="0.2">
      <c r="S198" s="10"/>
    </row>
    <row r="199" spans="19:19" ht="12.75" x14ac:dyDescent="0.2">
      <c r="S199" s="10"/>
    </row>
    <row r="200" spans="19:19" ht="12.75" x14ac:dyDescent="0.2">
      <c r="S200" s="10"/>
    </row>
    <row r="201" spans="19:19" ht="12.75" x14ac:dyDescent="0.2">
      <c r="S201" s="10"/>
    </row>
    <row r="202" spans="19:19" ht="12.75" x14ac:dyDescent="0.2">
      <c r="S202" s="10"/>
    </row>
    <row r="203" spans="19:19" ht="12.75" x14ac:dyDescent="0.2">
      <c r="S203" s="10"/>
    </row>
    <row r="204" spans="19:19" ht="12.75" x14ac:dyDescent="0.2">
      <c r="S204" s="10"/>
    </row>
    <row r="205" spans="19:19" ht="12.75" x14ac:dyDescent="0.2">
      <c r="S205" s="10"/>
    </row>
    <row r="206" spans="19:19" ht="12.75" x14ac:dyDescent="0.2">
      <c r="S206" s="10"/>
    </row>
    <row r="207" spans="19:19" ht="12.75" x14ac:dyDescent="0.2">
      <c r="S207" s="10"/>
    </row>
    <row r="208" spans="19:19" ht="12.75" x14ac:dyDescent="0.2">
      <c r="S208" s="10"/>
    </row>
    <row r="209" spans="19:19" ht="12.75" x14ac:dyDescent="0.2">
      <c r="S209" s="10"/>
    </row>
    <row r="210" spans="19:19" ht="12.75" x14ac:dyDescent="0.2">
      <c r="S210" s="10"/>
    </row>
    <row r="211" spans="19:19" ht="12.75" x14ac:dyDescent="0.2">
      <c r="S211" s="10"/>
    </row>
    <row r="212" spans="19:19" ht="12.75" x14ac:dyDescent="0.2">
      <c r="S212" s="10"/>
    </row>
    <row r="213" spans="19:19" ht="12.75" x14ac:dyDescent="0.2">
      <c r="S213" s="10"/>
    </row>
    <row r="214" spans="19:19" ht="12.75" x14ac:dyDescent="0.2">
      <c r="S214" s="10"/>
    </row>
    <row r="215" spans="19:19" ht="12.75" x14ac:dyDescent="0.2">
      <c r="S215" s="10"/>
    </row>
    <row r="216" spans="19:19" ht="12.75" x14ac:dyDescent="0.2">
      <c r="S216" s="10"/>
    </row>
    <row r="217" spans="19:19" ht="12.75" x14ac:dyDescent="0.2">
      <c r="S217" s="10"/>
    </row>
    <row r="218" spans="19:19" ht="12.75" x14ac:dyDescent="0.2">
      <c r="S218" s="10"/>
    </row>
    <row r="219" spans="19:19" ht="12.75" x14ac:dyDescent="0.2">
      <c r="S219" s="10"/>
    </row>
    <row r="220" spans="19:19" ht="12.75" x14ac:dyDescent="0.2">
      <c r="S220" s="10"/>
    </row>
    <row r="221" spans="19:19" ht="12.75" x14ac:dyDescent="0.2">
      <c r="S221" s="10"/>
    </row>
    <row r="222" spans="19:19" ht="12.75" x14ac:dyDescent="0.2">
      <c r="S222" s="10"/>
    </row>
    <row r="223" spans="19:19" ht="12.75" x14ac:dyDescent="0.2">
      <c r="S223" s="10"/>
    </row>
    <row r="224" spans="19:19" ht="12.75" x14ac:dyDescent="0.2">
      <c r="S224" s="10"/>
    </row>
    <row r="225" spans="19:19" ht="12.75" x14ac:dyDescent="0.2">
      <c r="S225" s="10"/>
    </row>
    <row r="226" spans="19:19" ht="12.75" x14ac:dyDescent="0.2">
      <c r="S226" s="10"/>
    </row>
    <row r="227" spans="19:19" ht="12.75" x14ac:dyDescent="0.2">
      <c r="S227" s="10"/>
    </row>
    <row r="228" spans="19:19" ht="12.75" x14ac:dyDescent="0.2">
      <c r="S228" s="10"/>
    </row>
    <row r="229" spans="19:19" ht="12.75" x14ac:dyDescent="0.2">
      <c r="S229" s="10"/>
    </row>
    <row r="230" spans="19:19" ht="12.75" x14ac:dyDescent="0.2">
      <c r="S230" s="10"/>
    </row>
    <row r="231" spans="19:19" ht="12.75" x14ac:dyDescent="0.2">
      <c r="S231" s="10"/>
    </row>
    <row r="232" spans="19:19" ht="12.75" x14ac:dyDescent="0.2">
      <c r="S232" s="10"/>
    </row>
    <row r="233" spans="19:19" ht="12.75" x14ac:dyDescent="0.2">
      <c r="S233" s="10"/>
    </row>
    <row r="234" spans="19:19" ht="12.75" x14ac:dyDescent="0.2">
      <c r="S234" s="10"/>
    </row>
    <row r="235" spans="19:19" ht="12.75" x14ac:dyDescent="0.2">
      <c r="S235" s="10"/>
    </row>
    <row r="236" spans="19:19" ht="12.75" x14ac:dyDescent="0.2">
      <c r="S236" s="10"/>
    </row>
    <row r="237" spans="19:19" ht="12.75" x14ac:dyDescent="0.2">
      <c r="S237" s="10"/>
    </row>
    <row r="238" spans="19:19" ht="12.75" x14ac:dyDescent="0.2">
      <c r="S238" s="10"/>
    </row>
    <row r="239" spans="19:19" ht="12.75" x14ac:dyDescent="0.2">
      <c r="S239" s="10"/>
    </row>
    <row r="240" spans="19:19" ht="12.75" x14ac:dyDescent="0.2">
      <c r="S240" s="10"/>
    </row>
    <row r="241" spans="19:19" ht="12.75" x14ac:dyDescent="0.2">
      <c r="S241" s="10"/>
    </row>
    <row r="242" spans="19:19" ht="12.75" x14ac:dyDescent="0.2">
      <c r="S242" s="10"/>
    </row>
    <row r="243" spans="19:19" ht="12.75" x14ac:dyDescent="0.2">
      <c r="S243" s="10"/>
    </row>
    <row r="244" spans="19:19" ht="12.75" x14ac:dyDescent="0.2">
      <c r="S244" s="10"/>
    </row>
    <row r="245" spans="19:19" ht="12.75" x14ac:dyDescent="0.2">
      <c r="S245" s="10"/>
    </row>
    <row r="246" spans="19:19" ht="12.75" x14ac:dyDescent="0.2">
      <c r="S246" s="10"/>
    </row>
    <row r="247" spans="19:19" ht="12.75" x14ac:dyDescent="0.2">
      <c r="S247" s="10"/>
    </row>
    <row r="248" spans="19:19" ht="12.75" x14ac:dyDescent="0.2">
      <c r="S248" s="10"/>
    </row>
    <row r="249" spans="19:19" ht="12.75" x14ac:dyDescent="0.2">
      <c r="S249" s="10"/>
    </row>
    <row r="250" spans="19:19" ht="12.75" x14ac:dyDescent="0.2">
      <c r="S250" s="10"/>
    </row>
    <row r="251" spans="19:19" ht="12.75" x14ac:dyDescent="0.2">
      <c r="S251" s="10"/>
    </row>
    <row r="252" spans="19:19" ht="12.75" x14ac:dyDescent="0.2">
      <c r="S252" s="10"/>
    </row>
    <row r="253" spans="19:19" ht="12.75" x14ac:dyDescent="0.2">
      <c r="S253" s="10"/>
    </row>
    <row r="254" spans="19:19" ht="12.75" x14ac:dyDescent="0.2">
      <c r="S254" s="10"/>
    </row>
    <row r="255" spans="19:19" ht="12.75" x14ac:dyDescent="0.2">
      <c r="S255" s="10"/>
    </row>
    <row r="256" spans="19:19" ht="12.75" x14ac:dyDescent="0.2">
      <c r="S256" s="10"/>
    </row>
    <row r="257" spans="19:19" ht="12.75" x14ac:dyDescent="0.2">
      <c r="S257" s="10"/>
    </row>
    <row r="258" spans="19:19" ht="12.75" x14ac:dyDescent="0.2">
      <c r="S258" s="10"/>
    </row>
    <row r="259" spans="19:19" ht="12.75" x14ac:dyDescent="0.2">
      <c r="S259" s="10"/>
    </row>
    <row r="260" spans="19:19" ht="12.75" x14ac:dyDescent="0.2">
      <c r="S260" s="10"/>
    </row>
    <row r="261" spans="19:19" ht="12.75" x14ac:dyDescent="0.2">
      <c r="S261" s="10"/>
    </row>
    <row r="262" spans="19:19" ht="12.75" x14ac:dyDescent="0.2">
      <c r="S262" s="10"/>
    </row>
    <row r="263" spans="19:19" ht="12.75" x14ac:dyDescent="0.2">
      <c r="S263" s="10"/>
    </row>
    <row r="264" spans="19:19" ht="12.75" x14ac:dyDescent="0.2">
      <c r="S264" s="10"/>
    </row>
    <row r="265" spans="19:19" ht="12.75" x14ac:dyDescent="0.2">
      <c r="S265" s="10"/>
    </row>
    <row r="266" spans="19:19" ht="12.75" x14ac:dyDescent="0.2">
      <c r="S266" s="10"/>
    </row>
    <row r="267" spans="19:19" ht="12.75" x14ac:dyDescent="0.2">
      <c r="S267" s="10"/>
    </row>
    <row r="268" spans="19:19" ht="12.75" x14ac:dyDescent="0.2">
      <c r="S268" s="10"/>
    </row>
    <row r="269" spans="19:19" ht="12.75" x14ac:dyDescent="0.2">
      <c r="S269" s="10"/>
    </row>
    <row r="270" spans="19:19" ht="12.75" x14ac:dyDescent="0.2">
      <c r="S270" s="10"/>
    </row>
    <row r="271" spans="19:19" ht="12.75" x14ac:dyDescent="0.2">
      <c r="S271" s="10"/>
    </row>
    <row r="272" spans="19:19" ht="12.75" x14ac:dyDescent="0.2">
      <c r="S272" s="10"/>
    </row>
    <row r="273" spans="19:19" ht="12.75" x14ac:dyDescent="0.2">
      <c r="S273" s="10"/>
    </row>
    <row r="274" spans="19:19" ht="12.75" x14ac:dyDescent="0.2">
      <c r="S274" s="10"/>
    </row>
    <row r="275" spans="19:19" ht="12.75" x14ac:dyDescent="0.2">
      <c r="S275" s="10"/>
    </row>
    <row r="276" spans="19:19" ht="12.75" x14ac:dyDescent="0.2">
      <c r="S276" s="10"/>
    </row>
    <row r="277" spans="19:19" ht="12.75" x14ac:dyDescent="0.2">
      <c r="S277" s="10"/>
    </row>
    <row r="278" spans="19:19" ht="12.75" x14ac:dyDescent="0.2">
      <c r="S278" s="10"/>
    </row>
    <row r="279" spans="19:19" ht="12.75" x14ac:dyDescent="0.2">
      <c r="S279" s="10"/>
    </row>
    <row r="280" spans="19:19" ht="12.75" x14ac:dyDescent="0.2">
      <c r="S280" s="10"/>
    </row>
    <row r="281" spans="19:19" ht="12.75" x14ac:dyDescent="0.2">
      <c r="S281" s="10"/>
    </row>
    <row r="282" spans="19:19" ht="12.75" x14ac:dyDescent="0.2">
      <c r="S282" s="10"/>
    </row>
    <row r="283" spans="19:19" ht="12.75" x14ac:dyDescent="0.2">
      <c r="S283" s="10"/>
    </row>
    <row r="284" spans="19:19" ht="12.75" x14ac:dyDescent="0.2">
      <c r="S284" s="10"/>
    </row>
    <row r="285" spans="19:19" ht="12.75" x14ac:dyDescent="0.2">
      <c r="S285" s="10"/>
    </row>
    <row r="286" spans="19:19" ht="12.75" x14ac:dyDescent="0.2">
      <c r="S286" s="10"/>
    </row>
    <row r="287" spans="19:19" ht="12.75" x14ac:dyDescent="0.2">
      <c r="S287" s="10"/>
    </row>
    <row r="288" spans="19:19" ht="12.75" x14ac:dyDescent="0.2">
      <c r="S288" s="10"/>
    </row>
    <row r="289" spans="19:19" ht="12.75" x14ac:dyDescent="0.2">
      <c r="S289" s="10"/>
    </row>
    <row r="290" spans="19:19" ht="12.75" x14ac:dyDescent="0.2">
      <c r="S290" s="10"/>
    </row>
    <row r="291" spans="19:19" ht="12.75" x14ac:dyDescent="0.2">
      <c r="S291" s="10"/>
    </row>
    <row r="292" spans="19:19" ht="12.75" x14ac:dyDescent="0.2">
      <c r="S292" s="10"/>
    </row>
    <row r="293" spans="19:19" ht="12.75" x14ac:dyDescent="0.2">
      <c r="S293" s="10"/>
    </row>
    <row r="294" spans="19:19" ht="12.75" x14ac:dyDescent="0.2">
      <c r="S294" s="10"/>
    </row>
    <row r="295" spans="19:19" ht="12.75" x14ac:dyDescent="0.2">
      <c r="S295" s="10"/>
    </row>
    <row r="296" spans="19:19" ht="12.75" x14ac:dyDescent="0.2">
      <c r="S296" s="10"/>
    </row>
    <row r="297" spans="19:19" ht="12.75" x14ac:dyDescent="0.2">
      <c r="S297" s="10"/>
    </row>
    <row r="298" spans="19:19" ht="12.75" x14ac:dyDescent="0.2">
      <c r="S298" s="10"/>
    </row>
    <row r="299" spans="19:19" ht="12.75" x14ac:dyDescent="0.2">
      <c r="S299" s="10"/>
    </row>
    <row r="300" spans="19:19" ht="12.75" x14ac:dyDescent="0.2">
      <c r="S300" s="10"/>
    </row>
    <row r="301" spans="19:19" ht="12.75" x14ac:dyDescent="0.2">
      <c r="S301" s="10"/>
    </row>
    <row r="302" spans="19:19" ht="12.75" x14ac:dyDescent="0.2">
      <c r="S302" s="10"/>
    </row>
    <row r="303" spans="19:19" ht="12.75" x14ac:dyDescent="0.2">
      <c r="S303" s="10"/>
    </row>
    <row r="304" spans="19:19" ht="12.75" x14ac:dyDescent="0.2">
      <c r="S304" s="10"/>
    </row>
    <row r="305" spans="19:19" ht="12.75" x14ac:dyDescent="0.2">
      <c r="S305" s="10"/>
    </row>
    <row r="306" spans="19:19" ht="12.75" x14ac:dyDescent="0.2">
      <c r="S306" s="10"/>
    </row>
    <row r="307" spans="19:19" ht="12.75" x14ac:dyDescent="0.2">
      <c r="S307" s="10"/>
    </row>
    <row r="308" spans="19:19" ht="12.75" x14ac:dyDescent="0.2">
      <c r="S308" s="10"/>
    </row>
    <row r="309" spans="19:19" ht="12.75" x14ac:dyDescent="0.2">
      <c r="S309" s="10"/>
    </row>
    <row r="310" spans="19:19" ht="12.75" x14ac:dyDescent="0.2">
      <c r="S310" s="10"/>
    </row>
    <row r="311" spans="19:19" ht="12.75" x14ac:dyDescent="0.2">
      <c r="S311" s="10"/>
    </row>
    <row r="312" spans="19:19" ht="12.75" x14ac:dyDescent="0.2">
      <c r="S312" s="10"/>
    </row>
    <row r="313" spans="19:19" ht="12.75" x14ac:dyDescent="0.2">
      <c r="S313" s="10"/>
    </row>
    <row r="314" spans="19:19" ht="12.75" x14ac:dyDescent="0.2">
      <c r="S314" s="10"/>
    </row>
    <row r="315" spans="19:19" ht="12.75" x14ac:dyDescent="0.2">
      <c r="S315" s="10"/>
    </row>
    <row r="316" spans="19:19" ht="12.75" x14ac:dyDescent="0.2">
      <c r="S316" s="10"/>
    </row>
    <row r="317" spans="19:19" ht="12.75" x14ac:dyDescent="0.2">
      <c r="S317" s="10"/>
    </row>
    <row r="318" spans="19:19" ht="12.75" x14ac:dyDescent="0.2">
      <c r="S318" s="10"/>
    </row>
    <row r="319" spans="19:19" ht="12.75" x14ac:dyDescent="0.2">
      <c r="S319" s="10"/>
    </row>
    <row r="320" spans="19:19" ht="12.75" x14ac:dyDescent="0.2">
      <c r="S320" s="10"/>
    </row>
    <row r="321" spans="19:19" ht="12.75" x14ac:dyDescent="0.2">
      <c r="S321" s="10"/>
    </row>
    <row r="322" spans="19:19" ht="12.75" x14ac:dyDescent="0.2">
      <c r="S322" s="10"/>
    </row>
    <row r="323" spans="19:19" ht="12.75" x14ac:dyDescent="0.2">
      <c r="S323" s="10"/>
    </row>
    <row r="324" spans="19:19" ht="12.75" x14ac:dyDescent="0.2">
      <c r="S324" s="10"/>
    </row>
    <row r="325" spans="19:19" ht="12.75" x14ac:dyDescent="0.2">
      <c r="S325" s="10"/>
    </row>
    <row r="326" spans="19:19" ht="12.75" x14ac:dyDescent="0.2">
      <c r="S326" s="10"/>
    </row>
    <row r="327" spans="19:19" ht="12.75" x14ac:dyDescent="0.2">
      <c r="S327" s="10"/>
    </row>
    <row r="328" spans="19:19" ht="12.75" x14ac:dyDescent="0.2">
      <c r="S328" s="10"/>
    </row>
    <row r="329" spans="19:19" ht="12.75" x14ac:dyDescent="0.2">
      <c r="S329" s="10"/>
    </row>
    <row r="330" spans="19:19" ht="12.75" x14ac:dyDescent="0.2">
      <c r="S330" s="10"/>
    </row>
    <row r="331" spans="19:19" ht="12.75" x14ac:dyDescent="0.2">
      <c r="S331" s="10"/>
    </row>
    <row r="332" spans="19:19" ht="12.75" x14ac:dyDescent="0.2">
      <c r="S332" s="10"/>
    </row>
    <row r="333" spans="19:19" ht="12.75" x14ac:dyDescent="0.2">
      <c r="S333" s="10"/>
    </row>
    <row r="334" spans="19:19" ht="12.75" x14ac:dyDescent="0.2">
      <c r="S334" s="10"/>
    </row>
    <row r="335" spans="19:19" ht="12.75" x14ac:dyDescent="0.2">
      <c r="S335" s="10"/>
    </row>
    <row r="336" spans="19:19" ht="12.75" x14ac:dyDescent="0.2">
      <c r="S336" s="10"/>
    </row>
    <row r="337" spans="19:19" ht="12.75" x14ac:dyDescent="0.2">
      <c r="S337" s="10"/>
    </row>
    <row r="338" spans="19:19" ht="12.75" x14ac:dyDescent="0.2">
      <c r="S338" s="10"/>
    </row>
    <row r="339" spans="19:19" ht="12.75" x14ac:dyDescent="0.2">
      <c r="S339" s="10"/>
    </row>
    <row r="340" spans="19:19" ht="12.75" x14ac:dyDescent="0.2">
      <c r="S340" s="10"/>
    </row>
    <row r="341" spans="19:19" ht="12.75" x14ac:dyDescent="0.2">
      <c r="S341" s="10"/>
    </row>
    <row r="342" spans="19:19" ht="12.75" x14ac:dyDescent="0.2">
      <c r="S342" s="10"/>
    </row>
    <row r="343" spans="19:19" ht="12.75" x14ac:dyDescent="0.2">
      <c r="S343" s="10"/>
    </row>
    <row r="344" spans="19:19" ht="12.75" x14ac:dyDescent="0.2">
      <c r="S344" s="10"/>
    </row>
    <row r="345" spans="19:19" ht="12.75" x14ac:dyDescent="0.2">
      <c r="S345" s="10"/>
    </row>
    <row r="346" spans="19:19" ht="12.75" x14ac:dyDescent="0.2">
      <c r="S346" s="10"/>
    </row>
    <row r="347" spans="19:19" ht="12.75" x14ac:dyDescent="0.2">
      <c r="S347" s="10"/>
    </row>
    <row r="348" spans="19:19" ht="12.75" x14ac:dyDescent="0.2">
      <c r="S348" s="10"/>
    </row>
    <row r="349" spans="19:19" ht="12.75" x14ac:dyDescent="0.2">
      <c r="S349" s="10"/>
    </row>
    <row r="350" spans="19:19" ht="12.75" x14ac:dyDescent="0.2">
      <c r="S350" s="10"/>
    </row>
    <row r="351" spans="19:19" ht="12.75" x14ac:dyDescent="0.2">
      <c r="S351" s="10"/>
    </row>
    <row r="352" spans="19:19" ht="12.75" x14ac:dyDescent="0.2">
      <c r="S352" s="10"/>
    </row>
    <row r="353" spans="19:19" ht="12.75" x14ac:dyDescent="0.2">
      <c r="S353" s="10"/>
    </row>
    <row r="354" spans="19:19" ht="12.75" x14ac:dyDescent="0.2">
      <c r="S354" s="10"/>
    </row>
    <row r="355" spans="19:19" ht="12.75" x14ac:dyDescent="0.2">
      <c r="S355" s="10"/>
    </row>
    <row r="356" spans="19:19" ht="12.75" x14ac:dyDescent="0.2">
      <c r="S356" s="10"/>
    </row>
    <row r="357" spans="19:19" ht="12.75" x14ac:dyDescent="0.2">
      <c r="S357" s="10"/>
    </row>
    <row r="358" spans="19:19" ht="12.75" x14ac:dyDescent="0.2">
      <c r="S358" s="10"/>
    </row>
    <row r="359" spans="19:19" ht="12.75" x14ac:dyDescent="0.2">
      <c r="S359" s="10"/>
    </row>
    <row r="360" spans="19:19" ht="12.75" x14ac:dyDescent="0.2">
      <c r="S360" s="10"/>
    </row>
    <row r="361" spans="19:19" ht="12.75" x14ac:dyDescent="0.2">
      <c r="S361" s="10"/>
    </row>
    <row r="362" spans="19:19" ht="12.75" x14ac:dyDescent="0.2">
      <c r="S362" s="10"/>
    </row>
    <row r="363" spans="19:19" ht="12.75" x14ac:dyDescent="0.2">
      <c r="S363" s="10"/>
    </row>
    <row r="364" spans="19:19" ht="12.75" x14ac:dyDescent="0.2">
      <c r="S364" s="10"/>
    </row>
    <row r="365" spans="19:19" ht="12.75" x14ac:dyDescent="0.2">
      <c r="S365" s="10"/>
    </row>
    <row r="366" spans="19:19" ht="12.75" x14ac:dyDescent="0.2">
      <c r="S366" s="10"/>
    </row>
    <row r="367" spans="19:19" ht="12.75" x14ac:dyDescent="0.2">
      <c r="S367" s="10"/>
    </row>
    <row r="368" spans="19:19" ht="12.75" x14ac:dyDescent="0.2">
      <c r="S368" s="10"/>
    </row>
    <row r="369" spans="19:19" ht="12.75" x14ac:dyDescent="0.2">
      <c r="S369" s="10"/>
    </row>
    <row r="370" spans="19:19" ht="12.75" x14ac:dyDescent="0.2">
      <c r="S370" s="10"/>
    </row>
    <row r="371" spans="19:19" ht="12.75" x14ac:dyDescent="0.2">
      <c r="S371" s="10"/>
    </row>
    <row r="372" spans="19:19" ht="12.75" x14ac:dyDescent="0.2">
      <c r="S372" s="10"/>
    </row>
    <row r="373" spans="19:19" ht="12.75" x14ac:dyDescent="0.2">
      <c r="S373" s="10"/>
    </row>
    <row r="374" spans="19:19" ht="12.75" x14ac:dyDescent="0.2">
      <c r="S374" s="10"/>
    </row>
    <row r="375" spans="19:19" ht="12.75" x14ac:dyDescent="0.2">
      <c r="S375" s="10"/>
    </row>
    <row r="376" spans="19:19" ht="12.75" x14ac:dyDescent="0.2">
      <c r="S376" s="10"/>
    </row>
    <row r="377" spans="19:19" ht="12.75" x14ac:dyDescent="0.2">
      <c r="S377" s="10"/>
    </row>
    <row r="378" spans="19:19" ht="12.75" x14ac:dyDescent="0.2">
      <c r="S378" s="10"/>
    </row>
    <row r="379" spans="19:19" ht="12.75" x14ac:dyDescent="0.2">
      <c r="S379" s="10"/>
    </row>
    <row r="380" spans="19:19" ht="12.75" x14ac:dyDescent="0.2">
      <c r="S380" s="10"/>
    </row>
    <row r="381" spans="19:19" ht="12.75" x14ac:dyDescent="0.2">
      <c r="S381" s="10"/>
    </row>
    <row r="382" spans="19:19" ht="12.75" x14ac:dyDescent="0.2">
      <c r="S382" s="10"/>
    </row>
    <row r="383" spans="19:19" ht="12.75" x14ac:dyDescent="0.2">
      <c r="S383" s="10"/>
    </row>
    <row r="384" spans="19:19" ht="12.75" x14ac:dyDescent="0.2">
      <c r="S384" s="10"/>
    </row>
    <row r="385" spans="19:19" ht="12.75" x14ac:dyDescent="0.2">
      <c r="S385" s="10"/>
    </row>
    <row r="386" spans="19:19" ht="12.75" x14ac:dyDescent="0.2">
      <c r="S386" s="10"/>
    </row>
    <row r="387" spans="19:19" ht="12.75" x14ac:dyDescent="0.2">
      <c r="S387" s="10"/>
    </row>
    <row r="388" spans="19:19" ht="12.75" x14ac:dyDescent="0.2">
      <c r="S388" s="10"/>
    </row>
    <row r="389" spans="19:19" ht="12.75" x14ac:dyDescent="0.2">
      <c r="S389" s="10"/>
    </row>
    <row r="390" spans="19:19" ht="12.75" x14ac:dyDescent="0.2">
      <c r="S390" s="10"/>
    </row>
    <row r="391" spans="19:19" ht="12.75" x14ac:dyDescent="0.2">
      <c r="S391" s="10"/>
    </row>
    <row r="392" spans="19:19" ht="12.75" x14ac:dyDescent="0.2">
      <c r="S392" s="10"/>
    </row>
    <row r="393" spans="19:19" ht="12.75" x14ac:dyDescent="0.2">
      <c r="S393" s="10"/>
    </row>
    <row r="394" spans="19:19" ht="12.75" x14ac:dyDescent="0.2">
      <c r="S394" s="10"/>
    </row>
    <row r="395" spans="19:19" ht="12.75" x14ac:dyDescent="0.2">
      <c r="S395" s="10"/>
    </row>
    <row r="396" spans="19:19" ht="12.75" x14ac:dyDescent="0.2">
      <c r="S396" s="10"/>
    </row>
    <row r="397" spans="19:19" ht="12.75" x14ac:dyDescent="0.2">
      <c r="S397" s="10"/>
    </row>
    <row r="398" spans="19:19" ht="12.75" x14ac:dyDescent="0.2">
      <c r="S398" s="10"/>
    </row>
    <row r="399" spans="19:19" ht="12.75" x14ac:dyDescent="0.2">
      <c r="S399" s="10"/>
    </row>
    <row r="400" spans="19:19" ht="12.75" x14ac:dyDescent="0.2">
      <c r="S400" s="10"/>
    </row>
    <row r="401" spans="19:19" ht="12.75" x14ac:dyDescent="0.2">
      <c r="S401" s="10"/>
    </row>
    <row r="402" spans="19:19" ht="12.75" x14ac:dyDescent="0.2">
      <c r="S402" s="10"/>
    </row>
    <row r="403" spans="19:19" ht="12.75" x14ac:dyDescent="0.2">
      <c r="S403" s="10"/>
    </row>
    <row r="404" spans="19:19" ht="12.75" x14ac:dyDescent="0.2">
      <c r="S404" s="10"/>
    </row>
    <row r="405" spans="19:19" ht="12.75" x14ac:dyDescent="0.2">
      <c r="S405" s="10"/>
    </row>
    <row r="406" spans="19:19" ht="12.75" x14ac:dyDescent="0.2">
      <c r="S406" s="10"/>
    </row>
    <row r="407" spans="19:19" ht="12.75" x14ac:dyDescent="0.2">
      <c r="S407" s="10"/>
    </row>
    <row r="408" spans="19:19" ht="12.75" x14ac:dyDescent="0.2">
      <c r="S408" s="10"/>
    </row>
    <row r="409" spans="19:19" ht="12.75" x14ac:dyDescent="0.2">
      <c r="S409" s="10"/>
    </row>
    <row r="410" spans="19:19" ht="12.75" x14ac:dyDescent="0.2">
      <c r="S410" s="10"/>
    </row>
    <row r="411" spans="19:19" ht="12.75" x14ac:dyDescent="0.2">
      <c r="S411" s="10"/>
    </row>
    <row r="412" spans="19:19" ht="12.75" x14ac:dyDescent="0.2">
      <c r="S412" s="10"/>
    </row>
    <row r="413" spans="19:19" ht="12.75" x14ac:dyDescent="0.2">
      <c r="S413" s="10"/>
    </row>
    <row r="414" spans="19:19" ht="12.75" x14ac:dyDescent="0.2">
      <c r="S414" s="10"/>
    </row>
    <row r="415" spans="19:19" ht="12.75" x14ac:dyDescent="0.2">
      <c r="S415" s="10"/>
    </row>
    <row r="416" spans="19:19" ht="12.75" x14ac:dyDescent="0.2">
      <c r="S416" s="10"/>
    </row>
    <row r="417" spans="19:19" ht="12.75" x14ac:dyDescent="0.2">
      <c r="S417" s="10"/>
    </row>
    <row r="418" spans="19:19" ht="12.75" x14ac:dyDescent="0.2">
      <c r="S418" s="10"/>
    </row>
    <row r="419" spans="19:19" ht="12.75" x14ac:dyDescent="0.2">
      <c r="S419" s="10"/>
    </row>
    <row r="420" spans="19:19" ht="12.75" x14ac:dyDescent="0.2">
      <c r="S420" s="10"/>
    </row>
    <row r="421" spans="19:19" ht="12.75" x14ac:dyDescent="0.2">
      <c r="S421" s="10"/>
    </row>
    <row r="422" spans="19:19" ht="12.75" x14ac:dyDescent="0.2">
      <c r="S422" s="10"/>
    </row>
    <row r="423" spans="19:19" ht="12.75" x14ac:dyDescent="0.2">
      <c r="S423" s="10"/>
    </row>
    <row r="424" spans="19:19" ht="12.75" x14ac:dyDescent="0.2">
      <c r="S424" s="10"/>
    </row>
    <row r="425" spans="19:19" ht="12.75" x14ac:dyDescent="0.2">
      <c r="S425" s="10"/>
    </row>
    <row r="426" spans="19:19" ht="12.75" x14ac:dyDescent="0.2">
      <c r="S426" s="10"/>
    </row>
    <row r="427" spans="19:19" ht="12.75" x14ac:dyDescent="0.2">
      <c r="S427" s="10"/>
    </row>
    <row r="428" spans="19:19" ht="12.75" x14ac:dyDescent="0.2">
      <c r="S428" s="10"/>
    </row>
    <row r="429" spans="19:19" ht="12.75" x14ac:dyDescent="0.2">
      <c r="S429" s="10"/>
    </row>
    <row r="430" spans="19:19" ht="12.75" x14ac:dyDescent="0.2">
      <c r="S430" s="10"/>
    </row>
    <row r="431" spans="19:19" ht="12.75" x14ac:dyDescent="0.2">
      <c r="S431" s="10"/>
    </row>
    <row r="432" spans="19:19" ht="12.75" x14ac:dyDescent="0.2">
      <c r="S432" s="10"/>
    </row>
    <row r="433" spans="19:19" ht="12.75" x14ac:dyDescent="0.2">
      <c r="S433" s="10"/>
    </row>
    <row r="434" spans="19:19" ht="12.75" x14ac:dyDescent="0.2">
      <c r="S434" s="10"/>
    </row>
    <row r="435" spans="19:19" ht="12.75" x14ac:dyDescent="0.2">
      <c r="S435" s="10"/>
    </row>
    <row r="436" spans="19:19" ht="12.75" x14ac:dyDescent="0.2">
      <c r="S436" s="10"/>
    </row>
    <row r="437" spans="19:19" ht="12.75" x14ac:dyDescent="0.2">
      <c r="S437" s="10"/>
    </row>
    <row r="438" spans="19:19" ht="12.75" x14ac:dyDescent="0.2">
      <c r="S438" s="10"/>
    </row>
    <row r="439" spans="19:19" ht="12.75" x14ac:dyDescent="0.2">
      <c r="S439" s="10"/>
    </row>
    <row r="440" spans="19:19" ht="12.75" x14ac:dyDescent="0.2">
      <c r="S440" s="10"/>
    </row>
    <row r="441" spans="19:19" ht="12.75" x14ac:dyDescent="0.2">
      <c r="S441" s="10"/>
    </row>
    <row r="442" spans="19:19" ht="12.75" x14ac:dyDescent="0.2">
      <c r="S442" s="10"/>
    </row>
    <row r="443" spans="19:19" ht="12.75" x14ac:dyDescent="0.2">
      <c r="S443" s="10"/>
    </row>
    <row r="444" spans="19:19" ht="12.75" x14ac:dyDescent="0.2">
      <c r="S444" s="10"/>
    </row>
    <row r="445" spans="19:19" ht="12.75" x14ac:dyDescent="0.2">
      <c r="S445" s="10"/>
    </row>
    <row r="446" spans="19:19" ht="12.75" x14ac:dyDescent="0.2">
      <c r="S446" s="10"/>
    </row>
    <row r="447" spans="19:19" ht="12.75" x14ac:dyDescent="0.2">
      <c r="S447" s="10"/>
    </row>
    <row r="448" spans="19:19" ht="12.75" x14ac:dyDescent="0.2">
      <c r="S448" s="10"/>
    </row>
    <row r="449" spans="19:19" ht="12.75" x14ac:dyDescent="0.2">
      <c r="S449" s="10"/>
    </row>
    <row r="450" spans="19:19" ht="12.75" x14ac:dyDescent="0.2">
      <c r="S450" s="10"/>
    </row>
    <row r="451" spans="19:19" ht="12.75" x14ac:dyDescent="0.2">
      <c r="S451" s="10"/>
    </row>
    <row r="452" spans="19:19" ht="12.75" x14ac:dyDescent="0.2">
      <c r="S452" s="10"/>
    </row>
    <row r="453" spans="19:19" ht="12.75" x14ac:dyDescent="0.2">
      <c r="S453" s="10"/>
    </row>
    <row r="454" spans="19:19" ht="12.75" x14ac:dyDescent="0.2">
      <c r="S454" s="10"/>
    </row>
    <row r="455" spans="19:19" ht="12.75" x14ac:dyDescent="0.2">
      <c r="S455" s="10"/>
    </row>
    <row r="456" spans="19:19" ht="12.75" x14ac:dyDescent="0.2">
      <c r="S456" s="10"/>
    </row>
    <row r="457" spans="19:19" ht="12.75" x14ac:dyDescent="0.2">
      <c r="S457" s="10"/>
    </row>
    <row r="458" spans="19:19" ht="12.75" x14ac:dyDescent="0.2">
      <c r="S458" s="10"/>
    </row>
    <row r="459" spans="19:19" ht="12.75" x14ac:dyDescent="0.2">
      <c r="S459" s="10"/>
    </row>
    <row r="460" spans="19:19" ht="12.75" x14ac:dyDescent="0.2">
      <c r="S460" s="10"/>
    </row>
    <row r="461" spans="19:19" ht="12.75" x14ac:dyDescent="0.2">
      <c r="S461" s="10"/>
    </row>
    <row r="462" spans="19:19" ht="12.75" x14ac:dyDescent="0.2">
      <c r="S462" s="10"/>
    </row>
    <row r="463" spans="19:19" ht="12.75" x14ac:dyDescent="0.2">
      <c r="S463" s="10"/>
    </row>
    <row r="464" spans="19:19" ht="12.75" x14ac:dyDescent="0.2">
      <c r="S464" s="10"/>
    </row>
    <row r="465" spans="19:19" ht="12.75" x14ac:dyDescent="0.2">
      <c r="S465" s="10"/>
    </row>
    <row r="466" spans="19:19" ht="12.75" x14ac:dyDescent="0.2">
      <c r="S466" s="10"/>
    </row>
    <row r="467" spans="19:19" ht="12.75" x14ac:dyDescent="0.2">
      <c r="S467" s="10"/>
    </row>
    <row r="468" spans="19:19" ht="12.75" x14ac:dyDescent="0.2">
      <c r="S468" s="10"/>
    </row>
    <row r="469" spans="19:19" ht="12.75" x14ac:dyDescent="0.2">
      <c r="S469" s="10"/>
    </row>
    <row r="470" spans="19:19" ht="12.75" x14ac:dyDescent="0.2">
      <c r="S470" s="10"/>
    </row>
    <row r="471" spans="19:19" ht="12.75" x14ac:dyDescent="0.2">
      <c r="S471" s="10"/>
    </row>
    <row r="472" spans="19:19" ht="12.75" x14ac:dyDescent="0.2">
      <c r="S472" s="10"/>
    </row>
    <row r="473" spans="19:19" ht="12.75" x14ac:dyDescent="0.2">
      <c r="S473" s="10"/>
    </row>
    <row r="474" spans="19:19" ht="12.75" x14ac:dyDescent="0.2">
      <c r="S474" s="10"/>
    </row>
    <row r="475" spans="19:19" ht="12.75" x14ac:dyDescent="0.2">
      <c r="S475" s="10"/>
    </row>
    <row r="476" spans="19:19" ht="12.75" x14ac:dyDescent="0.2">
      <c r="S476" s="10"/>
    </row>
    <row r="477" spans="19:19" ht="12.75" x14ac:dyDescent="0.2">
      <c r="S477" s="10"/>
    </row>
    <row r="478" spans="19:19" ht="12.75" x14ac:dyDescent="0.2">
      <c r="S478" s="10"/>
    </row>
    <row r="479" spans="19:19" ht="12.75" x14ac:dyDescent="0.2">
      <c r="S479" s="10"/>
    </row>
    <row r="480" spans="19:19" ht="12.75" x14ac:dyDescent="0.2">
      <c r="S480" s="10"/>
    </row>
    <row r="481" spans="19:19" ht="12.75" x14ac:dyDescent="0.2">
      <c r="S481" s="10"/>
    </row>
    <row r="482" spans="19:19" ht="12.75" x14ac:dyDescent="0.2">
      <c r="S482" s="10"/>
    </row>
    <row r="483" spans="19:19" ht="12.75" x14ac:dyDescent="0.2">
      <c r="S483" s="10"/>
    </row>
    <row r="484" spans="19:19" ht="12.75" x14ac:dyDescent="0.2">
      <c r="S484" s="10"/>
    </row>
    <row r="485" spans="19:19" ht="12.75" x14ac:dyDescent="0.2">
      <c r="S485" s="10"/>
    </row>
    <row r="486" spans="19:19" ht="12.75" x14ac:dyDescent="0.2">
      <c r="S486" s="10"/>
    </row>
    <row r="487" spans="19:19" ht="12.75" x14ac:dyDescent="0.2">
      <c r="S487" s="10"/>
    </row>
    <row r="488" spans="19:19" ht="12.75" x14ac:dyDescent="0.2">
      <c r="S488" s="10"/>
    </row>
    <row r="489" spans="19:19" ht="12.75" x14ac:dyDescent="0.2">
      <c r="S489" s="10"/>
    </row>
    <row r="490" spans="19:19" ht="12.75" x14ac:dyDescent="0.2">
      <c r="S490" s="10"/>
    </row>
    <row r="491" spans="19:19" ht="12.75" x14ac:dyDescent="0.2">
      <c r="S491" s="10"/>
    </row>
    <row r="492" spans="19:19" ht="12.75" x14ac:dyDescent="0.2">
      <c r="S492" s="10"/>
    </row>
    <row r="493" spans="19:19" ht="12.75" x14ac:dyDescent="0.2">
      <c r="S493" s="10"/>
    </row>
    <row r="494" spans="19:19" ht="12.75" x14ac:dyDescent="0.2">
      <c r="S494" s="10"/>
    </row>
    <row r="495" spans="19:19" ht="12.75" x14ac:dyDescent="0.2">
      <c r="S495" s="10"/>
    </row>
    <row r="496" spans="19:19" ht="12.75" x14ac:dyDescent="0.2">
      <c r="S496" s="10"/>
    </row>
    <row r="497" spans="19:19" ht="12.75" x14ac:dyDescent="0.2">
      <c r="S497" s="10"/>
    </row>
    <row r="498" spans="19:19" ht="12.75" x14ac:dyDescent="0.2">
      <c r="S498" s="10"/>
    </row>
    <row r="499" spans="19:19" ht="12.75" x14ac:dyDescent="0.2">
      <c r="S499" s="10"/>
    </row>
    <row r="500" spans="19:19" ht="12.75" x14ac:dyDescent="0.2">
      <c r="S500" s="10"/>
    </row>
    <row r="501" spans="19:19" ht="12.75" x14ac:dyDescent="0.2">
      <c r="S501" s="10"/>
    </row>
    <row r="502" spans="19:19" ht="12.75" x14ac:dyDescent="0.2">
      <c r="S502" s="10"/>
    </row>
    <row r="503" spans="19:19" ht="12.75" x14ac:dyDescent="0.2">
      <c r="S503" s="10"/>
    </row>
    <row r="504" spans="19:19" ht="12.75" x14ac:dyDescent="0.2">
      <c r="S504" s="10"/>
    </row>
    <row r="505" spans="19:19" ht="12.75" x14ac:dyDescent="0.2">
      <c r="S505" s="10"/>
    </row>
    <row r="506" spans="19:19" ht="12.75" x14ac:dyDescent="0.2">
      <c r="S506" s="10"/>
    </row>
    <row r="507" spans="19:19" ht="12.75" x14ac:dyDescent="0.2">
      <c r="S507" s="10"/>
    </row>
    <row r="508" spans="19:19" ht="12.75" x14ac:dyDescent="0.2">
      <c r="S508" s="10"/>
    </row>
    <row r="509" spans="19:19" ht="12.75" x14ac:dyDescent="0.2">
      <c r="S509" s="10"/>
    </row>
    <row r="510" spans="19:19" ht="12.75" x14ac:dyDescent="0.2">
      <c r="S510" s="10"/>
    </row>
    <row r="511" spans="19:19" ht="12.75" x14ac:dyDescent="0.2">
      <c r="S511" s="10"/>
    </row>
    <row r="512" spans="19:19" ht="12.75" x14ac:dyDescent="0.2">
      <c r="S512" s="10"/>
    </row>
    <row r="513" spans="19:19" ht="12.75" x14ac:dyDescent="0.2">
      <c r="S513" s="10"/>
    </row>
    <row r="514" spans="19:19" ht="12.75" x14ac:dyDescent="0.2">
      <c r="S514" s="10"/>
    </row>
    <row r="515" spans="19:19" ht="12.75" x14ac:dyDescent="0.2">
      <c r="S515" s="10"/>
    </row>
    <row r="516" spans="19:19" ht="12.75" x14ac:dyDescent="0.2">
      <c r="S516" s="10"/>
    </row>
    <row r="517" spans="19:19" ht="12.75" x14ac:dyDescent="0.2">
      <c r="S517" s="10"/>
    </row>
    <row r="518" spans="19:19" ht="12.75" x14ac:dyDescent="0.2">
      <c r="S518" s="10"/>
    </row>
    <row r="519" spans="19:19" ht="12.75" x14ac:dyDescent="0.2">
      <c r="S519" s="10"/>
    </row>
    <row r="520" spans="19:19" ht="12.75" x14ac:dyDescent="0.2">
      <c r="S520" s="10"/>
    </row>
    <row r="521" spans="19:19" ht="12.75" x14ac:dyDescent="0.2">
      <c r="S521" s="10"/>
    </row>
    <row r="522" spans="19:19" ht="12.75" x14ac:dyDescent="0.2">
      <c r="S522" s="10"/>
    </row>
    <row r="523" spans="19:19" ht="12.75" x14ac:dyDescent="0.2">
      <c r="S523" s="10"/>
    </row>
    <row r="524" spans="19:19" ht="12.75" x14ac:dyDescent="0.2">
      <c r="S524" s="10"/>
    </row>
    <row r="525" spans="19:19" ht="12.75" x14ac:dyDescent="0.2">
      <c r="S525" s="10"/>
    </row>
    <row r="526" spans="19:19" ht="12.75" x14ac:dyDescent="0.2">
      <c r="S526" s="10"/>
    </row>
    <row r="527" spans="19:19" ht="12.75" x14ac:dyDescent="0.2">
      <c r="S527" s="10"/>
    </row>
    <row r="528" spans="19:19" ht="12.75" x14ac:dyDescent="0.2">
      <c r="S528" s="10"/>
    </row>
    <row r="529" spans="19:19" ht="12.75" x14ac:dyDescent="0.2">
      <c r="S529" s="10"/>
    </row>
    <row r="530" spans="19:19" ht="12.75" x14ac:dyDescent="0.2">
      <c r="S530" s="10"/>
    </row>
    <row r="531" spans="19:19" ht="12.75" x14ac:dyDescent="0.2">
      <c r="S531" s="10"/>
    </row>
    <row r="532" spans="19:19" ht="12.75" x14ac:dyDescent="0.2">
      <c r="S532" s="10"/>
    </row>
    <row r="533" spans="19:19" ht="12.75" x14ac:dyDescent="0.2">
      <c r="S533" s="10"/>
    </row>
    <row r="534" spans="19:19" ht="12.75" x14ac:dyDescent="0.2">
      <c r="S534" s="10"/>
    </row>
    <row r="535" spans="19:19" ht="12.75" x14ac:dyDescent="0.2">
      <c r="S535" s="10"/>
    </row>
    <row r="536" spans="19:19" ht="12.75" x14ac:dyDescent="0.2">
      <c r="S536" s="10"/>
    </row>
    <row r="537" spans="19:19" ht="12.75" x14ac:dyDescent="0.2">
      <c r="S537" s="10"/>
    </row>
    <row r="538" spans="19:19" ht="12.75" x14ac:dyDescent="0.2">
      <c r="S538" s="10"/>
    </row>
    <row r="539" spans="19:19" ht="12.75" x14ac:dyDescent="0.2">
      <c r="S539" s="10"/>
    </row>
    <row r="540" spans="19:19" ht="12.75" x14ac:dyDescent="0.2">
      <c r="S540" s="10"/>
    </row>
    <row r="541" spans="19:19" ht="12.75" x14ac:dyDescent="0.2">
      <c r="S541" s="10"/>
    </row>
    <row r="542" spans="19:19" ht="12.75" x14ac:dyDescent="0.2">
      <c r="S542" s="10"/>
    </row>
    <row r="543" spans="19:19" ht="12.75" x14ac:dyDescent="0.2">
      <c r="S543" s="10"/>
    </row>
    <row r="544" spans="19:19" ht="12.75" x14ac:dyDescent="0.2">
      <c r="S544" s="10"/>
    </row>
    <row r="545" spans="19:19" ht="12.75" x14ac:dyDescent="0.2">
      <c r="S545" s="10"/>
    </row>
    <row r="546" spans="19:19" ht="12.75" x14ac:dyDescent="0.2">
      <c r="S546" s="10"/>
    </row>
    <row r="547" spans="19:19" ht="12.75" x14ac:dyDescent="0.2">
      <c r="S547" s="10"/>
    </row>
    <row r="548" spans="19:19" ht="12.75" x14ac:dyDescent="0.2">
      <c r="S548" s="10"/>
    </row>
    <row r="549" spans="19:19" ht="12.75" x14ac:dyDescent="0.2">
      <c r="S549" s="10"/>
    </row>
    <row r="550" spans="19:19" ht="12.75" x14ac:dyDescent="0.2">
      <c r="S550" s="10"/>
    </row>
    <row r="551" spans="19:19" ht="12.75" x14ac:dyDescent="0.2">
      <c r="S551" s="10"/>
    </row>
    <row r="552" spans="19:19" ht="12.75" x14ac:dyDescent="0.2">
      <c r="S552" s="10"/>
    </row>
    <row r="553" spans="19:19" ht="12.75" x14ac:dyDescent="0.2">
      <c r="S553" s="10"/>
    </row>
    <row r="554" spans="19:19" ht="12.75" x14ac:dyDescent="0.2">
      <c r="S554" s="10"/>
    </row>
    <row r="555" spans="19:19" ht="12.75" x14ac:dyDescent="0.2">
      <c r="S555" s="10"/>
    </row>
    <row r="556" spans="19:19" ht="12.75" x14ac:dyDescent="0.2">
      <c r="S556" s="10"/>
    </row>
    <row r="557" spans="19:19" ht="12.75" x14ac:dyDescent="0.2">
      <c r="S557" s="10"/>
    </row>
    <row r="558" spans="19:19" ht="12.75" x14ac:dyDescent="0.2">
      <c r="S558" s="10"/>
    </row>
    <row r="559" spans="19:19" ht="12.75" x14ac:dyDescent="0.2">
      <c r="S559" s="10"/>
    </row>
    <row r="560" spans="19:19" ht="12.75" x14ac:dyDescent="0.2">
      <c r="S560" s="10"/>
    </row>
    <row r="561" spans="19:19" ht="12.75" x14ac:dyDescent="0.2">
      <c r="S561" s="10"/>
    </row>
    <row r="562" spans="19:19" ht="12.75" x14ac:dyDescent="0.2">
      <c r="S562" s="10"/>
    </row>
    <row r="563" spans="19:19" ht="12.75" x14ac:dyDescent="0.2">
      <c r="S563" s="10"/>
    </row>
    <row r="564" spans="19:19" ht="12.75" x14ac:dyDescent="0.2">
      <c r="S564" s="10"/>
    </row>
    <row r="565" spans="19:19" ht="12.75" x14ac:dyDescent="0.2">
      <c r="S565" s="10"/>
    </row>
    <row r="566" spans="19:19" ht="12.75" x14ac:dyDescent="0.2">
      <c r="S566" s="10"/>
    </row>
    <row r="567" spans="19:19" ht="12.75" x14ac:dyDescent="0.2">
      <c r="S567" s="10"/>
    </row>
    <row r="568" spans="19:19" ht="12.75" x14ac:dyDescent="0.2">
      <c r="S568" s="10"/>
    </row>
    <row r="569" spans="19:19" ht="12.75" x14ac:dyDescent="0.2">
      <c r="S569" s="10"/>
    </row>
    <row r="570" spans="19:19" ht="12.75" x14ac:dyDescent="0.2">
      <c r="S570" s="10"/>
    </row>
    <row r="571" spans="19:19" ht="12.75" x14ac:dyDescent="0.2">
      <c r="S571" s="10"/>
    </row>
    <row r="572" spans="19:19" ht="12.75" x14ac:dyDescent="0.2">
      <c r="S572" s="10"/>
    </row>
    <row r="573" spans="19:19" ht="12.75" x14ac:dyDescent="0.2">
      <c r="S573" s="10"/>
    </row>
    <row r="574" spans="19:19" ht="12.75" x14ac:dyDescent="0.2">
      <c r="S574" s="10"/>
    </row>
    <row r="575" spans="19:19" ht="12.75" x14ac:dyDescent="0.2">
      <c r="S575" s="10"/>
    </row>
    <row r="576" spans="19:19" ht="12.75" x14ac:dyDescent="0.2">
      <c r="S576" s="10"/>
    </row>
    <row r="577" spans="19:19" ht="12.75" x14ac:dyDescent="0.2">
      <c r="S577" s="10"/>
    </row>
    <row r="578" spans="19:19" ht="12.75" x14ac:dyDescent="0.2">
      <c r="S578" s="10"/>
    </row>
    <row r="579" spans="19:19" ht="12.75" x14ac:dyDescent="0.2">
      <c r="S579" s="10"/>
    </row>
    <row r="580" spans="19:19" ht="12.75" x14ac:dyDescent="0.2">
      <c r="S580" s="10"/>
    </row>
    <row r="581" spans="19:19" ht="12.75" x14ac:dyDescent="0.2">
      <c r="S581" s="10"/>
    </row>
    <row r="582" spans="19:19" ht="12.75" x14ac:dyDescent="0.2">
      <c r="S582" s="10"/>
    </row>
    <row r="583" spans="19:19" ht="12.75" x14ac:dyDescent="0.2">
      <c r="S583" s="10"/>
    </row>
    <row r="584" spans="19:19" ht="12.75" x14ac:dyDescent="0.2">
      <c r="S584" s="10"/>
    </row>
    <row r="585" spans="19:19" ht="12.75" x14ac:dyDescent="0.2">
      <c r="S585" s="10"/>
    </row>
    <row r="586" spans="19:19" ht="12.75" x14ac:dyDescent="0.2">
      <c r="S586" s="10"/>
    </row>
    <row r="587" spans="19:19" ht="12.75" x14ac:dyDescent="0.2">
      <c r="S587" s="10"/>
    </row>
    <row r="588" spans="19:19" ht="12.75" x14ac:dyDescent="0.2">
      <c r="S588" s="10"/>
    </row>
    <row r="589" spans="19:19" ht="12.75" x14ac:dyDescent="0.2">
      <c r="S589" s="10"/>
    </row>
    <row r="590" spans="19:19" ht="12.75" x14ac:dyDescent="0.2">
      <c r="S590" s="10"/>
    </row>
    <row r="591" spans="19:19" ht="12.75" x14ac:dyDescent="0.2">
      <c r="S591" s="10"/>
    </row>
    <row r="592" spans="19:19" ht="12.75" x14ac:dyDescent="0.2">
      <c r="S592" s="10"/>
    </row>
    <row r="593" spans="19:19" ht="12.75" x14ac:dyDescent="0.2">
      <c r="S593" s="10"/>
    </row>
    <row r="594" spans="19:19" ht="12.75" x14ac:dyDescent="0.2">
      <c r="S594" s="10"/>
    </row>
    <row r="595" spans="19:19" ht="12.75" x14ac:dyDescent="0.2">
      <c r="S595" s="10"/>
    </row>
    <row r="596" spans="19:19" ht="12.75" x14ac:dyDescent="0.2">
      <c r="S596" s="10"/>
    </row>
    <row r="597" spans="19:19" ht="12.75" x14ac:dyDescent="0.2">
      <c r="S597" s="10"/>
    </row>
    <row r="598" spans="19:19" ht="12.75" x14ac:dyDescent="0.2">
      <c r="S598" s="10"/>
    </row>
    <row r="599" spans="19:19" ht="12.75" x14ac:dyDescent="0.2">
      <c r="S599" s="10"/>
    </row>
    <row r="600" spans="19:19" ht="12.75" x14ac:dyDescent="0.2">
      <c r="S600" s="10"/>
    </row>
    <row r="601" spans="19:19" ht="12.75" x14ac:dyDescent="0.2">
      <c r="S601" s="10"/>
    </row>
    <row r="602" spans="19:19" ht="12.75" x14ac:dyDescent="0.2">
      <c r="S602" s="10"/>
    </row>
    <row r="603" spans="19:19" ht="12.75" x14ac:dyDescent="0.2">
      <c r="S603" s="10"/>
    </row>
    <row r="604" spans="19:19" ht="12.75" x14ac:dyDescent="0.2">
      <c r="S604" s="10"/>
    </row>
    <row r="605" spans="19:19" ht="12.75" x14ac:dyDescent="0.2">
      <c r="S605" s="10"/>
    </row>
    <row r="606" spans="19:19" ht="12.75" x14ac:dyDescent="0.2">
      <c r="S606" s="10"/>
    </row>
    <row r="607" spans="19:19" ht="12.75" x14ac:dyDescent="0.2">
      <c r="S607" s="10"/>
    </row>
    <row r="608" spans="19:19" ht="12.75" x14ac:dyDescent="0.2">
      <c r="S608" s="10"/>
    </row>
    <row r="609" spans="19:19" ht="12.75" x14ac:dyDescent="0.2">
      <c r="S609" s="10"/>
    </row>
    <row r="610" spans="19:19" ht="12.75" x14ac:dyDescent="0.2">
      <c r="S610" s="10"/>
    </row>
    <row r="611" spans="19:19" ht="12.75" x14ac:dyDescent="0.2">
      <c r="S611" s="10"/>
    </row>
    <row r="612" spans="19:19" ht="12.75" x14ac:dyDescent="0.2">
      <c r="S612" s="10"/>
    </row>
    <row r="613" spans="19:19" ht="12.75" x14ac:dyDescent="0.2">
      <c r="S613" s="10"/>
    </row>
    <row r="614" spans="19:19" ht="12.75" x14ac:dyDescent="0.2">
      <c r="S614" s="10"/>
    </row>
    <row r="615" spans="19:19" ht="12.75" x14ac:dyDescent="0.2">
      <c r="S615" s="10"/>
    </row>
    <row r="616" spans="19:19" ht="12.75" x14ac:dyDescent="0.2">
      <c r="S616" s="10"/>
    </row>
    <row r="617" spans="19:19" ht="12.75" x14ac:dyDescent="0.2">
      <c r="S617" s="10"/>
    </row>
    <row r="618" spans="19:19" ht="12.75" x14ac:dyDescent="0.2">
      <c r="S618" s="10"/>
    </row>
    <row r="619" spans="19:19" ht="12.75" x14ac:dyDescent="0.2">
      <c r="S619" s="10"/>
    </row>
    <row r="620" spans="19:19" ht="12.75" x14ac:dyDescent="0.2">
      <c r="S620" s="10"/>
    </row>
    <row r="621" spans="19:19" ht="12.75" x14ac:dyDescent="0.2">
      <c r="S621" s="10"/>
    </row>
    <row r="622" spans="19:19" ht="12.75" x14ac:dyDescent="0.2">
      <c r="S622" s="10"/>
    </row>
    <row r="623" spans="19:19" ht="12.75" x14ac:dyDescent="0.2">
      <c r="S623" s="10"/>
    </row>
    <row r="624" spans="19:19" ht="12.75" x14ac:dyDescent="0.2">
      <c r="S624" s="10"/>
    </row>
    <row r="625" spans="19:19" ht="12.75" x14ac:dyDescent="0.2">
      <c r="S625" s="10"/>
    </row>
    <row r="626" spans="19:19" ht="12.75" x14ac:dyDescent="0.2">
      <c r="S626" s="10"/>
    </row>
    <row r="627" spans="19:19" ht="12.75" x14ac:dyDescent="0.2">
      <c r="S627" s="10"/>
    </row>
    <row r="628" spans="19:19" ht="12.75" x14ac:dyDescent="0.2">
      <c r="S628" s="10"/>
    </row>
    <row r="629" spans="19:19" ht="12.75" x14ac:dyDescent="0.2">
      <c r="S629" s="10"/>
    </row>
    <row r="630" spans="19:19" ht="12.75" x14ac:dyDescent="0.2">
      <c r="S630" s="10"/>
    </row>
    <row r="631" spans="19:19" ht="12.75" x14ac:dyDescent="0.2">
      <c r="S631" s="10"/>
    </row>
    <row r="632" spans="19:19" ht="12.75" x14ac:dyDescent="0.2">
      <c r="S632" s="10"/>
    </row>
    <row r="633" spans="19:19" ht="12.75" x14ac:dyDescent="0.2">
      <c r="S633" s="10"/>
    </row>
    <row r="634" spans="19:19" ht="12.75" x14ac:dyDescent="0.2">
      <c r="S634" s="10"/>
    </row>
    <row r="635" spans="19:19" ht="12.75" x14ac:dyDescent="0.2">
      <c r="S635" s="10"/>
    </row>
    <row r="636" spans="19:19" ht="12.75" x14ac:dyDescent="0.2">
      <c r="S636" s="10"/>
    </row>
    <row r="637" spans="19:19" ht="12.75" x14ac:dyDescent="0.2">
      <c r="S637" s="10"/>
    </row>
    <row r="638" spans="19:19" ht="12.75" x14ac:dyDescent="0.2">
      <c r="S638" s="10"/>
    </row>
    <row r="639" spans="19:19" ht="12.75" x14ac:dyDescent="0.2">
      <c r="S639" s="10"/>
    </row>
    <row r="640" spans="19:19" ht="12.75" x14ac:dyDescent="0.2">
      <c r="S640" s="10"/>
    </row>
    <row r="641" spans="19:19" ht="12.75" x14ac:dyDescent="0.2">
      <c r="S641" s="10"/>
    </row>
    <row r="642" spans="19:19" ht="12.75" x14ac:dyDescent="0.2">
      <c r="S642" s="10"/>
    </row>
    <row r="643" spans="19:19" ht="12.75" x14ac:dyDescent="0.2">
      <c r="S643" s="10"/>
    </row>
    <row r="644" spans="19:19" ht="12.75" x14ac:dyDescent="0.2">
      <c r="S644" s="10"/>
    </row>
    <row r="645" spans="19:19" ht="12.75" x14ac:dyDescent="0.2">
      <c r="S645" s="10"/>
    </row>
    <row r="646" spans="19:19" ht="12.75" x14ac:dyDescent="0.2">
      <c r="S646" s="10"/>
    </row>
    <row r="647" spans="19:19" ht="12.75" x14ac:dyDescent="0.2">
      <c r="S647" s="10"/>
    </row>
    <row r="648" spans="19:19" ht="12.75" x14ac:dyDescent="0.2">
      <c r="S648" s="10"/>
    </row>
    <row r="649" spans="19:19" ht="12.75" x14ac:dyDescent="0.2">
      <c r="S649" s="10"/>
    </row>
    <row r="650" spans="19:19" ht="12.75" x14ac:dyDescent="0.2">
      <c r="S650" s="10"/>
    </row>
    <row r="651" spans="19:19" ht="12.75" x14ac:dyDescent="0.2">
      <c r="S651" s="10"/>
    </row>
    <row r="652" spans="19:19" ht="12.75" x14ac:dyDescent="0.2">
      <c r="S652" s="10"/>
    </row>
    <row r="653" spans="19:19" ht="12.75" x14ac:dyDescent="0.2">
      <c r="S653" s="10"/>
    </row>
    <row r="654" spans="19:19" ht="12.75" x14ac:dyDescent="0.2">
      <c r="S654" s="10"/>
    </row>
    <row r="655" spans="19:19" ht="12.75" x14ac:dyDescent="0.2">
      <c r="S655" s="10"/>
    </row>
    <row r="656" spans="19:19" ht="12.75" x14ac:dyDescent="0.2">
      <c r="S656" s="10"/>
    </row>
    <row r="657" spans="19:19" ht="12.75" x14ac:dyDescent="0.2">
      <c r="S657" s="10"/>
    </row>
    <row r="658" spans="19:19" ht="12.75" x14ac:dyDescent="0.2">
      <c r="S658" s="10"/>
    </row>
    <row r="659" spans="19:19" ht="12.75" x14ac:dyDescent="0.2">
      <c r="S659" s="10"/>
    </row>
    <row r="660" spans="19:19" ht="12.75" x14ac:dyDescent="0.2">
      <c r="S660" s="10"/>
    </row>
    <row r="661" spans="19:19" ht="12.75" x14ac:dyDescent="0.2">
      <c r="S661" s="10"/>
    </row>
    <row r="662" spans="19:19" ht="12.75" x14ac:dyDescent="0.2">
      <c r="S662" s="10"/>
    </row>
    <row r="663" spans="19:19" ht="12.75" x14ac:dyDescent="0.2">
      <c r="S663" s="10"/>
    </row>
    <row r="664" spans="19:19" ht="12.75" x14ac:dyDescent="0.2">
      <c r="S664" s="10"/>
    </row>
    <row r="665" spans="19:19" ht="12.75" x14ac:dyDescent="0.2">
      <c r="S665" s="10"/>
    </row>
    <row r="666" spans="19:19" ht="12.75" x14ac:dyDescent="0.2">
      <c r="S666" s="10"/>
    </row>
    <row r="667" spans="19:19" ht="12.75" x14ac:dyDescent="0.2">
      <c r="S667" s="10"/>
    </row>
    <row r="668" spans="19:19" ht="12.75" x14ac:dyDescent="0.2">
      <c r="S668" s="10"/>
    </row>
    <row r="669" spans="19:19" ht="12.75" x14ac:dyDescent="0.2">
      <c r="S669" s="10"/>
    </row>
    <row r="670" spans="19:19" ht="12.75" x14ac:dyDescent="0.2">
      <c r="S670" s="10"/>
    </row>
    <row r="671" spans="19:19" ht="12.75" x14ac:dyDescent="0.2">
      <c r="S671" s="10"/>
    </row>
    <row r="672" spans="19:19" ht="12.75" x14ac:dyDescent="0.2">
      <c r="S672" s="10"/>
    </row>
    <row r="673" spans="19:19" ht="12.75" x14ac:dyDescent="0.2">
      <c r="S673" s="10"/>
    </row>
    <row r="674" spans="19:19" ht="12.75" x14ac:dyDescent="0.2">
      <c r="S674" s="10"/>
    </row>
    <row r="675" spans="19:19" ht="12.75" x14ac:dyDescent="0.2">
      <c r="S675" s="10"/>
    </row>
    <row r="676" spans="19:19" ht="12.75" x14ac:dyDescent="0.2">
      <c r="S676" s="10"/>
    </row>
    <row r="677" spans="19:19" ht="12.75" x14ac:dyDescent="0.2">
      <c r="S677" s="10"/>
    </row>
    <row r="678" spans="19:19" ht="12.75" x14ac:dyDescent="0.2">
      <c r="S678" s="10"/>
    </row>
    <row r="679" spans="19:19" ht="12.75" x14ac:dyDescent="0.2">
      <c r="S679" s="10"/>
    </row>
    <row r="680" spans="19:19" ht="12.75" x14ac:dyDescent="0.2">
      <c r="S680" s="10"/>
    </row>
    <row r="681" spans="19:19" ht="12.75" x14ac:dyDescent="0.2">
      <c r="S681" s="10"/>
    </row>
    <row r="682" spans="19:19" ht="12.75" x14ac:dyDescent="0.2">
      <c r="S682" s="10"/>
    </row>
    <row r="683" spans="19:19" ht="12.75" x14ac:dyDescent="0.2">
      <c r="S683" s="10"/>
    </row>
    <row r="684" spans="19:19" ht="12.75" x14ac:dyDescent="0.2">
      <c r="S684" s="10"/>
    </row>
    <row r="685" spans="19:19" ht="12.75" x14ac:dyDescent="0.2">
      <c r="S685" s="10"/>
    </row>
    <row r="686" spans="19:19" ht="12.75" x14ac:dyDescent="0.2">
      <c r="S686" s="10"/>
    </row>
    <row r="687" spans="19:19" ht="12.75" x14ac:dyDescent="0.2">
      <c r="S687" s="10"/>
    </row>
    <row r="688" spans="19:19" ht="12.75" x14ac:dyDescent="0.2">
      <c r="S688" s="10"/>
    </row>
    <row r="689" spans="19:19" ht="12.75" x14ac:dyDescent="0.2">
      <c r="S689" s="10"/>
    </row>
    <row r="690" spans="19:19" ht="12.75" x14ac:dyDescent="0.2">
      <c r="S690" s="10"/>
    </row>
    <row r="691" spans="19:19" ht="12.75" x14ac:dyDescent="0.2">
      <c r="S691" s="10"/>
    </row>
    <row r="692" spans="19:19" ht="12.75" x14ac:dyDescent="0.2">
      <c r="S692" s="10"/>
    </row>
    <row r="693" spans="19:19" ht="12.75" x14ac:dyDescent="0.2">
      <c r="S693" s="10"/>
    </row>
    <row r="694" spans="19:19" ht="12.75" x14ac:dyDescent="0.2">
      <c r="S694" s="10"/>
    </row>
    <row r="695" spans="19:19" ht="12.75" x14ac:dyDescent="0.2">
      <c r="S695" s="10"/>
    </row>
    <row r="696" spans="19:19" ht="12.75" x14ac:dyDescent="0.2">
      <c r="S696" s="10"/>
    </row>
    <row r="697" spans="19:19" ht="12.75" x14ac:dyDescent="0.2">
      <c r="S697" s="10"/>
    </row>
    <row r="698" spans="19:19" ht="12.75" x14ac:dyDescent="0.2">
      <c r="S698" s="10"/>
    </row>
    <row r="699" spans="19:19" ht="12.75" x14ac:dyDescent="0.2">
      <c r="S699" s="10"/>
    </row>
    <row r="700" spans="19:19" ht="12.75" x14ac:dyDescent="0.2">
      <c r="S700" s="10"/>
    </row>
    <row r="701" spans="19:19" ht="12.75" x14ac:dyDescent="0.2">
      <c r="S701" s="10"/>
    </row>
    <row r="702" spans="19:19" ht="12.75" x14ac:dyDescent="0.2">
      <c r="S702" s="10"/>
    </row>
    <row r="703" spans="19:19" ht="12.75" x14ac:dyDescent="0.2">
      <c r="S703" s="10"/>
    </row>
    <row r="704" spans="19:19" ht="12.75" x14ac:dyDescent="0.2">
      <c r="S704" s="10"/>
    </row>
    <row r="705" spans="19:19" ht="12.75" x14ac:dyDescent="0.2">
      <c r="S705" s="10"/>
    </row>
    <row r="706" spans="19:19" ht="12.75" x14ac:dyDescent="0.2">
      <c r="S706" s="10"/>
    </row>
    <row r="707" spans="19:19" ht="12.75" x14ac:dyDescent="0.2">
      <c r="S707" s="10"/>
    </row>
    <row r="708" spans="19:19" ht="12.75" x14ac:dyDescent="0.2">
      <c r="S708" s="10"/>
    </row>
    <row r="709" spans="19:19" ht="12.75" x14ac:dyDescent="0.2">
      <c r="S709" s="10"/>
    </row>
    <row r="710" spans="19:19" ht="12.75" x14ac:dyDescent="0.2">
      <c r="S710" s="10"/>
    </row>
    <row r="711" spans="19:19" ht="12.75" x14ac:dyDescent="0.2">
      <c r="S711" s="10"/>
    </row>
    <row r="712" spans="19:19" ht="12.75" x14ac:dyDescent="0.2">
      <c r="S712" s="10"/>
    </row>
    <row r="713" spans="19:19" ht="12.75" x14ac:dyDescent="0.2">
      <c r="S713" s="10"/>
    </row>
    <row r="714" spans="19:19" ht="12.75" x14ac:dyDescent="0.2">
      <c r="S714" s="10"/>
    </row>
    <row r="715" spans="19:19" ht="12.75" x14ac:dyDescent="0.2">
      <c r="S715" s="10"/>
    </row>
    <row r="716" spans="19:19" ht="12.75" x14ac:dyDescent="0.2">
      <c r="S716" s="10"/>
    </row>
    <row r="717" spans="19:19" ht="12.75" x14ac:dyDescent="0.2">
      <c r="S717" s="10"/>
    </row>
    <row r="718" spans="19:19" ht="12.75" x14ac:dyDescent="0.2">
      <c r="S718" s="10"/>
    </row>
    <row r="719" spans="19:19" ht="12.75" x14ac:dyDescent="0.2">
      <c r="S719" s="10"/>
    </row>
    <row r="720" spans="19:19" ht="12.75" x14ac:dyDescent="0.2">
      <c r="S720" s="10"/>
    </row>
    <row r="721" spans="19:19" ht="12.75" x14ac:dyDescent="0.2">
      <c r="S721" s="10"/>
    </row>
    <row r="722" spans="19:19" ht="12.75" x14ac:dyDescent="0.2">
      <c r="S722" s="10"/>
    </row>
    <row r="723" spans="19:19" ht="12.75" x14ac:dyDescent="0.2">
      <c r="S723" s="10"/>
    </row>
    <row r="724" spans="19:19" ht="12.75" x14ac:dyDescent="0.2">
      <c r="S724" s="10"/>
    </row>
    <row r="725" spans="19:19" ht="12.75" x14ac:dyDescent="0.2">
      <c r="S725" s="10"/>
    </row>
    <row r="726" spans="19:19" ht="12.75" x14ac:dyDescent="0.2">
      <c r="S726" s="10"/>
    </row>
    <row r="727" spans="19:19" ht="12.75" x14ac:dyDescent="0.2">
      <c r="S727" s="10"/>
    </row>
    <row r="728" spans="19:19" ht="12.75" x14ac:dyDescent="0.2">
      <c r="S728" s="10"/>
    </row>
    <row r="729" spans="19:19" ht="12.75" x14ac:dyDescent="0.2">
      <c r="S729" s="10"/>
    </row>
    <row r="730" spans="19:19" ht="12.75" x14ac:dyDescent="0.2">
      <c r="S730" s="10"/>
    </row>
    <row r="731" spans="19:19" ht="12.75" x14ac:dyDescent="0.2">
      <c r="S731" s="10"/>
    </row>
    <row r="732" spans="19:19" ht="12.75" x14ac:dyDescent="0.2">
      <c r="S732" s="10"/>
    </row>
    <row r="733" spans="19:19" ht="12.75" x14ac:dyDescent="0.2">
      <c r="S733" s="10"/>
    </row>
    <row r="734" spans="19:19" ht="12.75" x14ac:dyDescent="0.2">
      <c r="S734" s="10"/>
    </row>
    <row r="735" spans="19:19" ht="12.75" x14ac:dyDescent="0.2">
      <c r="S735" s="10"/>
    </row>
    <row r="736" spans="19:19" ht="12.75" x14ac:dyDescent="0.2">
      <c r="S736" s="10"/>
    </row>
    <row r="737" spans="19:19" ht="12.75" x14ac:dyDescent="0.2">
      <c r="S737" s="10"/>
    </row>
    <row r="738" spans="19:19" ht="12.75" x14ac:dyDescent="0.2">
      <c r="S738" s="10"/>
    </row>
    <row r="739" spans="19:19" ht="12.75" x14ac:dyDescent="0.2">
      <c r="S739" s="10"/>
    </row>
    <row r="740" spans="19:19" ht="12.75" x14ac:dyDescent="0.2">
      <c r="S740" s="10"/>
    </row>
    <row r="741" spans="19:19" ht="12.75" x14ac:dyDescent="0.2">
      <c r="S741" s="10"/>
    </row>
    <row r="742" spans="19:19" ht="12.75" x14ac:dyDescent="0.2">
      <c r="S742" s="10"/>
    </row>
    <row r="743" spans="19:19" ht="12.75" x14ac:dyDescent="0.2">
      <c r="S743" s="10"/>
    </row>
    <row r="744" spans="19:19" ht="12.75" x14ac:dyDescent="0.2">
      <c r="S744" s="10"/>
    </row>
    <row r="745" spans="19:19" ht="12.75" x14ac:dyDescent="0.2">
      <c r="S745" s="10"/>
    </row>
    <row r="746" spans="19:19" ht="12.75" x14ac:dyDescent="0.2">
      <c r="S746" s="10"/>
    </row>
    <row r="747" spans="19:19" ht="12.75" x14ac:dyDescent="0.2">
      <c r="S747" s="10"/>
    </row>
    <row r="748" spans="19:19" ht="12.75" x14ac:dyDescent="0.2">
      <c r="S748" s="10"/>
    </row>
    <row r="749" spans="19:19" ht="12.75" x14ac:dyDescent="0.2">
      <c r="S749" s="10"/>
    </row>
    <row r="750" spans="19:19" ht="12.75" x14ac:dyDescent="0.2">
      <c r="S750" s="10"/>
    </row>
    <row r="751" spans="19:19" ht="12.75" x14ac:dyDescent="0.2">
      <c r="S751" s="10"/>
    </row>
    <row r="752" spans="19:19" ht="12.75" x14ac:dyDescent="0.2">
      <c r="S752" s="10"/>
    </row>
    <row r="753" spans="19:19" ht="12.75" x14ac:dyDescent="0.2">
      <c r="S753" s="10"/>
    </row>
    <row r="754" spans="19:19" ht="12.75" x14ac:dyDescent="0.2">
      <c r="S754" s="10"/>
    </row>
    <row r="755" spans="19:19" ht="12.75" x14ac:dyDescent="0.2">
      <c r="S755" s="10"/>
    </row>
    <row r="756" spans="19:19" ht="12.75" x14ac:dyDescent="0.2">
      <c r="S756" s="10"/>
    </row>
    <row r="757" spans="19:19" ht="12.75" x14ac:dyDescent="0.2">
      <c r="S757" s="10"/>
    </row>
    <row r="758" spans="19:19" ht="12.75" x14ac:dyDescent="0.2">
      <c r="S758" s="10"/>
    </row>
    <row r="759" spans="19:19" ht="12.75" x14ac:dyDescent="0.2">
      <c r="S759" s="10"/>
    </row>
    <row r="760" spans="19:19" ht="12.75" x14ac:dyDescent="0.2">
      <c r="S760" s="10"/>
    </row>
    <row r="761" spans="19:19" ht="12.75" x14ac:dyDescent="0.2">
      <c r="S761" s="10"/>
    </row>
    <row r="762" spans="19:19" ht="12.75" x14ac:dyDescent="0.2">
      <c r="S762" s="10"/>
    </row>
    <row r="763" spans="19:19" ht="12.75" x14ac:dyDescent="0.2">
      <c r="S763" s="10"/>
    </row>
    <row r="764" spans="19:19" ht="12.75" x14ac:dyDescent="0.2">
      <c r="S764" s="10"/>
    </row>
    <row r="765" spans="19:19" ht="12.75" x14ac:dyDescent="0.2">
      <c r="S765" s="10"/>
    </row>
    <row r="766" spans="19:19" ht="12.75" x14ac:dyDescent="0.2">
      <c r="S766" s="10"/>
    </row>
    <row r="767" spans="19:19" ht="12.75" x14ac:dyDescent="0.2">
      <c r="S767" s="10"/>
    </row>
    <row r="768" spans="19:19" ht="12.75" x14ac:dyDescent="0.2">
      <c r="S768" s="10"/>
    </row>
    <row r="769" spans="19:19" ht="12.75" x14ac:dyDescent="0.2">
      <c r="S769" s="10"/>
    </row>
    <row r="770" spans="19:19" ht="12.75" x14ac:dyDescent="0.2">
      <c r="S770" s="10"/>
    </row>
    <row r="771" spans="19:19" ht="12.75" x14ac:dyDescent="0.2">
      <c r="S771" s="10"/>
    </row>
    <row r="772" spans="19:19" ht="12.75" x14ac:dyDescent="0.2">
      <c r="S772" s="10"/>
    </row>
    <row r="773" spans="19:19" ht="12.75" x14ac:dyDescent="0.2">
      <c r="S773" s="10"/>
    </row>
    <row r="774" spans="19:19" ht="12.75" x14ac:dyDescent="0.2">
      <c r="S774" s="10"/>
    </row>
    <row r="775" spans="19:19" ht="12.75" x14ac:dyDescent="0.2">
      <c r="S775" s="10"/>
    </row>
    <row r="776" spans="19:19" ht="12.75" x14ac:dyDescent="0.2">
      <c r="S776" s="10"/>
    </row>
    <row r="777" spans="19:19" ht="12.75" x14ac:dyDescent="0.2">
      <c r="S777" s="10"/>
    </row>
    <row r="778" spans="19:19" ht="12.75" x14ac:dyDescent="0.2">
      <c r="S778" s="10"/>
    </row>
    <row r="779" spans="19:19" ht="12.75" x14ac:dyDescent="0.2">
      <c r="S779" s="10"/>
    </row>
    <row r="780" spans="19:19" ht="12.75" x14ac:dyDescent="0.2">
      <c r="S780" s="10"/>
    </row>
    <row r="781" spans="19:19" ht="12.75" x14ac:dyDescent="0.2">
      <c r="S781" s="10"/>
    </row>
    <row r="782" spans="19:19" ht="12.75" x14ac:dyDescent="0.2">
      <c r="S782" s="10"/>
    </row>
    <row r="783" spans="19:19" ht="12.75" x14ac:dyDescent="0.2">
      <c r="S783" s="10"/>
    </row>
    <row r="784" spans="19:19" ht="12.75" x14ac:dyDescent="0.2">
      <c r="S784" s="10"/>
    </row>
    <row r="785" spans="19:19" ht="12.75" x14ac:dyDescent="0.2">
      <c r="S785" s="10"/>
    </row>
    <row r="786" spans="19:19" ht="12.75" x14ac:dyDescent="0.2">
      <c r="S786" s="10"/>
    </row>
    <row r="787" spans="19:19" ht="12.75" x14ac:dyDescent="0.2">
      <c r="S787" s="10"/>
    </row>
    <row r="788" spans="19:19" ht="12.75" x14ac:dyDescent="0.2">
      <c r="S788" s="10"/>
    </row>
    <row r="789" spans="19:19" ht="12.75" x14ac:dyDescent="0.2">
      <c r="S789" s="10"/>
    </row>
    <row r="790" spans="19:19" ht="12.75" x14ac:dyDescent="0.2">
      <c r="S790" s="10"/>
    </row>
    <row r="791" spans="19:19" ht="12.75" x14ac:dyDescent="0.2">
      <c r="S791" s="10"/>
    </row>
    <row r="792" spans="19:19" ht="12.75" x14ac:dyDescent="0.2">
      <c r="S792" s="10"/>
    </row>
    <row r="793" spans="19:19" ht="12.75" x14ac:dyDescent="0.2">
      <c r="S793" s="10"/>
    </row>
    <row r="794" spans="19:19" ht="12.75" x14ac:dyDescent="0.2">
      <c r="S794" s="10"/>
    </row>
    <row r="795" spans="19:19" ht="12.75" x14ac:dyDescent="0.2">
      <c r="S795" s="10"/>
    </row>
    <row r="796" spans="19:19" ht="12.75" x14ac:dyDescent="0.2">
      <c r="S796" s="10"/>
    </row>
    <row r="797" spans="19:19" ht="12.75" x14ac:dyDescent="0.2">
      <c r="S797" s="10"/>
    </row>
    <row r="798" spans="19:19" ht="12.75" x14ac:dyDescent="0.2">
      <c r="S798" s="10"/>
    </row>
    <row r="799" spans="19:19" ht="12.75" x14ac:dyDescent="0.2">
      <c r="S799" s="10"/>
    </row>
    <row r="800" spans="19:19" ht="12.75" x14ac:dyDescent="0.2">
      <c r="S800" s="10"/>
    </row>
    <row r="801" spans="19:19" ht="12.75" x14ac:dyDescent="0.2">
      <c r="S801" s="10"/>
    </row>
    <row r="802" spans="19:19" ht="12.75" x14ac:dyDescent="0.2">
      <c r="S802" s="10"/>
    </row>
    <row r="803" spans="19:19" ht="12.75" x14ac:dyDescent="0.2">
      <c r="S803" s="10"/>
    </row>
    <row r="804" spans="19:19" ht="12.75" x14ac:dyDescent="0.2">
      <c r="S804" s="10"/>
    </row>
    <row r="805" spans="19:19" ht="12.75" x14ac:dyDescent="0.2">
      <c r="S805" s="10"/>
    </row>
    <row r="806" spans="19:19" ht="12.75" x14ac:dyDescent="0.2">
      <c r="S806" s="10"/>
    </row>
    <row r="807" spans="19:19" ht="12.75" x14ac:dyDescent="0.2">
      <c r="S807" s="10"/>
    </row>
    <row r="808" spans="19:19" ht="12.75" x14ac:dyDescent="0.2">
      <c r="S808" s="10"/>
    </row>
    <row r="809" spans="19:19" ht="12.75" x14ac:dyDescent="0.2">
      <c r="S809" s="10"/>
    </row>
    <row r="810" spans="19:19" ht="12.75" x14ac:dyDescent="0.2">
      <c r="S810" s="10"/>
    </row>
    <row r="811" spans="19:19" ht="12.75" x14ac:dyDescent="0.2">
      <c r="S811" s="10"/>
    </row>
    <row r="812" spans="19:19" ht="12.75" x14ac:dyDescent="0.2">
      <c r="S812" s="10"/>
    </row>
    <row r="813" spans="19:19" ht="12.75" x14ac:dyDescent="0.2">
      <c r="S813" s="10"/>
    </row>
    <row r="814" spans="19:19" ht="12.75" x14ac:dyDescent="0.2">
      <c r="S814" s="10"/>
    </row>
    <row r="815" spans="19:19" ht="12.75" x14ac:dyDescent="0.2">
      <c r="S815" s="10"/>
    </row>
    <row r="816" spans="19:19" ht="12.75" x14ac:dyDescent="0.2">
      <c r="S816" s="10"/>
    </row>
    <row r="817" spans="19:19" ht="12.75" x14ac:dyDescent="0.2">
      <c r="S817" s="10"/>
    </row>
    <row r="818" spans="19:19" ht="12.75" x14ac:dyDescent="0.2">
      <c r="S818" s="10"/>
    </row>
    <row r="819" spans="19:19" ht="12.75" x14ac:dyDescent="0.2">
      <c r="S819" s="10"/>
    </row>
    <row r="820" spans="19:19" ht="12.75" x14ac:dyDescent="0.2">
      <c r="S820" s="10"/>
    </row>
    <row r="821" spans="19:19" ht="12.75" x14ac:dyDescent="0.2">
      <c r="S821" s="10"/>
    </row>
    <row r="822" spans="19:19" ht="12.75" x14ac:dyDescent="0.2">
      <c r="S822" s="10"/>
    </row>
    <row r="823" spans="19:19" ht="12.75" x14ac:dyDescent="0.2">
      <c r="S823" s="10"/>
    </row>
    <row r="824" spans="19:19" ht="12.75" x14ac:dyDescent="0.2">
      <c r="S824" s="10"/>
    </row>
    <row r="825" spans="19:19" ht="12.75" x14ac:dyDescent="0.2">
      <c r="S825" s="10"/>
    </row>
    <row r="826" spans="19:19" ht="12.75" x14ac:dyDescent="0.2">
      <c r="S826" s="10"/>
    </row>
    <row r="827" spans="19:19" ht="12.75" x14ac:dyDescent="0.2">
      <c r="S827" s="10"/>
    </row>
    <row r="828" spans="19:19" ht="12.75" x14ac:dyDescent="0.2">
      <c r="S828" s="10"/>
    </row>
    <row r="829" spans="19:19" ht="12.75" x14ac:dyDescent="0.2">
      <c r="S829" s="10"/>
    </row>
    <row r="830" spans="19:19" ht="12.75" x14ac:dyDescent="0.2">
      <c r="S830" s="10"/>
    </row>
    <row r="831" spans="19:19" ht="12.75" x14ac:dyDescent="0.2">
      <c r="S831" s="10"/>
    </row>
    <row r="832" spans="19:19" ht="12.75" x14ac:dyDescent="0.2">
      <c r="S832" s="10"/>
    </row>
    <row r="833" spans="19:19" ht="12.75" x14ac:dyDescent="0.2">
      <c r="S833" s="10"/>
    </row>
    <row r="834" spans="19:19" ht="12.75" x14ac:dyDescent="0.2">
      <c r="S834" s="10"/>
    </row>
    <row r="835" spans="19:19" ht="12.75" x14ac:dyDescent="0.2">
      <c r="S835" s="10"/>
    </row>
    <row r="836" spans="19:19" ht="12.75" x14ac:dyDescent="0.2">
      <c r="S836" s="10"/>
    </row>
    <row r="837" spans="19:19" ht="12.75" x14ac:dyDescent="0.2">
      <c r="S837" s="10"/>
    </row>
    <row r="838" spans="19:19" ht="12.75" x14ac:dyDescent="0.2">
      <c r="S838" s="10"/>
    </row>
    <row r="839" spans="19:19" ht="12.75" x14ac:dyDescent="0.2">
      <c r="S839" s="10"/>
    </row>
    <row r="840" spans="19:19" ht="12.75" x14ac:dyDescent="0.2">
      <c r="S840" s="10"/>
    </row>
    <row r="841" spans="19:19" ht="12.75" x14ac:dyDescent="0.2">
      <c r="S841" s="10"/>
    </row>
    <row r="842" spans="19:19" ht="12.75" x14ac:dyDescent="0.2">
      <c r="S842" s="10"/>
    </row>
    <row r="843" spans="19:19" ht="12.75" x14ac:dyDescent="0.2">
      <c r="S843" s="10"/>
    </row>
    <row r="844" spans="19:19" ht="12.75" x14ac:dyDescent="0.2">
      <c r="S844" s="10"/>
    </row>
    <row r="845" spans="19:19" ht="12.75" x14ac:dyDescent="0.2">
      <c r="S845" s="10"/>
    </row>
    <row r="846" spans="19:19" ht="12.75" x14ac:dyDescent="0.2">
      <c r="S846" s="10"/>
    </row>
    <row r="847" spans="19:19" ht="12.75" x14ac:dyDescent="0.2">
      <c r="S847" s="10"/>
    </row>
    <row r="848" spans="19:19" ht="12.75" x14ac:dyDescent="0.2">
      <c r="S848" s="10"/>
    </row>
    <row r="849" spans="19:19" ht="12.75" x14ac:dyDescent="0.2">
      <c r="S849" s="10"/>
    </row>
    <row r="850" spans="19:19" ht="12.75" x14ac:dyDescent="0.2">
      <c r="S850" s="10"/>
    </row>
    <row r="851" spans="19:19" ht="12.75" x14ac:dyDescent="0.2">
      <c r="S851" s="10"/>
    </row>
    <row r="852" spans="19:19" ht="12.75" x14ac:dyDescent="0.2">
      <c r="S852" s="10"/>
    </row>
    <row r="853" spans="19:19" ht="12.75" x14ac:dyDescent="0.2">
      <c r="S853" s="10"/>
    </row>
    <row r="854" spans="19:19" ht="12.75" x14ac:dyDescent="0.2">
      <c r="S854" s="10"/>
    </row>
    <row r="855" spans="19:19" ht="12.75" x14ac:dyDescent="0.2">
      <c r="S855" s="10"/>
    </row>
    <row r="856" spans="19:19" ht="12.75" x14ac:dyDescent="0.2">
      <c r="S856" s="10"/>
    </row>
    <row r="857" spans="19:19" ht="12.75" x14ac:dyDescent="0.2">
      <c r="S857" s="10"/>
    </row>
    <row r="858" spans="19:19" ht="12.75" x14ac:dyDescent="0.2">
      <c r="S858" s="10"/>
    </row>
    <row r="859" spans="19:19" ht="12.75" x14ac:dyDescent="0.2">
      <c r="S859" s="10"/>
    </row>
    <row r="860" spans="19:19" ht="12.75" x14ac:dyDescent="0.2">
      <c r="S860" s="10"/>
    </row>
    <row r="861" spans="19:19" ht="12.75" x14ac:dyDescent="0.2">
      <c r="S861" s="10"/>
    </row>
    <row r="862" spans="19:19" ht="12.75" x14ac:dyDescent="0.2">
      <c r="S862" s="10"/>
    </row>
    <row r="863" spans="19:19" ht="12.75" x14ac:dyDescent="0.2">
      <c r="S863" s="10"/>
    </row>
    <row r="864" spans="19:19" ht="12.75" x14ac:dyDescent="0.2">
      <c r="S864" s="10"/>
    </row>
    <row r="865" spans="19:19" ht="12.75" x14ac:dyDescent="0.2">
      <c r="S865" s="10"/>
    </row>
    <row r="866" spans="19:19" ht="12.75" x14ac:dyDescent="0.2">
      <c r="S866" s="10"/>
    </row>
    <row r="867" spans="19:19" ht="12.75" x14ac:dyDescent="0.2">
      <c r="S867" s="10"/>
    </row>
    <row r="868" spans="19:19" ht="12.75" x14ac:dyDescent="0.2">
      <c r="S868" s="10"/>
    </row>
    <row r="869" spans="19:19" ht="12.75" x14ac:dyDescent="0.2">
      <c r="S869" s="10"/>
    </row>
    <row r="870" spans="19:19" ht="12.75" x14ac:dyDescent="0.2">
      <c r="S870" s="10"/>
    </row>
    <row r="871" spans="19:19" ht="12.75" x14ac:dyDescent="0.2">
      <c r="S871" s="10"/>
    </row>
    <row r="872" spans="19:19" ht="12.75" x14ac:dyDescent="0.2">
      <c r="S872" s="10"/>
    </row>
    <row r="873" spans="19:19" ht="12.75" x14ac:dyDescent="0.2">
      <c r="S873" s="10"/>
    </row>
    <row r="874" spans="19:19" ht="12.75" x14ac:dyDescent="0.2">
      <c r="S874" s="10"/>
    </row>
    <row r="875" spans="19:19" ht="12.75" x14ac:dyDescent="0.2">
      <c r="S875" s="10"/>
    </row>
    <row r="876" spans="19:19" ht="12.75" x14ac:dyDescent="0.2">
      <c r="S876" s="10"/>
    </row>
    <row r="877" spans="19:19" ht="12.75" x14ac:dyDescent="0.2">
      <c r="S877" s="10"/>
    </row>
    <row r="878" spans="19:19" ht="12.75" x14ac:dyDescent="0.2">
      <c r="S878" s="10"/>
    </row>
    <row r="879" spans="19:19" ht="12.75" x14ac:dyDescent="0.2">
      <c r="S879" s="10"/>
    </row>
    <row r="880" spans="19:19" ht="12.75" x14ac:dyDescent="0.2">
      <c r="S880" s="10"/>
    </row>
    <row r="881" spans="19:19" ht="12.75" x14ac:dyDescent="0.2">
      <c r="S881" s="10"/>
    </row>
    <row r="882" spans="19:19" ht="12.75" x14ac:dyDescent="0.2">
      <c r="S882" s="10"/>
    </row>
    <row r="883" spans="19:19" ht="12.75" x14ac:dyDescent="0.2">
      <c r="S883" s="10"/>
    </row>
    <row r="884" spans="19:19" ht="12.75" x14ac:dyDescent="0.2">
      <c r="S884" s="10"/>
    </row>
    <row r="885" spans="19:19" ht="12.75" x14ac:dyDescent="0.2">
      <c r="S885" s="10"/>
    </row>
    <row r="886" spans="19:19" ht="12.75" x14ac:dyDescent="0.2">
      <c r="S886" s="10"/>
    </row>
    <row r="887" spans="19:19" ht="12.75" x14ac:dyDescent="0.2">
      <c r="S887" s="10"/>
    </row>
    <row r="888" spans="19:19" ht="12.75" x14ac:dyDescent="0.2">
      <c r="S888" s="10"/>
    </row>
    <row r="889" spans="19:19" ht="12.75" x14ac:dyDescent="0.2">
      <c r="S889" s="10"/>
    </row>
    <row r="890" spans="19:19" ht="12.75" x14ac:dyDescent="0.2">
      <c r="S890" s="10"/>
    </row>
    <row r="891" spans="19:19" ht="12.75" x14ac:dyDescent="0.2">
      <c r="S891" s="10"/>
    </row>
    <row r="892" spans="19:19" ht="12.75" x14ac:dyDescent="0.2">
      <c r="S892" s="10"/>
    </row>
    <row r="893" spans="19:19" ht="12.75" x14ac:dyDescent="0.2">
      <c r="S893" s="10"/>
    </row>
    <row r="894" spans="19:19" ht="12.75" x14ac:dyDescent="0.2">
      <c r="S894" s="10"/>
    </row>
    <row r="895" spans="19:19" ht="12.75" x14ac:dyDescent="0.2">
      <c r="S895" s="10"/>
    </row>
  </sheetData>
  <sheetProtection algorithmName="SHA-512" hashValue="GF2fd9FkIVq7UFhpPrEK+Fcq4womoatZoy3rBtPfrVwydPmkKQp5YIdo0HkVP3s++1j2cCDalsmwu3ePp8Fyhg==" saltValue="Pq1nYxHiDBXvBpOG0FySQQ==" spinCount="100000" sheet="1" objects="1" scenarios="1"/>
  <mergeCells count="9">
    <mergeCell ref="L8:O8"/>
    <mergeCell ref="B36:E36"/>
    <mergeCell ref="G36:J36"/>
    <mergeCell ref="L36:O36"/>
    <mergeCell ref="G5:J7"/>
    <mergeCell ref="L5:O7"/>
    <mergeCell ref="B8:E8"/>
    <mergeCell ref="G8:J8"/>
    <mergeCell ref="B5:E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outlinePr summaryBelow="0" summaryRight="0"/>
  </sheetPr>
  <dimension ref="A2:R1003"/>
  <sheetViews>
    <sheetView topLeftCell="A6" workbookViewId="0">
      <selection activeCell="D19" sqref="D19"/>
    </sheetView>
  </sheetViews>
  <sheetFormatPr defaultColWidth="14.42578125" defaultRowHeight="15.75" customHeight="1" x14ac:dyDescent="0.2"/>
  <cols>
    <col min="7" max="7" width="6.7109375" customWidth="1"/>
    <col min="13" max="13" width="6.42578125" customWidth="1"/>
  </cols>
  <sheetData>
    <row r="2" spans="1:18" ht="11.1" customHeight="1" x14ac:dyDescent="0.2"/>
    <row r="3" spans="1:18" ht="15" hidden="1" customHeight="1" x14ac:dyDescent="0.2">
      <c r="A3" s="1"/>
    </row>
    <row r="4" spans="1:18" ht="41.1" customHeight="1" x14ac:dyDescent="0.4">
      <c r="B4" s="6" t="s">
        <v>1</v>
      </c>
    </row>
    <row r="5" spans="1:18" ht="0.95" customHeight="1" x14ac:dyDescent="0.25">
      <c r="B5" s="333"/>
      <c r="C5" s="333"/>
      <c r="D5" s="333"/>
      <c r="E5" s="333"/>
      <c r="F5" s="333"/>
      <c r="H5" s="332"/>
      <c r="I5" s="333"/>
      <c r="J5" s="333"/>
      <c r="K5" s="333"/>
      <c r="L5" s="333"/>
      <c r="N5" s="332"/>
      <c r="O5" s="333"/>
      <c r="P5" s="333"/>
      <c r="Q5" s="8"/>
      <c r="R5" s="8"/>
    </row>
    <row r="6" spans="1:18" ht="30.95" customHeight="1" thickBot="1" x14ac:dyDescent="0.3">
      <c r="B6" s="215"/>
      <c r="C6" s="215"/>
      <c r="D6" s="215"/>
      <c r="E6" s="215"/>
      <c r="F6" s="215"/>
      <c r="H6" s="256"/>
      <c r="I6" s="215"/>
      <c r="J6" s="215"/>
      <c r="K6" s="215"/>
      <c r="L6" s="215"/>
      <c r="N6" s="256"/>
      <c r="O6" s="215"/>
      <c r="P6" s="215"/>
      <c r="Q6" s="256"/>
      <c r="R6" s="256"/>
    </row>
    <row r="7" spans="1:18" ht="0.95" customHeight="1" thickBot="1" x14ac:dyDescent="0.3">
      <c r="H7" s="8"/>
      <c r="N7" s="8"/>
      <c r="Q7" s="8"/>
      <c r="R7" s="8"/>
    </row>
    <row r="8" spans="1:18" ht="53.1" customHeight="1" x14ac:dyDescent="0.25">
      <c r="B8" s="334" t="s">
        <v>2</v>
      </c>
      <c r="C8" s="335"/>
      <c r="D8" s="335"/>
      <c r="E8" s="335"/>
      <c r="F8" s="336"/>
      <c r="H8" s="337" t="s">
        <v>4</v>
      </c>
      <c r="I8" s="335"/>
      <c r="J8" s="335"/>
      <c r="K8" s="335"/>
      <c r="L8" s="336"/>
      <c r="N8" s="329" t="s">
        <v>5</v>
      </c>
      <c r="O8" s="330"/>
      <c r="P8" s="330"/>
      <c r="Q8" s="330"/>
      <c r="R8" s="331"/>
    </row>
    <row r="9" spans="1:18" ht="54.95" customHeight="1" x14ac:dyDescent="0.2">
      <c r="B9" s="322" t="s">
        <v>7</v>
      </c>
      <c r="C9" s="323"/>
      <c r="D9" s="323"/>
      <c r="E9" s="323"/>
      <c r="F9" s="324"/>
      <c r="H9" s="325" t="s">
        <v>10</v>
      </c>
      <c r="I9" s="326"/>
      <c r="J9" s="326"/>
      <c r="K9" s="326"/>
      <c r="L9" s="327"/>
      <c r="N9" s="328" t="s">
        <v>11</v>
      </c>
      <c r="O9" s="323"/>
      <c r="P9" s="323"/>
      <c r="Q9" s="323"/>
      <c r="R9" s="324"/>
    </row>
    <row r="10" spans="1:18" ht="75" customHeight="1" x14ac:dyDescent="0.2">
      <c r="B10" s="195" t="s">
        <v>18</v>
      </c>
      <c r="C10" s="18" t="s">
        <v>21</v>
      </c>
      <c r="D10" s="20" t="s">
        <v>22</v>
      </c>
      <c r="E10" s="20" t="s">
        <v>27</v>
      </c>
      <c r="F10" s="217" t="s">
        <v>28</v>
      </c>
      <c r="H10" s="222" t="s">
        <v>18</v>
      </c>
      <c r="I10" s="27" t="s">
        <v>21</v>
      </c>
      <c r="J10" s="30" t="s">
        <v>22</v>
      </c>
      <c r="K10" s="30" t="s">
        <v>27</v>
      </c>
      <c r="L10" s="223" t="s">
        <v>28</v>
      </c>
      <c r="N10" s="235" t="s">
        <v>18</v>
      </c>
      <c r="O10" s="33" t="s">
        <v>21</v>
      </c>
      <c r="P10" s="35" t="s">
        <v>22</v>
      </c>
      <c r="Q10" s="35" t="s">
        <v>27</v>
      </c>
      <c r="R10" s="196" t="s">
        <v>28</v>
      </c>
    </row>
    <row r="11" spans="1:18" ht="15.75" customHeight="1" x14ac:dyDescent="0.2">
      <c r="B11" s="197" t="s">
        <v>47</v>
      </c>
      <c r="C11" s="198">
        <f>'Progress by County 2014 - 2018'!K168</f>
        <v>9475</v>
      </c>
      <c r="D11" s="199">
        <f>'Progress by County 2014 - 2018'!S168</f>
        <v>0.36770448548812668</v>
      </c>
      <c r="E11" s="198">
        <f>'Progress by County 2014 - 2018'!O168</f>
        <v>3484</v>
      </c>
      <c r="F11" s="239">
        <f>'Progress by County 2014 - 2018'!T168</f>
        <v>3.7819180819180818</v>
      </c>
      <c r="H11" s="226" t="s">
        <v>48</v>
      </c>
      <c r="I11" s="205">
        <f>'Progress by County 2014 - 2018'!K108</f>
        <v>47935</v>
      </c>
      <c r="J11" s="206">
        <f>'Progress by County 2014 - 2018'!S108</f>
        <v>0.22584750182538854</v>
      </c>
      <c r="K11" s="205">
        <f t="shared" ref="K11:K25" si="0">J11*I11</f>
        <v>10826</v>
      </c>
      <c r="L11" s="243">
        <f>'Progress by County 2014 - 2018'!T108</f>
        <v>2.0697611348701366</v>
      </c>
      <c r="N11" s="236" t="s">
        <v>49</v>
      </c>
      <c r="O11" s="202">
        <f>'Progress by County 2014 - 2018'!K185</f>
        <v>25275</v>
      </c>
      <c r="P11" s="203">
        <f>'Progress by County 2014 - 2018'!S185</f>
        <v>5.0168150346191889E-2</v>
      </c>
      <c r="Q11" s="202">
        <f t="shared" ref="Q11:Q18" si="1">P11*O11</f>
        <v>1268</v>
      </c>
      <c r="R11" s="247">
        <f>'Progress by County 2014 - 2018'!T185</f>
        <v>0.7522033898305085</v>
      </c>
    </row>
    <row r="12" spans="1:18" ht="15.75" customHeight="1" x14ac:dyDescent="0.2">
      <c r="B12" s="197" t="s">
        <v>51</v>
      </c>
      <c r="C12" s="198">
        <f>'Progress by County 2014 - 2018'!K8</f>
        <v>8260</v>
      </c>
      <c r="D12" s="199">
        <f>'Progress by County 2014 - 2018'!S8</f>
        <v>0.38075060532687649</v>
      </c>
      <c r="E12" s="198">
        <f>'Progress by County 2014 - 2018'!O8</f>
        <v>3145</v>
      </c>
      <c r="F12" s="239">
        <f>'Progress by County 2014 - 2018'!T8</f>
        <v>3.0301020408163266</v>
      </c>
      <c r="H12" s="226" t="s">
        <v>54</v>
      </c>
      <c r="I12" s="205">
        <f>'Progress by County 2014 - 2018'!K208</f>
        <v>48114</v>
      </c>
      <c r="J12" s="206">
        <f>'Progress by County 2014 - 2018'!S208</f>
        <v>0.15294924554183814</v>
      </c>
      <c r="K12" s="205">
        <f t="shared" si="0"/>
        <v>7359</v>
      </c>
      <c r="L12" s="243">
        <f>'Progress by County 2014 - 2018'!T208</f>
        <v>4.4566781101847308</v>
      </c>
      <c r="N12" s="236" t="s">
        <v>53</v>
      </c>
      <c r="O12" s="202">
        <f>'Progress by County 2014 - 2018'!K191</f>
        <v>14000</v>
      </c>
      <c r="P12" s="203">
        <f>'Progress by County 2014 - 2018'!S191</f>
        <v>6.3857142857142862E-2</v>
      </c>
      <c r="Q12" s="202">
        <f t="shared" si="1"/>
        <v>894.00000000000011</v>
      </c>
      <c r="R12" s="247">
        <f>'Progress by County 2014 - 2018'!T191</f>
        <v>0.39076727156956381</v>
      </c>
    </row>
    <row r="13" spans="1:18" ht="15.75" customHeight="1" x14ac:dyDescent="0.2">
      <c r="B13" s="197" t="s">
        <v>57</v>
      </c>
      <c r="C13" s="198">
        <f>'Progress by County 2014 - 2018'!K213</f>
        <v>5436</v>
      </c>
      <c r="D13" s="199">
        <f>'Progress by County 2014 - 2018'!S213</f>
        <v>0.58646063281824867</v>
      </c>
      <c r="E13" s="198">
        <f t="shared" ref="E13:E30" si="2">D13*C13</f>
        <v>3188</v>
      </c>
      <c r="F13" s="239">
        <f>'Progress by County 2014 - 2018'!T213</f>
        <v>2.5210593490746649</v>
      </c>
      <c r="H13" s="226" t="s">
        <v>52</v>
      </c>
      <c r="I13" s="205">
        <f>'Progress by County 2014 - 2018'!K201</f>
        <v>11332</v>
      </c>
      <c r="J13" s="206">
        <f>'Progress by County 2014 - 2018'!S201</f>
        <v>0.12813272149664667</v>
      </c>
      <c r="K13" s="205">
        <f t="shared" si="0"/>
        <v>1452</v>
      </c>
      <c r="L13" s="243">
        <f>'Progress by County 2014 - 2018'!T201</f>
        <v>0.92384436315264384</v>
      </c>
      <c r="N13" s="236" t="s">
        <v>56</v>
      </c>
      <c r="O13" s="202">
        <f>'Progress by County 2014 - 2018'!K88</f>
        <v>10278</v>
      </c>
      <c r="P13" s="203">
        <f>'Progress by County 2014 - 2018'!S88</f>
        <v>7.0539015372640596E-2</v>
      </c>
      <c r="Q13" s="202">
        <f t="shared" si="1"/>
        <v>725</v>
      </c>
      <c r="R13" s="247">
        <f>'Progress by County 2014 - 2018'!T88</f>
        <v>0.43161568843574905</v>
      </c>
    </row>
    <row r="14" spans="1:18" ht="15.75" customHeight="1" x14ac:dyDescent="0.2">
      <c r="B14" s="197" t="s">
        <v>60</v>
      </c>
      <c r="C14" s="198">
        <f>'Progress by County 2014 - 2018'!K308</f>
        <v>4755</v>
      </c>
      <c r="D14" s="199">
        <f>'Progress by County 2014 - 2018'!S308</f>
        <v>0.34237644584647742</v>
      </c>
      <c r="E14" s="198">
        <f t="shared" si="2"/>
        <v>1628.0000000000002</v>
      </c>
      <c r="F14" s="239">
        <f>'Progress by County 2014 - 2018'!T308</f>
        <v>0.77880000000000005</v>
      </c>
      <c r="H14" s="226" t="s">
        <v>50</v>
      </c>
      <c r="I14" s="205">
        <f>'Progress by County 2014 - 2018'!K238</f>
        <v>12352</v>
      </c>
      <c r="J14" s="206">
        <f>'Progress by County 2014 - 2018'!S238</f>
        <v>0.17859455958549222</v>
      </c>
      <c r="K14" s="205">
        <f t="shared" si="0"/>
        <v>2206</v>
      </c>
      <c r="L14" s="243">
        <f>'Progress by County 2014 - 2018'!T238</f>
        <v>1.8934411660149306</v>
      </c>
      <c r="N14" s="236" t="s">
        <v>58</v>
      </c>
      <c r="O14" s="202">
        <f>'Progress by County 2014 - 2018'!K175</f>
        <v>7332</v>
      </c>
      <c r="P14" s="203">
        <f>'Progress by County 2014 - 2018'!S175</f>
        <v>3.3960720130932896E-2</v>
      </c>
      <c r="Q14" s="202">
        <f t="shared" si="1"/>
        <v>249</v>
      </c>
      <c r="R14" s="247">
        <f>'Progress by County 2014 - 2018'!T175</f>
        <v>1.4025221540558963</v>
      </c>
    </row>
    <row r="15" spans="1:18" ht="15.75" customHeight="1" x14ac:dyDescent="0.2">
      <c r="B15" s="197" t="s">
        <v>62</v>
      </c>
      <c r="C15" s="198">
        <f>'Progress by County 2014 - 2018'!K43</f>
        <v>4176</v>
      </c>
      <c r="D15" s="199">
        <f>'Progress by County 2014 - 2018'!S43</f>
        <v>0.31585249042145591</v>
      </c>
      <c r="E15" s="198">
        <f t="shared" si="2"/>
        <v>1319</v>
      </c>
      <c r="F15" s="239">
        <f>'Progress by County 2014 - 2018'!T43</f>
        <v>1.8467668488160291</v>
      </c>
      <c r="H15" s="226" t="s">
        <v>55</v>
      </c>
      <c r="I15" s="205">
        <f>'Progress by County 2014 - 2018'!K60</f>
        <v>8504</v>
      </c>
      <c r="J15" s="206">
        <f>'Progress by County 2014 - 2018'!S60</f>
        <v>0.14322671683913452</v>
      </c>
      <c r="K15" s="205">
        <f t="shared" si="0"/>
        <v>1218</v>
      </c>
      <c r="L15" s="243">
        <f>'Progress by County 2014 - 2018'!T60</f>
        <v>0.98485868102288021</v>
      </c>
      <c r="N15" s="236" t="s">
        <v>59</v>
      </c>
      <c r="O15" s="202">
        <f>'Progress by County 2014 - 2018'!K217</f>
        <v>5994</v>
      </c>
      <c r="P15" s="203">
        <f>'Progress by County 2014 - 2018'!S217</f>
        <v>7.6910243576910245E-2</v>
      </c>
      <c r="Q15" s="202">
        <f t="shared" si="1"/>
        <v>461</v>
      </c>
      <c r="R15" s="247">
        <f>'Progress by County 2014 - 2018'!T217</f>
        <v>0.76971657424522488</v>
      </c>
    </row>
    <row r="16" spans="1:18" ht="15.75" customHeight="1" x14ac:dyDescent="0.2">
      <c r="B16" s="197" t="s">
        <v>65</v>
      </c>
      <c r="C16" s="198">
        <f>'Progress by County 2014 - 2018'!K228</f>
        <v>3552</v>
      </c>
      <c r="D16" s="199">
        <f>'Progress by County 2014 - 2018'!S228</f>
        <v>0.34994369369369371</v>
      </c>
      <c r="E16" s="198">
        <f t="shared" si="2"/>
        <v>1243</v>
      </c>
      <c r="F16" s="239">
        <f>'Progress by County 2014 - 2018'!T228</f>
        <v>2.0326757090012331</v>
      </c>
      <c r="H16" s="226" t="s">
        <v>64</v>
      </c>
      <c r="I16" s="205">
        <f>'Progress by County 2014 - 2018'!K296</f>
        <v>4077</v>
      </c>
      <c r="J16" s="206">
        <f>'Progress by County 2014 - 2018'!S296</f>
        <v>0.23178807947019867</v>
      </c>
      <c r="K16" s="205">
        <f t="shared" si="0"/>
        <v>945</v>
      </c>
      <c r="L16" s="243">
        <f>'Progress by County 2014 - 2018'!T296</f>
        <v>0.56129332402884391</v>
      </c>
      <c r="N16" s="236" t="s">
        <v>61</v>
      </c>
      <c r="O16" s="202">
        <f>'Progress by County 2014 - 2018'!K114</f>
        <v>5120</v>
      </c>
      <c r="P16" s="203">
        <f>'Progress by County 2014 - 2018'!S114</f>
        <v>7.2851562499999994E-2</v>
      </c>
      <c r="Q16" s="202">
        <f t="shared" si="1"/>
        <v>373</v>
      </c>
      <c r="R16" s="247">
        <f>'Progress by County 2014 - 2018'!T114</f>
        <v>9.4784995425434587E-2</v>
      </c>
    </row>
    <row r="17" spans="2:18" ht="15.75" customHeight="1" x14ac:dyDescent="0.2">
      <c r="B17" s="197" t="s">
        <v>75</v>
      </c>
      <c r="C17" s="198">
        <f>'Progress by County 2014 - 2018'!K233</f>
        <v>2220</v>
      </c>
      <c r="D17" s="199">
        <f>'Progress by County 2014 - 2018'!S233</f>
        <v>0.30630630630630629</v>
      </c>
      <c r="E17" s="198">
        <f t="shared" si="2"/>
        <v>680</v>
      </c>
      <c r="F17" s="239">
        <f>'Progress by County 2014 - 2018'!T233</f>
        <v>1.119718309859155</v>
      </c>
      <c r="H17" s="226" t="s">
        <v>63</v>
      </c>
      <c r="I17" s="205">
        <f>'Progress by County 2014 - 2018'!K314</f>
        <v>2615</v>
      </c>
      <c r="J17" s="206">
        <f>'Progress by County 2014 - 2018'!S314</f>
        <v>0.16978967495219885</v>
      </c>
      <c r="K17" s="205">
        <f t="shared" si="0"/>
        <v>444</v>
      </c>
      <c r="L17" s="243">
        <f>'Progress by County 2014 - 2018'!T314</f>
        <v>0.54459016393442627</v>
      </c>
      <c r="N17" s="236" t="s">
        <v>67</v>
      </c>
      <c r="O17" s="202">
        <f>'Progress by County 2014 - 2018'!K274</f>
        <v>3216</v>
      </c>
      <c r="P17" s="203">
        <f>'Progress by County 2014 - 2018'!S274</f>
        <v>8.2400497512437818E-2</v>
      </c>
      <c r="Q17" s="202">
        <f t="shared" si="1"/>
        <v>265</v>
      </c>
      <c r="R17" s="247">
        <f>'Progress by County 2014 - 2018'!T274</f>
        <v>0.33421361502347419</v>
      </c>
    </row>
    <row r="18" spans="2:18" ht="15.75" customHeight="1" x14ac:dyDescent="0.2">
      <c r="B18" s="197" t="s">
        <v>73</v>
      </c>
      <c r="C18" s="198">
        <f>'Progress by County 2014 - 2018'!K223</f>
        <v>1660</v>
      </c>
      <c r="D18" s="199">
        <f>'Progress by County 2014 - 2018'!S223</f>
        <v>0.45120481927710843</v>
      </c>
      <c r="E18" s="198">
        <f t="shared" si="2"/>
        <v>749</v>
      </c>
      <c r="F18" s="239">
        <f>'Progress by County 2014 - 2018'!T223</f>
        <v>1.908187134502924</v>
      </c>
      <c r="H18" s="226" t="s">
        <v>79</v>
      </c>
      <c r="I18" s="205">
        <f>'Progress by County 2014 - 2018'!K78</f>
        <v>2570</v>
      </c>
      <c r="J18" s="206">
        <f>'Progress by County 2014 - 2018'!S78</f>
        <v>0.17548638132295719</v>
      </c>
      <c r="K18" s="205">
        <f t="shared" si="0"/>
        <v>450.99999999999994</v>
      </c>
      <c r="L18" s="243">
        <f>'Progress by County 2014 - 2018'!T78</f>
        <v>8.6956521739130432E-2</v>
      </c>
      <c r="N18" s="236" t="s">
        <v>76</v>
      </c>
      <c r="O18" s="202">
        <f>'Progress by County 2014 - 2018'!K26</f>
        <v>2635</v>
      </c>
      <c r="P18" s="203">
        <f>'Progress by County 2014 - 2018'!S26</f>
        <v>6.9070208728652757E-2</v>
      </c>
      <c r="Q18" s="202">
        <f t="shared" si="1"/>
        <v>182.00000000000003</v>
      </c>
      <c r="R18" s="247">
        <f>'Progress by County 2014 - 2018'!T26</f>
        <v>0.67540983606557381</v>
      </c>
    </row>
    <row r="19" spans="2:18" ht="15.75" customHeight="1" x14ac:dyDescent="0.2">
      <c r="B19" s="197" t="s">
        <v>70</v>
      </c>
      <c r="C19" s="198">
        <f>'Progress by County 2014 - 2018'!K270</f>
        <v>1456</v>
      </c>
      <c r="D19" s="199">
        <f>'Progress by County 2014 - 2018'!S270</f>
        <v>0.52747252747252749</v>
      </c>
      <c r="E19" s="198">
        <f t="shared" si="2"/>
        <v>768</v>
      </c>
      <c r="F19" s="239">
        <f>'Progress by County 2014 - 2018'!T270</f>
        <v>1.4616858237547892</v>
      </c>
      <c r="H19" s="226" t="s">
        <v>71</v>
      </c>
      <c r="I19" s="205">
        <f>'Progress by County 2014 - 2018'!K151</f>
        <v>1472</v>
      </c>
      <c r="J19" s="206">
        <f>'Progress by County 2014 - 2018'!S151</f>
        <v>0.23573369565217392</v>
      </c>
      <c r="K19" s="205">
        <f t="shared" si="0"/>
        <v>347</v>
      </c>
      <c r="L19" s="243">
        <f>'Progress by County 2014 - 2018'!T151</f>
        <v>1.0271317829457365</v>
      </c>
      <c r="N19" s="236" t="s">
        <v>72</v>
      </c>
      <c r="O19" s="202">
        <f>'Progress by County 2014 - 2018'!K317</f>
        <v>2516</v>
      </c>
      <c r="P19" s="203">
        <f>'Progress by County 2014 - 2018'!S317</f>
        <v>0</v>
      </c>
      <c r="Q19" s="202">
        <f>'Progress by County 2014 - 2018'!O317</f>
        <v>0</v>
      </c>
      <c r="R19" s="247">
        <f>'Progress by County 2014 - 2018'!T317</f>
        <v>8.7412587412587419E-3</v>
      </c>
    </row>
    <row r="20" spans="2:18" ht="15.75" customHeight="1" x14ac:dyDescent="0.2">
      <c r="B20" s="197" t="s">
        <v>74</v>
      </c>
      <c r="C20" s="198">
        <f>'Progress by County 2014 - 2018'!K248</f>
        <v>880</v>
      </c>
      <c r="D20" s="199">
        <f>'Progress by County 2014 - 2018'!S248</f>
        <v>0.33636363636363636</v>
      </c>
      <c r="E20" s="198">
        <f t="shared" si="2"/>
        <v>296</v>
      </c>
      <c r="F20" s="239">
        <f>'Progress by County 2014 - 2018'!T248</f>
        <v>0.88936170212765953</v>
      </c>
      <c r="H20" s="226" t="s">
        <v>77</v>
      </c>
      <c r="I20" s="205">
        <f>'Progress by County 2014 - 2018'!K265</f>
        <v>1308</v>
      </c>
      <c r="J20" s="206">
        <f>'Progress by County 2014 - 2018'!S265</f>
        <v>0.19266055045871561</v>
      </c>
      <c r="K20" s="205">
        <f t="shared" si="0"/>
        <v>252</v>
      </c>
      <c r="L20" s="243">
        <f>'Progress by County 2014 - 2018'!T265</f>
        <v>1.6956521739130435</v>
      </c>
      <c r="N20" s="236" t="s">
        <v>82</v>
      </c>
      <c r="O20" s="202">
        <f>'Progress by County 2014 - 2018'!K135</f>
        <v>2472</v>
      </c>
      <c r="P20" s="203">
        <f>'Progress by County 2014 - 2018'!S135</f>
        <v>3.1957928802588999E-2</v>
      </c>
      <c r="Q20" s="202">
        <f t="shared" ref="Q20:Q31" si="3">P20*O20</f>
        <v>79</v>
      </c>
      <c r="R20" s="247">
        <f>'Progress by County 2014 - 2018'!T135</f>
        <v>0.81252477209671026</v>
      </c>
    </row>
    <row r="21" spans="2:18" ht="15.75" customHeight="1" x14ac:dyDescent="0.2">
      <c r="B21" s="197" t="s">
        <v>81</v>
      </c>
      <c r="C21" s="198">
        <f>'Progress by County 2014 - 2018'!K162</f>
        <v>725</v>
      </c>
      <c r="D21" s="199">
        <f>'Progress by County 2014 - 2018'!S162</f>
        <v>0.36551724137931035</v>
      </c>
      <c r="E21" s="198">
        <f t="shared" si="2"/>
        <v>265</v>
      </c>
      <c r="F21" s="239">
        <f>'Progress by County 2014 - 2018'!T162</f>
        <v>1.0805194805194804</v>
      </c>
      <c r="H21" s="226" t="s">
        <v>80</v>
      </c>
      <c r="I21" s="205">
        <f>'Progress by County 2014 - 2018'!K55</f>
        <v>1295</v>
      </c>
      <c r="J21" s="206">
        <f>'Progress by County 2014 - 2018'!S55</f>
        <v>0.18610038610038609</v>
      </c>
      <c r="K21" s="205">
        <f t="shared" si="0"/>
        <v>241</v>
      </c>
      <c r="L21" s="243">
        <f>'Progress by County 2014 - 2018'!T55</f>
        <v>2.1537878787878788</v>
      </c>
      <c r="N21" s="236" t="s">
        <v>85</v>
      </c>
      <c r="O21" s="202">
        <f>'Progress by County 2014 - 2018'!K91</f>
        <v>1014</v>
      </c>
      <c r="P21" s="203">
        <f>'Progress by County 2014 - 2018'!S91</f>
        <v>5.6213017751479293E-2</v>
      </c>
      <c r="Q21" s="202">
        <f t="shared" si="3"/>
        <v>57</v>
      </c>
      <c r="R21" s="247">
        <f>'Progress by County 2014 - 2018'!T91</f>
        <v>0.2011070110701107</v>
      </c>
    </row>
    <row r="22" spans="2:18" ht="15.75" customHeight="1" x14ac:dyDescent="0.2">
      <c r="B22" s="197" t="s">
        <v>84</v>
      </c>
      <c r="C22" s="198">
        <f>'Progress by County 2014 - 2018'!K32</f>
        <v>480</v>
      </c>
      <c r="D22" s="199">
        <f>'Progress by County 2014 - 2018'!S32</f>
        <v>0.4</v>
      </c>
      <c r="E22" s="198">
        <f t="shared" si="2"/>
        <v>192</v>
      </c>
      <c r="F22" s="239">
        <f>'Progress by County 2014 - 2018'!T32</f>
        <v>0.46481481481481479</v>
      </c>
      <c r="H22" s="226" t="s">
        <v>78</v>
      </c>
      <c r="I22" s="205">
        <f>'Progress by County 2014 - 2018'!K72</f>
        <v>820</v>
      </c>
      <c r="J22" s="206">
        <f>'Progress by County 2014 - 2018'!S72</f>
        <v>0.28048780487804881</v>
      </c>
      <c r="K22" s="205">
        <f t="shared" si="0"/>
        <v>230.00000000000003</v>
      </c>
      <c r="L22" s="243">
        <f>'Progress by County 2014 - 2018'!T72</f>
        <v>0.39438202247191012</v>
      </c>
      <c r="N22" s="236" t="s">
        <v>92</v>
      </c>
      <c r="O22" s="202">
        <f>'Progress by County 2014 - 2018'!K96</f>
        <v>664</v>
      </c>
      <c r="P22" s="203">
        <f>'Progress by County 2014 - 2018'!S96</f>
        <v>4.5180722891566265E-2</v>
      </c>
      <c r="Q22" s="202">
        <f t="shared" si="3"/>
        <v>30</v>
      </c>
      <c r="R22" s="247">
        <f>'Progress by County 2014 - 2018'!T96</f>
        <v>3.7356321839080463E-2</v>
      </c>
    </row>
    <row r="23" spans="2:18" ht="15.75" customHeight="1" x14ac:dyDescent="0.2">
      <c r="B23" s="197" t="s">
        <v>83</v>
      </c>
      <c r="C23" s="198">
        <f>'Progress by County 2014 - 2018'!K119</f>
        <v>492</v>
      </c>
      <c r="D23" s="199">
        <f>'Progress by County 2014 - 2018'!S119</f>
        <v>0.47560975609756095</v>
      </c>
      <c r="E23" s="198">
        <f t="shared" si="2"/>
        <v>234</v>
      </c>
      <c r="F23" s="239">
        <f>'Progress by County 2014 - 2018'!T119</f>
        <v>1.3040540540540539</v>
      </c>
      <c r="H23" s="226" t="s">
        <v>105</v>
      </c>
      <c r="I23" s="205">
        <f>'Progress by County 2014 - 2018'!K280</f>
        <v>692</v>
      </c>
      <c r="J23" s="206">
        <f>'Progress by County 2014 - 2018'!S280</f>
        <v>0.14450867052023122</v>
      </c>
      <c r="K23" s="205">
        <f t="shared" si="0"/>
        <v>100.00000000000001</v>
      </c>
      <c r="L23" s="243">
        <f>'Progress by County 2014 - 2018'!T280</f>
        <v>0.23749999999999999</v>
      </c>
      <c r="N23" s="236" t="s">
        <v>94</v>
      </c>
      <c r="O23" s="202">
        <f>'Progress by County 2014 - 2018'!K38</f>
        <v>460</v>
      </c>
      <c r="P23" s="203">
        <f>'Progress by County 2014 - 2018'!S38</f>
        <v>2.8260869565217391E-2</v>
      </c>
      <c r="Q23" s="202">
        <f t="shared" si="3"/>
        <v>13</v>
      </c>
      <c r="R23" s="247">
        <f>'Progress by County 2014 - 2018'!T38</f>
        <v>0.10612244897959183</v>
      </c>
    </row>
    <row r="24" spans="2:18" ht="15.75" customHeight="1" x14ac:dyDescent="0.2">
      <c r="B24" s="197" t="s">
        <v>86</v>
      </c>
      <c r="C24" s="198">
        <f>'Progress by County 2014 - 2018'!K242</f>
        <v>456</v>
      </c>
      <c r="D24" s="199">
        <f>'Progress by County 2014 - 2018'!S242</f>
        <v>0.43201754385964913</v>
      </c>
      <c r="E24" s="198">
        <f t="shared" si="2"/>
        <v>197</v>
      </c>
      <c r="F24" s="239">
        <f>'Progress by County 2014 - 2018'!T242</f>
        <v>1.2725366876310273</v>
      </c>
      <c r="H24" s="226" t="s">
        <v>91</v>
      </c>
      <c r="I24" s="205">
        <f>'Progress by County 2014 - 2018'!K14</f>
        <v>15</v>
      </c>
      <c r="J24" s="206">
        <f>'Progress by County 2014 - 2018'!S8</f>
        <v>0.38075060532687649</v>
      </c>
      <c r="K24" s="205">
        <f t="shared" si="0"/>
        <v>5.7112590799031473</v>
      </c>
      <c r="L24" s="243">
        <f>'Progress by County 2014 - 2018'!T14</f>
        <v>1</v>
      </c>
      <c r="N24" s="236" t="s">
        <v>87</v>
      </c>
      <c r="O24" s="202">
        <f>'Progress by County 2014 - 2018'!K196</f>
        <v>416</v>
      </c>
      <c r="P24" s="203">
        <f>'Progress by County 2014 - 2018'!S196</f>
        <v>0</v>
      </c>
      <c r="Q24" s="202">
        <f t="shared" si="3"/>
        <v>0</v>
      </c>
      <c r="R24" s="247">
        <f>'Progress by County 2014 - 2018'!T196</f>
        <v>1.75</v>
      </c>
    </row>
    <row r="25" spans="2:18" ht="15.75" customHeight="1" x14ac:dyDescent="0.2">
      <c r="B25" s="197" t="s">
        <v>98</v>
      </c>
      <c r="C25" s="198">
        <f>'Progress by County 2014 - 2018'!K286</f>
        <v>385</v>
      </c>
      <c r="D25" s="199">
        <f>'Progress by County 2014 - 2018'!S286</f>
        <v>0.34285714285714286</v>
      </c>
      <c r="E25" s="198">
        <f t="shared" si="2"/>
        <v>132</v>
      </c>
      <c r="F25" s="239">
        <f>'Progress by County 2014 - 2018'!T286</f>
        <v>0.15294117647058825</v>
      </c>
      <c r="H25" s="224" t="s">
        <v>99</v>
      </c>
      <c r="I25" s="200">
        <f>'Progress by County 2014 - 2018'!K20</f>
        <v>40</v>
      </c>
      <c r="J25" s="201">
        <f>'Progress by County 2014 - 2018'!S20</f>
        <v>0.17499999999999999</v>
      </c>
      <c r="K25" s="205">
        <f t="shared" si="0"/>
        <v>7</v>
      </c>
      <c r="L25" s="243">
        <f>'Progress by County 2014 - 2018'!T20</f>
        <v>3.2666666666666666</v>
      </c>
      <c r="N25" s="236" t="s">
        <v>96</v>
      </c>
      <c r="O25" s="202">
        <f>'Progress by County 2014 - 2018'!K125</f>
        <v>395</v>
      </c>
      <c r="P25" s="203">
        <f>'Progress by County 2014 - 2018'!S125</f>
        <v>0</v>
      </c>
      <c r="Q25" s="202">
        <f t="shared" si="3"/>
        <v>0</v>
      </c>
      <c r="R25" s="247">
        <f>'Progress by County 2014 - 2018'!T125</f>
        <v>0.27857142857142858</v>
      </c>
    </row>
    <row r="26" spans="2:18" ht="15.75" customHeight="1" x14ac:dyDescent="0.2">
      <c r="B26" s="197" t="s">
        <v>115</v>
      </c>
      <c r="C26" s="198">
        <f>'Progress by County 2014 - 2018'!K156</f>
        <v>284</v>
      </c>
      <c r="D26" s="199">
        <f>'Progress by County 2014 - 2018'!S156</f>
        <v>0.76056338028169013</v>
      </c>
      <c r="E26" s="198">
        <f t="shared" si="2"/>
        <v>216</v>
      </c>
      <c r="F26" s="239">
        <f>'Progress by County 2014 - 2018'!T156</f>
        <v>2.9732142857142856</v>
      </c>
      <c r="H26" s="226"/>
      <c r="I26" s="205"/>
      <c r="J26" s="205"/>
      <c r="K26" s="205"/>
      <c r="L26" s="227"/>
      <c r="N26" s="236" t="s">
        <v>102</v>
      </c>
      <c r="O26" s="202">
        <f>'Progress by County 2014 - 2018'!K260</f>
        <v>220</v>
      </c>
      <c r="P26" s="203">
        <f>'Progress by County 2014 - 2018'!S260</f>
        <v>4.5454545454545452E-3</v>
      </c>
      <c r="Q26" s="202">
        <f t="shared" si="3"/>
        <v>1</v>
      </c>
      <c r="R26" s="247">
        <f>'Progress by County 2014 - 2018'!T260</f>
        <v>2.6666666666666668E-2</v>
      </c>
    </row>
    <row r="27" spans="2:18" ht="15.75" customHeight="1" x14ac:dyDescent="0.2">
      <c r="B27" s="197" t="s">
        <v>103</v>
      </c>
      <c r="C27" s="198">
        <f>'Progress by County 2014 - 2018'!K49</f>
        <v>130</v>
      </c>
      <c r="D27" s="199">
        <f>'Progress by County 2014 - 2018'!S49</f>
        <v>0.33846153846153848</v>
      </c>
      <c r="E27" s="198">
        <f t="shared" si="2"/>
        <v>44</v>
      </c>
      <c r="F27" s="239">
        <f>'Progress by County 2014 - 2018'!T49</f>
        <v>0.54285714285714282</v>
      </c>
      <c r="H27" s="226"/>
      <c r="I27" s="205"/>
      <c r="J27" s="205"/>
      <c r="K27" s="205"/>
      <c r="L27" s="227"/>
      <c r="N27" s="236" t="s">
        <v>116</v>
      </c>
      <c r="O27" s="202">
        <f>'Progress by County 2014 - 2018'!K302</f>
        <v>215</v>
      </c>
      <c r="P27" s="203">
        <f>'Progress by County 2014 - 2018'!S302</f>
        <v>7.441860465116279E-2</v>
      </c>
      <c r="Q27" s="202">
        <f t="shared" si="3"/>
        <v>16</v>
      </c>
      <c r="R27" s="247">
        <f>'Progress by County 2014 - 2018'!T302</f>
        <v>0.50212765957446803</v>
      </c>
    </row>
    <row r="28" spans="2:18" ht="15.75" customHeight="1" x14ac:dyDescent="0.2">
      <c r="B28" s="197" t="s">
        <v>95</v>
      </c>
      <c r="C28" s="198">
        <f>'Progress by County 2014 - 2018'!K131</f>
        <v>100</v>
      </c>
      <c r="D28" s="199">
        <f>'Progress by County 2014 - 2018'!S131</f>
        <v>0.82</v>
      </c>
      <c r="E28" s="198">
        <f t="shared" si="2"/>
        <v>82</v>
      </c>
      <c r="F28" s="239">
        <f>'Progress by County 2014 - 2018'!T131</f>
        <v>0.95454545454545459</v>
      </c>
      <c r="H28" s="226"/>
      <c r="I28" s="205"/>
      <c r="J28" s="205"/>
      <c r="K28" s="205"/>
      <c r="L28" s="227"/>
      <c r="N28" s="236" t="s">
        <v>104</v>
      </c>
      <c r="O28" s="202">
        <f>'Progress by County 2014 - 2018'!K84</f>
        <v>85</v>
      </c>
      <c r="P28" s="203">
        <f>'Progress by County 2014 - 2018'!S84</f>
        <v>1.1764705882352941E-2</v>
      </c>
      <c r="Q28" s="202">
        <f t="shared" si="3"/>
        <v>1</v>
      </c>
      <c r="R28" s="247">
        <f>'Progress by County 2014 - 2018'!T84</f>
        <v>0.22</v>
      </c>
    </row>
    <row r="29" spans="2:18" ht="15.75" customHeight="1" x14ac:dyDescent="0.2">
      <c r="B29" s="197" t="s">
        <v>117</v>
      </c>
      <c r="C29" s="198">
        <f>'Progress by County 2014 - 2018'!K147</f>
        <v>45</v>
      </c>
      <c r="D29" s="199">
        <f>'Progress by County 2014 - 2018'!S147</f>
        <v>0.48888888888888887</v>
      </c>
      <c r="E29" s="198">
        <f t="shared" si="2"/>
        <v>22</v>
      </c>
      <c r="F29" s="239">
        <f>'Progress by County 2014 - 2018'!T147</f>
        <v>3.06</v>
      </c>
      <c r="H29" s="226"/>
      <c r="I29" s="205"/>
      <c r="J29" s="205"/>
      <c r="K29" s="205"/>
      <c r="L29" s="227"/>
      <c r="N29" s="236" t="s">
        <v>106</v>
      </c>
      <c r="O29" s="202">
        <f>'Progress by County 2014 - 2018'!K102</f>
        <v>25</v>
      </c>
      <c r="P29" s="203">
        <f>'Progress by County 2014 - 2018'!S102</f>
        <v>0</v>
      </c>
      <c r="Q29" s="202">
        <f t="shared" si="3"/>
        <v>0</v>
      </c>
      <c r="R29" s="247">
        <f>'Progress by County 2014 - 2018'!U102</f>
        <v>0</v>
      </c>
    </row>
    <row r="30" spans="2:18" ht="15.75" customHeight="1" x14ac:dyDescent="0.2">
      <c r="B30" s="197" t="s">
        <v>93</v>
      </c>
      <c r="C30" s="198">
        <f>'Progress by County 2014 - 2018'!K66</f>
        <v>100</v>
      </c>
      <c r="D30" s="199">
        <f>'Progress by County 2014 - 2018'!S66</f>
        <v>1.43</v>
      </c>
      <c r="E30" s="198">
        <f t="shared" si="2"/>
        <v>143</v>
      </c>
      <c r="F30" s="239">
        <f>'Progress by County 2014 - 2018'!T66</f>
        <v>0.29090909090909089</v>
      </c>
      <c r="H30" s="226"/>
      <c r="I30" s="205"/>
      <c r="J30" s="205"/>
      <c r="K30" s="205"/>
      <c r="L30" s="227"/>
      <c r="N30" s="236" t="s">
        <v>101</v>
      </c>
      <c r="O30" s="202">
        <f>'Progress by County 2014 - 2018'!K179</f>
        <v>15</v>
      </c>
      <c r="P30" s="203">
        <f>'Progress by County 2014 - 2018'!S179</f>
        <v>0</v>
      </c>
      <c r="Q30" s="202">
        <f t="shared" si="3"/>
        <v>0</v>
      </c>
      <c r="R30" s="247">
        <f>'Progress by County 2014 - 2018'!T179</f>
        <v>5.5555555555555554</v>
      </c>
    </row>
    <row r="31" spans="2:18" ht="15.75" customHeight="1" x14ac:dyDescent="0.2">
      <c r="B31" s="197"/>
      <c r="C31" s="198"/>
      <c r="D31" s="198"/>
      <c r="E31" s="198"/>
      <c r="F31" s="218"/>
      <c r="H31" s="226"/>
      <c r="I31" s="205"/>
      <c r="J31" s="205"/>
      <c r="K31" s="205"/>
      <c r="L31" s="227"/>
      <c r="N31" s="237" t="s">
        <v>107</v>
      </c>
      <c r="O31" s="211">
        <f>'Progress by County 2014 - 2018'!K141</f>
        <v>5</v>
      </c>
      <c r="P31" s="248">
        <f>'Progress by County 2014 - 2018'!S141</f>
        <v>0</v>
      </c>
      <c r="Q31" s="202">
        <f t="shared" si="3"/>
        <v>0</v>
      </c>
      <c r="R31" s="247">
        <f>'Progress by County 2014 - 2018'!T141</f>
        <v>0</v>
      </c>
    </row>
    <row r="32" spans="2:18" ht="15.75" customHeight="1" x14ac:dyDescent="0.2">
      <c r="B32" s="197"/>
      <c r="C32" s="198"/>
      <c r="D32" s="198"/>
      <c r="E32" s="198"/>
      <c r="F32" s="218"/>
      <c r="H32" s="226"/>
      <c r="I32" s="205"/>
      <c r="J32" s="205"/>
      <c r="K32" s="205"/>
      <c r="L32" s="227"/>
      <c r="N32" s="236" t="s">
        <v>108</v>
      </c>
      <c r="O32" s="202">
        <f>'Progress by County 2014 - 2018'!K292</f>
        <v>5</v>
      </c>
      <c r="P32" s="203">
        <f>'Progress by County 2014 - 2018'!S292</f>
        <v>0</v>
      </c>
      <c r="Q32" s="202">
        <f>'Progress by County 2014 - 2018'!O292</f>
        <v>0</v>
      </c>
      <c r="R32" s="247">
        <f>'Progress by County 2014 - 2018'!T292</f>
        <v>0</v>
      </c>
    </row>
    <row r="33" spans="1:18" ht="12.95" customHeight="1" x14ac:dyDescent="0.2">
      <c r="B33" s="197"/>
      <c r="C33" s="198"/>
      <c r="D33" s="198"/>
      <c r="E33" s="198"/>
      <c r="F33" s="218"/>
      <c r="H33" s="226"/>
      <c r="I33" s="205"/>
      <c r="J33" s="205"/>
      <c r="K33" s="205"/>
      <c r="L33" s="227"/>
      <c r="N33" s="249" t="s">
        <v>111</v>
      </c>
      <c r="O33" s="250">
        <f>'Progress by County 2014 - 2018'!K254</f>
        <v>4</v>
      </c>
      <c r="P33" s="251">
        <f>'Progress by County 2014 - 2018'!S254</f>
        <v>0</v>
      </c>
      <c r="Q33" s="250">
        <f>'Progress by County 2014 - 2018'!O254</f>
        <v>0</v>
      </c>
      <c r="R33" s="252">
        <f>'Progress by County 2014 - 2018'!T253</f>
        <v>0</v>
      </c>
    </row>
    <row r="34" spans="1:18" ht="15.75" customHeight="1" thickBot="1" x14ac:dyDescent="0.25">
      <c r="B34" s="240"/>
      <c r="C34" s="241"/>
      <c r="D34" s="241"/>
      <c r="E34" s="241"/>
      <c r="F34" s="242"/>
      <c r="H34" s="244"/>
      <c r="I34" s="245"/>
      <c r="J34" s="245"/>
      <c r="K34" s="245"/>
      <c r="L34" s="246"/>
      <c r="N34" s="253"/>
      <c r="O34" s="254"/>
      <c r="P34" s="254"/>
      <c r="Q34" s="254"/>
      <c r="R34" s="255"/>
    </row>
    <row r="39" spans="1:18" ht="15.75" customHeight="1" x14ac:dyDescent="0.2">
      <c r="A39" s="1"/>
    </row>
    <row r="40" spans="1:18" ht="15.75" customHeight="1" x14ac:dyDescent="0.2">
      <c r="A40" s="1"/>
    </row>
    <row r="41" spans="1:18" ht="15.75" customHeight="1" x14ac:dyDescent="0.2">
      <c r="A41" s="1"/>
    </row>
    <row r="42" spans="1:18" ht="15.75" customHeight="1" x14ac:dyDescent="0.2">
      <c r="A42" s="1"/>
      <c r="Q42" s="45">
        <f>O38+P38+Q38</f>
        <v>0</v>
      </c>
    </row>
    <row r="43" spans="1:18" ht="15.75" customHeight="1" x14ac:dyDescent="0.2">
      <c r="A43" s="1"/>
    </row>
    <row r="44" spans="1:18" ht="15.75" customHeight="1" x14ac:dyDescent="0.2">
      <c r="A44" s="1"/>
    </row>
    <row r="45" spans="1:18" ht="15.75" customHeight="1" x14ac:dyDescent="0.2">
      <c r="A45" s="1"/>
    </row>
    <row r="46" spans="1:18" ht="15.75" customHeight="1" x14ac:dyDescent="0.2">
      <c r="A46" s="1"/>
    </row>
    <row r="47" spans="1:18" ht="15.75" customHeight="1" x14ac:dyDescent="0.2">
      <c r="A47" s="1"/>
    </row>
    <row r="48" spans="1:18" ht="15.75" customHeight="1" x14ac:dyDescent="0.2">
      <c r="A48" s="1"/>
    </row>
    <row r="49" spans="1:1" ht="15.75" customHeight="1" x14ac:dyDescent="0.2">
      <c r="A49" s="1"/>
    </row>
    <row r="50" spans="1:1" ht="15.75" customHeight="1" x14ac:dyDescent="0.2">
      <c r="A50" s="1"/>
    </row>
    <row r="51" spans="1:1" ht="15.75" customHeight="1" x14ac:dyDescent="0.2">
      <c r="A51" s="1"/>
    </row>
    <row r="52" spans="1:1" ht="12.75" x14ac:dyDescent="0.2">
      <c r="A52" s="1"/>
    </row>
    <row r="53" spans="1:1" ht="12.75" x14ac:dyDescent="0.2">
      <c r="A53" s="1"/>
    </row>
    <row r="54" spans="1:1" ht="12.75" x14ac:dyDescent="0.2">
      <c r="A54" s="1"/>
    </row>
    <row r="55" spans="1:1" ht="12.75" x14ac:dyDescent="0.2">
      <c r="A55" s="1"/>
    </row>
    <row r="56" spans="1:1" ht="12.75" x14ac:dyDescent="0.2">
      <c r="A56" s="1"/>
    </row>
    <row r="57" spans="1:1" ht="12.75" x14ac:dyDescent="0.2">
      <c r="A57" s="1"/>
    </row>
    <row r="58" spans="1:1" ht="12.75" x14ac:dyDescent="0.2">
      <c r="A58" s="1"/>
    </row>
    <row r="59" spans="1:1" ht="12.75" x14ac:dyDescent="0.2">
      <c r="A59" s="1"/>
    </row>
    <row r="60" spans="1:1" ht="12.75" x14ac:dyDescent="0.2">
      <c r="A60" s="1"/>
    </row>
    <row r="61" spans="1:1" ht="12.75" x14ac:dyDescent="0.2">
      <c r="A61" s="1"/>
    </row>
    <row r="62" spans="1:1" ht="12.75" x14ac:dyDescent="0.2">
      <c r="A62" s="1"/>
    </row>
    <row r="63" spans="1:1" ht="12.75" x14ac:dyDescent="0.2">
      <c r="A63" s="1"/>
    </row>
    <row r="64" spans="1:1" ht="12.75" x14ac:dyDescent="0.2">
      <c r="A64" s="1"/>
    </row>
    <row r="65" spans="1:1" ht="12.75" x14ac:dyDescent="0.2">
      <c r="A65" s="1"/>
    </row>
    <row r="66" spans="1:1" ht="12.75" x14ac:dyDescent="0.2">
      <c r="A66" s="1"/>
    </row>
    <row r="67" spans="1:1" ht="12.75" x14ac:dyDescent="0.2">
      <c r="A67" s="1"/>
    </row>
    <row r="68" spans="1:1" ht="12.75" x14ac:dyDescent="0.2">
      <c r="A68" s="1"/>
    </row>
    <row r="69" spans="1:1" ht="12.75" x14ac:dyDescent="0.2">
      <c r="A69" s="1"/>
    </row>
    <row r="70" spans="1:1" ht="12.75" x14ac:dyDescent="0.2">
      <c r="A70" s="1"/>
    </row>
    <row r="71" spans="1:1" ht="12.75" x14ac:dyDescent="0.2">
      <c r="A71" s="1"/>
    </row>
    <row r="72" spans="1:1" ht="12.75" x14ac:dyDescent="0.2">
      <c r="A72" s="1"/>
    </row>
    <row r="73" spans="1:1" ht="12.75" x14ac:dyDescent="0.2">
      <c r="A73" s="1"/>
    </row>
    <row r="74" spans="1:1" ht="12.75" x14ac:dyDescent="0.2">
      <c r="A74" s="1"/>
    </row>
    <row r="75" spans="1:1" ht="12.75" x14ac:dyDescent="0.2">
      <c r="A75" s="1"/>
    </row>
    <row r="76" spans="1:1" ht="12.75" x14ac:dyDescent="0.2">
      <c r="A76" s="1"/>
    </row>
    <row r="77" spans="1:1" ht="12.75" x14ac:dyDescent="0.2">
      <c r="A77" s="1"/>
    </row>
    <row r="78" spans="1:1" ht="12.75" x14ac:dyDescent="0.2">
      <c r="A78" s="1"/>
    </row>
    <row r="79" spans="1:1" ht="12.75" x14ac:dyDescent="0.2">
      <c r="A79" s="1"/>
    </row>
    <row r="80" spans="1:1" ht="12.75" x14ac:dyDescent="0.2">
      <c r="A80" s="1"/>
    </row>
    <row r="81" spans="1:1" ht="12.75" x14ac:dyDescent="0.2">
      <c r="A81" s="1"/>
    </row>
    <row r="82" spans="1:1" ht="12.75" x14ac:dyDescent="0.2">
      <c r="A82" s="1"/>
    </row>
    <row r="83" spans="1:1" ht="12.75" x14ac:dyDescent="0.2">
      <c r="A83" s="1"/>
    </row>
    <row r="84" spans="1:1" ht="12.75" x14ac:dyDescent="0.2">
      <c r="A84" s="1"/>
    </row>
    <row r="85" spans="1:1" ht="12.75" x14ac:dyDescent="0.2">
      <c r="A85" s="1"/>
    </row>
    <row r="86" spans="1:1" ht="12.75" x14ac:dyDescent="0.2">
      <c r="A86" s="1"/>
    </row>
    <row r="87" spans="1:1" ht="12.75" x14ac:dyDescent="0.2">
      <c r="A87" s="1"/>
    </row>
    <row r="88" spans="1:1" ht="12.75" x14ac:dyDescent="0.2">
      <c r="A88" s="1"/>
    </row>
    <row r="89" spans="1:1" ht="12.75" x14ac:dyDescent="0.2">
      <c r="A89" s="1"/>
    </row>
    <row r="90" spans="1:1" ht="12.75" x14ac:dyDescent="0.2">
      <c r="A90" s="1"/>
    </row>
    <row r="91" spans="1:1" ht="12.75" x14ac:dyDescent="0.2">
      <c r="A91" s="1"/>
    </row>
    <row r="92" spans="1:1" ht="12.75" x14ac:dyDescent="0.2">
      <c r="A92" s="1"/>
    </row>
    <row r="93" spans="1:1" ht="12.75" x14ac:dyDescent="0.2">
      <c r="A93" s="1"/>
    </row>
    <row r="94" spans="1:1" ht="12.75" x14ac:dyDescent="0.2">
      <c r="A94" s="1"/>
    </row>
    <row r="95" spans="1:1" ht="12.75" x14ac:dyDescent="0.2">
      <c r="A95" s="1"/>
    </row>
    <row r="96" spans="1:1" ht="12.75" x14ac:dyDescent="0.2">
      <c r="A96" s="1"/>
    </row>
    <row r="97" spans="1:1" ht="12.75" x14ac:dyDescent="0.2">
      <c r="A97" s="1"/>
    </row>
    <row r="98" spans="1:1" ht="12.75" x14ac:dyDescent="0.2">
      <c r="A98" s="1"/>
    </row>
    <row r="99" spans="1:1" ht="12.75" x14ac:dyDescent="0.2">
      <c r="A99" s="1"/>
    </row>
    <row r="100" spans="1:1" ht="12.75" x14ac:dyDescent="0.2">
      <c r="A100" s="1"/>
    </row>
    <row r="101" spans="1:1" ht="12.75" x14ac:dyDescent="0.2">
      <c r="A101" s="1"/>
    </row>
    <row r="102" spans="1:1" ht="12.75" x14ac:dyDescent="0.2">
      <c r="A102" s="1"/>
    </row>
    <row r="103" spans="1:1" ht="12.75" x14ac:dyDescent="0.2">
      <c r="A103" s="1"/>
    </row>
    <row r="104" spans="1:1" ht="12.75" x14ac:dyDescent="0.2">
      <c r="A104" s="1"/>
    </row>
    <row r="105" spans="1:1" ht="12.75" x14ac:dyDescent="0.2">
      <c r="A105" s="1"/>
    </row>
    <row r="106" spans="1:1" ht="12.75" x14ac:dyDescent="0.2">
      <c r="A106" s="1"/>
    </row>
    <row r="107" spans="1:1" ht="12.75" x14ac:dyDescent="0.2">
      <c r="A107" s="1"/>
    </row>
    <row r="108" spans="1:1" ht="12.75" x14ac:dyDescent="0.2">
      <c r="A108" s="1"/>
    </row>
    <row r="109" spans="1:1" ht="12.75" x14ac:dyDescent="0.2">
      <c r="A109" s="1"/>
    </row>
    <row r="110" spans="1:1" ht="12.75" x14ac:dyDescent="0.2">
      <c r="A110" s="1"/>
    </row>
    <row r="111" spans="1:1" ht="12.75" x14ac:dyDescent="0.2">
      <c r="A111" s="1"/>
    </row>
    <row r="112" spans="1:1" ht="12.75" x14ac:dyDescent="0.2">
      <c r="A112" s="1"/>
    </row>
    <row r="113" spans="1:1" ht="12.75" x14ac:dyDescent="0.2">
      <c r="A113" s="1"/>
    </row>
    <row r="114" spans="1:1" ht="12.75" x14ac:dyDescent="0.2">
      <c r="A114" s="1"/>
    </row>
    <row r="115" spans="1:1" ht="12.75" x14ac:dyDescent="0.2">
      <c r="A115" s="1"/>
    </row>
    <row r="116" spans="1:1" ht="12.75" x14ac:dyDescent="0.2">
      <c r="A116" s="1"/>
    </row>
    <row r="117" spans="1:1" ht="12.75" x14ac:dyDescent="0.2">
      <c r="A117" s="1"/>
    </row>
    <row r="118" spans="1:1" ht="12.75" x14ac:dyDescent="0.2">
      <c r="A118" s="1"/>
    </row>
    <row r="119" spans="1:1" ht="12.75" x14ac:dyDescent="0.2">
      <c r="A119" s="1"/>
    </row>
    <row r="120" spans="1:1" ht="12.75" x14ac:dyDescent="0.2">
      <c r="A120" s="1"/>
    </row>
    <row r="121" spans="1:1" ht="12.75" x14ac:dyDescent="0.2">
      <c r="A121" s="1"/>
    </row>
    <row r="122" spans="1:1" ht="12.75" x14ac:dyDescent="0.2">
      <c r="A122" s="1"/>
    </row>
    <row r="123" spans="1:1" ht="12.75" x14ac:dyDescent="0.2">
      <c r="A123" s="1"/>
    </row>
    <row r="124" spans="1:1" ht="12.75" x14ac:dyDescent="0.2">
      <c r="A124" s="1"/>
    </row>
    <row r="125" spans="1:1" ht="12.75" x14ac:dyDescent="0.2">
      <c r="A125" s="1"/>
    </row>
    <row r="126" spans="1:1" ht="12.75" x14ac:dyDescent="0.2">
      <c r="A126" s="1"/>
    </row>
    <row r="127" spans="1:1" ht="12.75" x14ac:dyDescent="0.2">
      <c r="A127" s="1"/>
    </row>
    <row r="128" spans="1:1" ht="12.75" x14ac:dyDescent="0.2">
      <c r="A128" s="1"/>
    </row>
    <row r="129" spans="1:1" ht="12.75" x14ac:dyDescent="0.2">
      <c r="A129" s="1"/>
    </row>
    <row r="130" spans="1:1" ht="12.75" x14ac:dyDescent="0.2">
      <c r="A130" s="1"/>
    </row>
    <row r="131" spans="1:1" ht="12.75" x14ac:dyDescent="0.2">
      <c r="A131" s="1"/>
    </row>
    <row r="132" spans="1:1" ht="12.75" x14ac:dyDescent="0.2">
      <c r="A132" s="1"/>
    </row>
    <row r="133" spans="1:1" ht="12.75" x14ac:dyDescent="0.2">
      <c r="A133" s="1"/>
    </row>
    <row r="134" spans="1:1" ht="12.75" x14ac:dyDescent="0.2">
      <c r="A134" s="1"/>
    </row>
    <row r="135" spans="1:1" ht="12.75" x14ac:dyDescent="0.2">
      <c r="A135" s="1"/>
    </row>
    <row r="136" spans="1:1" ht="12.75" x14ac:dyDescent="0.2">
      <c r="A136" s="1"/>
    </row>
    <row r="137" spans="1:1" ht="12.75" x14ac:dyDescent="0.2">
      <c r="A137" s="1"/>
    </row>
    <row r="138" spans="1:1" ht="12.75" x14ac:dyDescent="0.2">
      <c r="A138" s="1"/>
    </row>
    <row r="139" spans="1:1" ht="12.75" x14ac:dyDescent="0.2">
      <c r="A139" s="1"/>
    </row>
    <row r="140" spans="1:1" ht="12.75" x14ac:dyDescent="0.2">
      <c r="A140" s="1"/>
    </row>
    <row r="141" spans="1:1" ht="12.75" x14ac:dyDescent="0.2">
      <c r="A141" s="1"/>
    </row>
    <row r="142" spans="1:1" ht="12.75" x14ac:dyDescent="0.2">
      <c r="A142" s="1"/>
    </row>
    <row r="143" spans="1:1" ht="12.75" x14ac:dyDescent="0.2">
      <c r="A143" s="1"/>
    </row>
    <row r="144" spans="1:1" ht="12.75" x14ac:dyDescent="0.2">
      <c r="A144" s="1"/>
    </row>
    <row r="145" spans="1:1" ht="12.75" x14ac:dyDescent="0.2">
      <c r="A145" s="1"/>
    </row>
    <row r="146" spans="1:1" ht="12.75" x14ac:dyDescent="0.2">
      <c r="A146" s="1"/>
    </row>
    <row r="147" spans="1:1" ht="12.75" x14ac:dyDescent="0.2">
      <c r="A147" s="1"/>
    </row>
    <row r="148" spans="1:1" ht="12.75" x14ac:dyDescent="0.2">
      <c r="A148" s="1"/>
    </row>
    <row r="149" spans="1:1" ht="12.75" x14ac:dyDescent="0.2">
      <c r="A149" s="1"/>
    </row>
    <row r="150" spans="1:1" ht="12.75" x14ac:dyDescent="0.2">
      <c r="A150" s="1"/>
    </row>
    <row r="151" spans="1:1" ht="12.75" x14ac:dyDescent="0.2">
      <c r="A151" s="1"/>
    </row>
    <row r="152" spans="1:1" ht="12.75" x14ac:dyDescent="0.2">
      <c r="A152" s="1"/>
    </row>
    <row r="153" spans="1:1" ht="12.75" x14ac:dyDescent="0.2">
      <c r="A153" s="1"/>
    </row>
    <row r="154" spans="1:1" ht="12.75" x14ac:dyDescent="0.2">
      <c r="A154" s="1"/>
    </row>
    <row r="155" spans="1:1" ht="12.75" x14ac:dyDescent="0.2">
      <c r="A155" s="1"/>
    </row>
    <row r="156" spans="1:1" ht="12.75" x14ac:dyDescent="0.2">
      <c r="A156" s="1"/>
    </row>
    <row r="157" spans="1:1" ht="12.75" x14ac:dyDescent="0.2">
      <c r="A157" s="1"/>
    </row>
    <row r="158" spans="1:1" ht="12.75" x14ac:dyDescent="0.2">
      <c r="A158" s="1"/>
    </row>
    <row r="159" spans="1:1" ht="12.75" x14ac:dyDescent="0.2">
      <c r="A159" s="1"/>
    </row>
    <row r="160" spans="1:1" ht="12.75" x14ac:dyDescent="0.2">
      <c r="A160" s="1"/>
    </row>
    <row r="161" spans="1:1" ht="12.75" x14ac:dyDescent="0.2">
      <c r="A161" s="1"/>
    </row>
    <row r="162" spans="1:1" ht="12.75" x14ac:dyDescent="0.2">
      <c r="A162" s="1"/>
    </row>
    <row r="163" spans="1:1" ht="12.75" x14ac:dyDescent="0.2">
      <c r="A163" s="1"/>
    </row>
    <row r="164" spans="1:1" ht="12.75" x14ac:dyDescent="0.2">
      <c r="A164" s="1"/>
    </row>
    <row r="165" spans="1:1" ht="12.75" x14ac:dyDescent="0.2">
      <c r="A165" s="1"/>
    </row>
    <row r="166" spans="1:1" ht="12.75" x14ac:dyDescent="0.2">
      <c r="A166" s="1"/>
    </row>
    <row r="167" spans="1:1" ht="12.75" x14ac:dyDescent="0.2">
      <c r="A167" s="1"/>
    </row>
    <row r="168" spans="1:1" ht="12.75" x14ac:dyDescent="0.2">
      <c r="A168" s="1"/>
    </row>
    <row r="169" spans="1:1" ht="12.75" x14ac:dyDescent="0.2">
      <c r="A169" s="1"/>
    </row>
    <row r="170" spans="1:1" ht="12.75" x14ac:dyDescent="0.2">
      <c r="A170" s="1"/>
    </row>
    <row r="171" spans="1:1" ht="12.75" x14ac:dyDescent="0.2">
      <c r="A171" s="1"/>
    </row>
    <row r="172" spans="1:1" ht="12.75" x14ac:dyDescent="0.2">
      <c r="A172" s="1"/>
    </row>
    <row r="173" spans="1:1" ht="12.75" x14ac:dyDescent="0.2">
      <c r="A173" s="1"/>
    </row>
    <row r="174" spans="1:1" ht="12.75" x14ac:dyDescent="0.2">
      <c r="A174" s="1"/>
    </row>
    <row r="175" spans="1:1" ht="12.75" x14ac:dyDescent="0.2">
      <c r="A175" s="1"/>
    </row>
    <row r="176" spans="1:1" ht="12.75" x14ac:dyDescent="0.2">
      <c r="A176" s="1"/>
    </row>
    <row r="177" spans="1:1" ht="12.75" x14ac:dyDescent="0.2">
      <c r="A177" s="1"/>
    </row>
    <row r="178" spans="1:1" ht="12.75" x14ac:dyDescent="0.2">
      <c r="A178" s="1"/>
    </row>
    <row r="179" spans="1:1" ht="12.75" x14ac:dyDescent="0.2">
      <c r="A179" s="1"/>
    </row>
    <row r="180" spans="1:1" ht="12.75" x14ac:dyDescent="0.2">
      <c r="A180" s="1"/>
    </row>
    <row r="181" spans="1:1" ht="12.75" x14ac:dyDescent="0.2">
      <c r="A181" s="1"/>
    </row>
    <row r="182" spans="1:1" ht="12.75" x14ac:dyDescent="0.2">
      <c r="A182" s="1"/>
    </row>
    <row r="183" spans="1:1" ht="12.75" x14ac:dyDescent="0.2">
      <c r="A183" s="1"/>
    </row>
    <row r="184" spans="1:1" ht="12.75" x14ac:dyDescent="0.2">
      <c r="A184" s="1"/>
    </row>
    <row r="185" spans="1:1" ht="12.75" x14ac:dyDescent="0.2">
      <c r="A185" s="1"/>
    </row>
    <row r="186" spans="1:1" ht="12.75" x14ac:dyDescent="0.2">
      <c r="A186" s="1"/>
    </row>
    <row r="187" spans="1:1" ht="12.75" x14ac:dyDescent="0.2">
      <c r="A187" s="1"/>
    </row>
    <row r="188" spans="1:1" ht="12.75" x14ac:dyDescent="0.2">
      <c r="A188" s="1"/>
    </row>
    <row r="189" spans="1:1" ht="12.75" x14ac:dyDescent="0.2">
      <c r="A189" s="1"/>
    </row>
    <row r="190" spans="1:1" ht="12.75" x14ac:dyDescent="0.2">
      <c r="A190" s="1"/>
    </row>
    <row r="191" spans="1:1" ht="12.75" x14ac:dyDescent="0.2">
      <c r="A191" s="1"/>
    </row>
    <row r="192" spans="1:1" ht="12.75" x14ac:dyDescent="0.2">
      <c r="A192" s="1"/>
    </row>
    <row r="193" spans="1:1" ht="12.75" x14ac:dyDescent="0.2">
      <c r="A193" s="1"/>
    </row>
    <row r="194" spans="1:1" ht="12.75" x14ac:dyDescent="0.2">
      <c r="A194" s="1"/>
    </row>
    <row r="195" spans="1:1" ht="12.75" x14ac:dyDescent="0.2">
      <c r="A195" s="1"/>
    </row>
    <row r="196" spans="1:1" ht="12.75" x14ac:dyDescent="0.2">
      <c r="A196" s="1"/>
    </row>
    <row r="197" spans="1:1" ht="12.75" x14ac:dyDescent="0.2">
      <c r="A197" s="1"/>
    </row>
    <row r="198" spans="1:1" ht="12.75" x14ac:dyDescent="0.2">
      <c r="A198" s="1"/>
    </row>
    <row r="199" spans="1:1" ht="12.75" x14ac:dyDescent="0.2">
      <c r="A199" s="1"/>
    </row>
    <row r="200" spans="1:1" ht="12.75" x14ac:dyDescent="0.2">
      <c r="A200" s="1"/>
    </row>
    <row r="201" spans="1:1" ht="12.75" x14ac:dyDescent="0.2">
      <c r="A201" s="1"/>
    </row>
    <row r="202" spans="1:1" ht="12.75" x14ac:dyDescent="0.2">
      <c r="A202" s="1"/>
    </row>
    <row r="203" spans="1:1" ht="12.75" x14ac:dyDescent="0.2">
      <c r="A203" s="1"/>
    </row>
    <row r="204" spans="1:1" ht="12.75" x14ac:dyDescent="0.2">
      <c r="A204" s="1"/>
    </row>
    <row r="205" spans="1:1" ht="12.75" x14ac:dyDescent="0.2">
      <c r="A205" s="1"/>
    </row>
    <row r="206" spans="1:1" ht="12.75" x14ac:dyDescent="0.2">
      <c r="A206" s="1"/>
    </row>
    <row r="207" spans="1:1" ht="12.75" x14ac:dyDescent="0.2">
      <c r="A207" s="1"/>
    </row>
    <row r="208" spans="1:1" ht="12.75" x14ac:dyDescent="0.2">
      <c r="A208" s="1"/>
    </row>
    <row r="209" spans="1:1" ht="12.75" x14ac:dyDescent="0.2">
      <c r="A209" s="1"/>
    </row>
    <row r="210" spans="1:1" ht="12.75" x14ac:dyDescent="0.2">
      <c r="A210" s="1"/>
    </row>
    <row r="211" spans="1:1" ht="12.75" x14ac:dyDescent="0.2">
      <c r="A211" s="1"/>
    </row>
    <row r="212" spans="1:1" ht="12.75" x14ac:dyDescent="0.2">
      <c r="A212" s="1"/>
    </row>
    <row r="213" spans="1:1" ht="12.75" x14ac:dyDescent="0.2">
      <c r="A213" s="1"/>
    </row>
    <row r="214" spans="1:1" ht="12.75" x14ac:dyDescent="0.2">
      <c r="A214" s="1"/>
    </row>
    <row r="215" spans="1:1" ht="12.75" x14ac:dyDescent="0.2">
      <c r="A215" s="1"/>
    </row>
    <row r="216" spans="1:1" ht="12.75" x14ac:dyDescent="0.2">
      <c r="A216" s="1"/>
    </row>
    <row r="217" spans="1:1" ht="12.75" x14ac:dyDescent="0.2">
      <c r="A217" s="1"/>
    </row>
    <row r="218" spans="1:1" ht="12.75" x14ac:dyDescent="0.2">
      <c r="A218" s="1"/>
    </row>
    <row r="219" spans="1:1" ht="12.75" x14ac:dyDescent="0.2">
      <c r="A219" s="1"/>
    </row>
    <row r="220" spans="1:1" ht="12.75" x14ac:dyDescent="0.2">
      <c r="A220" s="1"/>
    </row>
    <row r="221" spans="1:1" ht="12.75" x14ac:dyDescent="0.2">
      <c r="A221" s="1"/>
    </row>
    <row r="222" spans="1:1" ht="12.75" x14ac:dyDescent="0.2">
      <c r="A222" s="1"/>
    </row>
    <row r="223" spans="1:1" ht="12.75" x14ac:dyDescent="0.2">
      <c r="A223" s="1"/>
    </row>
    <row r="224" spans="1:1" ht="12.75" x14ac:dyDescent="0.2">
      <c r="A224" s="1"/>
    </row>
    <row r="225" spans="1:1" ht="12.75" x14ac:dyDescent="0.2">
      <c r="A225" s="1"/>
    </row>
    <row r="226" spans="1:1" ht="12.75" x14ac:dyDescent="0.2">
      <c r="A226" s="1"/>
    </row>
    <row r="227" spans="1:1" ht="12.75" x14ac:dyDescent="0.2">
      <c r="A227" s="1"/>
    </row>
    <row r="228" spans="1:1" ht="12.75" x14ac:dyDescent="0.2">
      <c r="A228" s="1"/>
    </row>
    <row r="229" spans="1:1" ht="12.75" x14ac:dyDescent="0.2">
      <c r="A229" s="1"/>
    </row>
    <row r="230" spans="1:1" ht="12.75" x14ac:dyDescent="0.2">
      <c r="A230" s="1"/>
    </row>
    <row r="231" spans="1:1" ht="12.75" x14ac:dyDescent="0.2">
      <c r="A231" s="1"/>
    </row>
    <row r="232" spans="1:1" ht="12.75" x14ac:dyDescent="0.2">
      <c r="A232" s="1"/>
    </row>
    <row r="233" spans="1:1" ht="12.75" x14ac:dyDescent="0.2">
      <c r="A233" s="1"/>
    </row>
    <row r="234" spans="1:1" ht="12.75" x14ac:dyDescent="0.2">
      <c r="A234" s="1"/>
    </row>
    <row r="235" spans="1:1" ht="12.75" x14ac:dyDescent="0.2">
      <c r="A235" s="1"/>
    </row>
    <row r="236" spans="1:1" ht="12.75" x14ac:dyDescent="0.2">
      <c r="A236" s="1"/>
    </row>
    <row r="237" spans="1:1" ht="12.75" x14ac:dyDescent="0.2">
      <c r="A237" s="1"/>
    </row>
    <row r="238" spans="1:1" ht="12.75" x14ac:dyDescent="0.2">
      <c r="A238" s="1"/>
    </row>
    <row r="239" spans="1:1" ht="12.75" x14ac:dyDescent="0.2">
      <c r="A239" s="1"/>
    </row>
    <row r="240" spans="1:1" ht="12.75" x14ac:dyDescent="0.2">
      <c r="A240" s="1"/>
    </row>
    <row r="241" spans="1:1" ht="12.75" x14ac:dyDescent="0.2">
      <c r="A241" s="1"/>
    </row>
    <row r="242" spans="1:1" ht="12.75" x14ac:dyDescent="0.2">
      <c r="A242" s="1"/>
    </row>
    <row r="243" spans="1:1" ht="12.75" x14ac:dyDescent="0.2">
      <c r="A243" s="1"/>
    </row>
    <row r="244" spans="1:1" ht="12.75" x14ac:dyDescent="0.2">
      <c r="A244" s="1"/>
    </row>
    <row r="245" spans="1:1" ht="12.75" x14ac:dyDescent="0.2">
      <c r="A245" s="1"/>
    </row>
    <row r="246" spans="1:1" ht="12.75" x14ac:dyDescent="0.2">
      <c r="A246" s="1"/>
    </row>
    <row r="247" spans="1:1" ht="12.75" x14ac:dyDescent="0.2">
      <c r="A247" s="1"/>
    </row>
    <row r="248" spans="1:1" ht="12.75" x14ac:dyDescent="0.2">
      <c r="A248" s="1"/>
    </row>
    <row r="249" spans="1:1" ht="12.75" x14ac:dyDescent="0.2">
      <c r="A249" s="1"/>
    </row>
    <row r="250" spans="1:1" ht="12.75" x14ac:dyDescent="0.2">
      <c r="A250" s="1"/>
    </row>
    <row r="251" spans="1:1" ht="12.75" x14ac:dyDescent="0.2">
      <c r="A251" s="1"/>
    </row>
    <row r="252" spans="1:1" ht="12.75" x14ac:dyDescent="0.2">
      <c r="A252" s="1"/>
    </row>
    <row r="253" spans="1:1" ht="12.75" x14ac:dyDescent="0.2">
      <c r="A253" s="1"/>
    </row>
    <row r="254" spans="1:1" ht="12.75" x14ac:dyDescent="0.2">
      <c r="A254" s="1"/>
    </row>
    <row r="255" spans="1:1" ht="12.75" x14ac:dyDescent="0.2">
      <c r="A255" s="1"/>
    </row>
    <row r="256" spans="1:1" ht="12.75" x14ac:dyDescent="0.2">
      <c r="A256" s="1"/>
    </row>
    <row r="257" spans="1:1" ht="12.75" x14ac:dyDescent="0.2">
      <c r="A257" s="1"/>
    </row>
    <row r="258" spans="1:1" ht="12.75" x14ac:dyDescent="0.2">
      <c r="A258" s="1"/>
    </row>
    <row r="259" spans="1:1" ht="12.75" x14ac:dyDescent="0.2">
      <c r="A259" s="1"/>
    </row>
    <row r="260" spans="1:1" ht="12.75" x14ac:dyDescent="0.2">
      <c r="A260" s="1"/>
    </row>
    <row r="261" spans="1:1" ht="12.75" x14ac:dyDescent="0.2">
      <c r="A261" s="1"/>
    </row>
    <row r="262" spans="1:1" ht="12.75" x14ac:dyDescent="0.2">
      <c r="A262" s="1"/>
    </row>
    <row r="263" spans="1:1" ht="12.75" x14ac:dyDescent="0.2">
      <c r="A263" s="1"/>
    </row>
    <row r="264" spans="1:1" ht="12.75" x14ac:dyDescent="0.2">
      <c r="A264" s="1"/>
    </row>
    <row r="265" spans="1:1" ht="12.75" x14ac:dyDescent="0.2">
      <c r="A265" s="1"/>
    </row>
    <row r="266" spans="1:1" ht="12.75" x14ac:dyDescent="0.2">
      <c r="A266" s="1"/>
    </row>
    <row r="267" spans="1:1" ht="12.75" x14ac:dyDescent="0.2">
      <c r="A267" s="1"/>
    </row>
    <row r="268" spans="1:1" ht="12.75" x14ac:dyDescent="0.2">
      <c r="A268" s="1"/>
    </row>
    <row r="269" spans="1:1" ht="12.75" x14ac:dyDescent="0.2">
      <c r="A269" s="1"/>
    </row>
    <row r="270" spans="1:1" ht="12.75" x14ac:dyDescent="0.2">
      <c r="A270" s="1"/>
    </row>
    <row r="271" spans="1:1" ht="12.75" x14ac:dyDescent="0.2">
      <c r="A271" s="1"/>
    </row>
    <row r="272" spans="1:1" ht="12.75" x14ac:dyDescent="0.2">
      <c r="A272" s="1"/>
    </row>
    <row r="273" spans="1:1" ht="12.75" x14ac:dyDescent="0.2">
      <c r="A273" s="1"/>
    </row>
    <row r="274" spans="1:1" ht="12.75" x14ac:dyDescent="0.2">
      <c r="A274" s="1"/>
    </row>
    <row r="275" spans="1:1" ht="12.75" x14ac:dyDescent="0.2">
      <c r="A275" s="1"/>
    </row>
    <row r="276" spans="1:1" ht="12.75" x14ac:dyDescent="0.2">
      <c r="A276" s="1"/>
    </row>
    <row r="277" spans="1:1" ht="12.75" x14ac:dyDescent="0.2">
      <c r="A277" s="1"/>
    </row>
    <row r="278" spans="1:1" ht="12.75" x14ac:dyDescent="0.2">
      <c r="A278" s="1"/>
    </row>
    <row r="279" spans="1:1" ht="12.75" x14ac:dyDescent="0.2">
      <c r="A279" s="1"/>
    </row>
    <row r="280" spans="1:1" ht="12.75" x14ac:dyDescent="0.2">
      <c r="A280" s="1"/>
    </row>
    <row r="281" spans="1:1" ht="12.75" x14ac:dyDescent="0.2">
      <c r="A281" s="1"/>
    </row>
    <row r="282" spans="1:1" ht="12.75" x14ac:dyDescent="0.2">
      <c r="A282" s="1"/>
    </row>
    <row r="283" spans="1:1" ht="12.75" x14ac:dyDescent="0.2">
      <c r="A283" s="1"/>
    </row>
    <row r="284" spans="1:1" ht="12.75" x14ac:dyDescent="0.2">
      <c r="A284" s="1"/>
    </row>
    <row r="285" spans="1:1" ht="12.75" x14ac:dyDescent="0.2">
      <c r="A285" s="1"/>
    </row>
    <row r="286" spans="1:1" ht="12.75" x14ac:dyDescent="0.2">
      <c r="A286" s="1"/>
    </row>
    <row r="287" spans="1:1" ht="12.75" x14ac:dyDescent="0.2">
      <c r="A287" s="1"/>
    </row>
    <row r="288" spans="1:1" ht="12.75" x14ac:dyDescent="0.2">
      <c r="A288" s="1"/>
    </row>
    <row r="289" spans="1:1" ht="12.75" x14ac:dyDescent="0.2">
      <c r="A289" s="1"/>
    </row>
    <row r="290" spans="1:1" ht="12.75" x14ac:dyDescent="0.2">
      <c r="A290" s="1"/>
    </row>
    <row r="291" spans="1:1" ht="12.75" x14ac:dyDescent="0.2">
      <c r="A291" s="1"/>
    </row>
    <row r="292" spans="1:1" ht="12.75" x14ac:dyDescent="0.2">
      <c r="A292" s="1"/>
    </row>
    <row r="293" spans="1:1" ht="12.75" x14ac:dyDescent="0.2">
      <c r="A293" s="1"/>
    </row>
    <row r="294" spans="1:1" ht="12.75" x14ac:dyDescent="0.2">
      <c r="A294" s="1"/>
    </row>
    <row r="295" spans="1:1" ht="12.75" x14ac:dyDescent="0.2">
      <c r="A295" s="1"/>
    </row>
    <row r="296" spans="1:1" ht="12.75" x14ac:dyDescent="0.2">
      <c r="A296" s="1"/>
    </row>
    <row r="297" spans="1:1" ht="12.75" x14ac:dyDescent="0.2">
      <c r="A297" s="1"/>
    </row>
    <row r="298" spans="1:1" ht="12.75" x14ac:dyDescent="0.2">
      <c r="A298" s="1"/>
    </row>
    <row r="299" spans="1:1" ht="12.75" x14ac:dyDescent="0.2">
      <c r="A299" s="1"/>
    </row>
    <row r="300" spans="1:1" ht="12.75" x14ac:dyDescent="0.2">
      <c r="A300" s="1"/>
    </row>
    <row r="301" spans="1:1" ht="12.75" x14ac:dyDescent="0.2">
      <c r="A301" s="1"/>
    </row>
    <row r="302" spans="1:1" ht="12.75" x14ac:dyDescent="0.2">
      <c r="A302" s="1"/>
    </row>
    <row r="303" spans="1:1" ht="12.75" x14ac:dyDescent="0.2">
      <c r="A303" s="1"/>
    </row>
    <row r="304" spans="1:1" ht="12.75" x14ac:dyDescent="0.2">
      <c r="A304" s="1"/>
    </row>
    <row r="305" spans="1:1" ht="12.75" x14ac:dyDescent="0.2">
      <c r="A305" s="1"/>
    </row>
    <row r="306" spans="1:1" ht="12.75" x14ac:dyDescent="0.2">
      <c r="A306" s="1"/>
    </row>
    <row r="307" spans="1:1" ht="12.75" x14ac:dyDescent="0.2">
      <c r="A307" s="1"/>
    </row>
    <row r="308" spans="1:1" ht="12.75" x14ac:dyDescent="0.2">
      <c r="A308" s="1"/>
    </row>
    <row r="309" spans="1:1" ht="12.75" x14ac:dyDescent="0.2">
      <c r="A309" s="1"/>
    </row>
    <row r="310" spans="1:1" ht="12.75" x14ac:dyDescent="0.2">
      <c r="A310" s="1"/>
    </row>
    <row r="311" spans="1:1" ht="12.75" x14ac:dyDescent="0.2">
      <c r="A311" s="1"/>
    </row>
    <row r="312" spans="1:1" ht="12.75" x14ac:dyDescent="0.2">
      <c r="A312" s="1"/>
    </row>
    <row r="313" spans="1:1" ht="12.75" x14ac:dyDescent="0.2">
      <c r="A313" s="1"/>
    </row>
    <row r="314" spans="1:1" ht="12.75" x14ac:dyDescent="0.2">
      <c r="A314" s="1"/>
    </row>
    <row r="315" spans="1:1" ht="12.75" x14ac:dyDescent="0.2">
      <c r="A315" s="1"/>
    </row>
    <row r="316" spans="1:1" ht="12.75" x14ac:dyDescent="0.2">
      <c r="A316" s="1"/>
    </row>
    <row r="317" spans="1:1" ht="12.75" x14ac:dyDescent="0.2">
      <c r="A317" s="1"/>
    </row>
    <row r="318" spans="1:1" ht="12.75" x14ac:dyDescent="0.2">
      <c r="A318" s="1"/>
    </row>
    <row r="319" spans="1:1" ht="12.75" x14ac:dyDescent="0.2">
      <c r="A319" s="1"/>
    </row>
    <row r="320" spans="1:1" ht="12.75" x14ac:dyDescent="0.2">
      <c r="A320" s="1"/>
    </row>
    <row r="321" spans="1:1" ht="12.75" x14ac:dyDescent="0.2">
      <c r="A321" s="1"/>
    </row>
    <row r="322" spans="1:1" ht="12.75" x14ac:dyDescent="0.2">
      <c r="A322" s="1"/>
    </row>
    <row r="323" spans="1:1" ht="12.75" x14ac:dyDescent="0.2">
      <c r="A323" s="1"/>
    </row>
    <row r="324" spans="1:1" ht="12.75" x14ac:dyDescent="0.2">
      <c r="A324" s="1"/>
    </row>
    <row r="325" spans="1:1" ht="12.75" x14ac:dyDescent="0.2">
      <c r="A325" s="1"/>
    </row>
    <row r="326" spans="1:1" ht="12.75" x14ac:dyDescent="0.2">
      <c r="A326" s="1"/>
    </row>
    <row r="327" spans="1:1" ht="12.75" x14ac:dyDescent="0.2">
      <c r="A327" s="1"/>
    </row>
    <row r="328" spans="1:1" ht="12.75" x14ac:dyDescent="0.2">
      <c r="A328" s="1"/>
    </row>
    <row r="329" spans="1:1" ht="12.75" x14ac:dyDescent="0.2">
      <c r="A329" s="1"/>
    </row>
    <row r="330" spans="1:1" ht="12.75" x14ac:dyDescent="0.2">
      <c r="A330" s="1"/>
    </row>
    <row r="331" spans="1:1" ht="12.75" x14ac:dyDescent="0.2">
      <c r="A331" s="1"/>
    </row>
    <row r="332" spans="1:1" ht="12.75" x14ac:dyDescent="0.2">
      <c r="A332" s="1"/>
    </row>
    <row r="333" spans="1:1" ht="12.75" x14ac:dyDescent="0.2">
      <c r="A333" s="1"/>
    </row>
    <row r="334" spans="1:1" ht="12.75" x14ac:dyDescent="0.2">
      <c r="A334" s="1"/>
    </row>
    <row r="335" spans="1:1" ht="12.75" x14ac:dyDescent="0.2">
      <c r="A335" s="1"/>
    </row>
    <row r="336" spans="1:1" ht="12.75" x14ac:dyDescent="0.2">
      <c r="A336" s="1"/>
    </row>
    <row r="337" spans="1:1" ht="12.75" x14ac:dyDescent="0.2">
      <c r="A337" s="1"/>
    </row>
    <row r="338" spans="1:1" ht="12.75" x14ac:dyDescent="0.2">
      <c r="A338" s="1"/>
    </row>
    <row r="339" spans="1:1" ht="12.75" x14ac:dyDescent="0.2">
      <c r="A339" s="1"/>
    </row>
    <row r="340" spans="1:1" ht="12.75" x14ac:dyDescent="0.2">
      <c r="A340" s="1"/>
    </row>
    <row r="341" spans="1:1" ht="12.75" x14ac:dyDescent="0.2">
      <c r="A341" s="1"/>
    </row>
    <row r="342" spans="1:1" ht="12.75" x14ac:dyDescent="0.2">
      <c r="A342" s="1"/>
    </row>
    <row r="343" spans="1:1" ht="12.75" x14ac:dyDescent="0.2">
      <c r="A343" s="1"/>
    </row>
    <row r="344" spans="1:1" ht="12.75" x14ac:dyDescent="0.2">
      <c r="A344" s="1"/>
    </row>
    <row r="345" spans="1:1" ht="12.75" x14ac:dyDescent="0.2">
      <c r="A345" s="1"/>
    </row>
    <row r="346" spans="1:1" ht="12.75" x14ac:dyDescent="0.2">
      <c r="A346" s="1"/>
    </row>
    <row r="347" spans="1:1" ht="12.75" x14ac:dyDescent="0.2">
      <c r="A347" s="1"/>
    </row>
    <row r="348" spans="1:1" ht="12.75" x14ac:dyDescent="0.2">
      <c r="A348" s="1"/>
    </row>
    <row r="349" spans="1:1" ht="12.75" x14ac:dyDescent="0.2">
      <c r="A349" s="1"/>
    </row>
    <row r="350" spans="1:1" ht="12.75" x14ac:dyDescent="0.2">
      <c r="A350" s="1"/>
    </row>
    <row r="351" spans="1:1" ht="12.75" x14ac:dyDescent="0.2">
      <c r="A351" s="1"/>
    </row>
    <row r="352" spans="1:1" ht="12.75" x14ac:dyDescent="0.2">
      <c r="A352" s="1"/>
    </row>
    <row r="353" spans="1:1" ht="12.75" x14ac:dyDescent="0.2">
      <c r="A353" s="1"/>
    </row>
    <row r="354" spans="1:1" ht="12.75" x14ac:dyDescent="0.2">
      <c r="A354" s="1"/>
    </row>
    <row r="355" spans="1:1" ht="12.75" x14ac:dyDescent="0.2">
      <c r="A355" s="1"/>
    </row>
    <row r="356" spans="1:1" ht="12.75" x14ac:dyDescent="0.2">
      <c r="A356" s="1"/>
    </row>
    <row r="357" spans="1:1" ht="12.75" x14ac:dyDescent="0.2">
      <c r="A357" s="1"/>
    </row>
    <row r="358" spans="1:1" ht="12.75" x14ac:dyDescent="0.2">
      <c r="A358" s="1"/>
    </row>
    <row r="359" spans="1:1" ht="12.75" x14ac:dyDescent="0.2">
      <c r="A359" s="1"/>
    </row>
    <row r="360" spans="1:1" ht="12.75" x14ac:dyDescent="0.2">
      <c r="A360" s="1"/>
    </row>
    <row r="361" spans="1:1" ht="12.75" x14ac:dyDescent="0.2">
      <c r="A361" s="1"/>
    </row>
    <row r="362" spans="1:1" ht="12.75" x14ac:dyDescent="0.2">
      <c r="A362" s="1"/>
    </row>
    <row r="363" spans="1:1" ht="12.75" x14ac:dyDescent="0.2">
      <c r="A363" s="1"/>
    </row>
    <row r="364" spans="1:1" ht="12.75" x14ac:dyDescent="0.2">
      <c r="A364" s="1"/>
    </row>
    <row r="365" spans="1:1" ht="12.75" x14ac:dyDescent="0.2">
      <c r="A365" s="1"/>
    </row>
    <row r="366" spans="1:1" ht="12.75" x14ac:dyDescent="0.2">
      <c r="A366" s="1"/>
    </row>
    <row r="367" spans="1:1" ht="12.75" x14ac:dyDescent="0.2">
      <c r="A367" s="1"/>
    </row>
    <row r="368" spans="1:1" ht="12.75" x14ac:dyDescent="0.2">
      <c r="A368" s="1"/>
    </row>
    <row r="369" spans="1:1" ht="12.75" x14ac:dyDescent="0.2">
      <c r="A369" s="1"/>
    </row>
    <row r="370" spans="1:1" ht="12.75" x14ac:dyDescent="0.2">
      <c r="A370" s="1"/>
    </row>
    <row r="371" spans="1:1" ht="12.75" x14ac:dyDescent="0.2">
      <c r="A371" s="1"/>
    </row>
    <row r="372" spans="1:1" ht="12.75" x14ac:dyDescent="0.2">
      <c r="A372" s="1"/>
    </row>
    <row r="373" spans="1:1" ht="12.75" x14ac:dyDescent="0.2">
      <c r="A373" s="1"/>
    </row>
    <row r="374" spans="1:1" ht="12.75" x14ac:dyDescent="0.2">
      <c r="A374" s="1"/>
    </row>
    <row r="375" spans="1:1" ht="12.75" x14ac:dyDescent="0.2">
      <c r="A375" s="1"/>
    </row>
    <row r="376" spans="1:1" ht="12.75" x14ac:dyDescent="0.2">
      <c r="A376" s="1"/>
    </row>
    <row r="377" spans="1:1" ht="12.75" x14ac:dyDescent="0.2">
      <c r="A377" s="1"/>
    </row>
    <row r="378" spans="1:1" ht="12.75" x14ac:dyDescent="0.2">
      <c r="A378" s="1"/>
    </row>
    <row r="379" spans="1:1" ht="12.75" x14ac:dyDescent="0.2">
      <c r="A379" s="1"/>
    </row>
    <row r="380" spans="1:1" ht="12.75" x14ac:dyDescent="0.2">
      <c r="A380" s="1"/>
    </row>
    <row r="381" spans="1:1" ht="12.75" x14ac:dyDescent="0.2">
      <c r="A381" s="1"/>
    </row>
    <row r="382" spans="1:1" ht="12.75" x14ac:dyDescent="0.2">
      <c r="A382" s="1"/>
    </row>
    <row r="383" spans="1:1" ht="12.75" x14ac:dyDescent="0.2">
      <c r="A383" s="1"/>
    </row>
    <row r="384" spans="1:1" ht="12.75" x14ac:dyDescent="0.2">
      <c r="A384" s="1"/>
    </row>
    <row r="385" spans="1:1" ht="12.75" x14ac:dyDescent="0.2">
      <c r="A385" s="1"/>
    </row>
    <row r="386" spans="1:1" ht="12.75" x14ac:dyDescent="0.2">
      <c r="A386" s="1"/>
    </row>
    <row r="387" spans="1:1" ht="12.75" x14ac:dyDescent="0.2">
      <c r="A387" s="1"/>
    </row>
    <row r="388" spans="1:1" ht="12.75" x14ac:dyDescent="0.2">
      <c r="A388" s="1"/>
    </row>
    <row r="389" spans="1:1" ht="12.75" x14ac:dyDescent="0.2">
      <c r="A389" s="1"/>
    </row>
    <row r="390" spans="1:1" ht="12.75" x14ac:dyDescent="0.2">
      <c r="A390" s="1"/>
    </row>
    <row r="391" spans="1:1" ht="12.75" x14ac:dyDescent="0.2">
      <c r="A391" s="1"/>
    </row>
    <row r="392" spans="1:1" ht="12.75" x14ac:dyDescent="0.2">
      <c r="A392" s="1"/>
    </row>
    <row r="393" spans="1:1" ht="12.75" x14ac:dyDescent="0.2">
      <c r="A393" s="1"/>
    </row>
    <row r="394" spans="1:1" ht="12.75" x14ac:dyDescent="0.2">
      <c r="A394" s="1"/>
    </row>
    <row r="395" spans="1:1" ht="12.75" x14ac:dyDescent="0.2">
      <c r="A395" s="1"/>
    </row>
    <row r="396" spans="1:1" ht="12.75" x14ac:dyDescent="0.2">
      <c r="A396" s="1"/>
    </row>
    <row r="397" spans="1:1" ht="12.75" x14ac:dyDescent="0.2">
      <c r="A397" s="1"/>
    </row>
    <row r="398" spans="1:1" ht="12.75" x14ac:dyDescent="0.2">
      <c r="A398" s="1"/>
    </row>
    <row r="399" spans="1:1" ht="12.75" x14ac:dyDescent="0.2">
      <c r="A399" s="1"/>
    </row>
    <row r="400" spans="1:1" ht="12.75" x14ac:dyDescent="0.2">
      <c r="A400" s="1"/>
    </row>
    <row r="401" spans="1:1" ht="12.75" x14ac:dyDescent="0.2">
      <c r="A401" s="1"/>
    </row>
    <row r="402" spans="1:1" ht="12.75" x14ac:dyDescent="0.2">
      <c r="A402" s="1"/>
    </row>
    <row r="403" spans="1:1" ht="12.75" x14ac:dyDescent="0.2">
      <c r="A403" s="1"/>
    </row>
    <row r="404" spans="1:1" ht="12.75" x14ac:dyDescent="0.2">
      <c r="A404" s="1"/>
    </row>
    <row r="405" spans="1:1" ht="12.75" x14ac:dyDescent="0.2">
      <c r="A405" s="1"/>
    </row>
    <row r="406" spans="1:1" ht="12.75" x14ac:dyDescent="0.2">
      <c r="A406" s="1"/>
    </row>
    <row r="407" spans="1:1" ht="12.75" x14ac:dyDescent="0.2">
      <c r="A407" s="1"/>
    </row>
    <row r="408" spans="1:1" ht="12.75" x14ac:dyDescent="0.2">
      <c r="A408" s="1"/>
    </row>
    <row r="409" spans="1:1" ht="12.75" x14ac:dyDescent="0.2">
      <c r="A409" s="1"/>
    </row>
    <row r="410" spans="1:1" ht="12.75" x14ac:dyDescent="0.2">
      <c r="A410" s="1"/>
    </row>
    <row r="411" spans="1:1" ht="12.75" x14ac:dyDescent="0.2">
      <c r="A411" s="1"/>
    </row>
    <row r="412" spans="1:1" ht="12.75" x14ac:dyDescent="0.2">
      <c r="A412" s="1"/>
    </row>
    <row r="413" spans="1:1" ht="12.75" x14ac:dyDescent="0.2">
      <c r="A413" s="1"/>
    </row>
    <row r="414" spans="1:1" ht="12.75" x14ac:dyDescent="0.2">
      <c r="A414" s="1"/>
    </row>
    <row r="415" spans="1:1" ht="12.75" x14ac:dyDescent="0.2">
      <c r="A415" s="1"/>
    </row>
    <row r="416" spans="1:1" ht="12.75" x14ac:dyDescent="0.2">
      <c r="A416" s="1"/>
    </row>
    <row r="417" spans="1:1" ht="12.75" x14ac:dyDescent="0.2">
      <c r="A417" s="1"/>
    </row>
    <row r="418" spans="1:1" ht="12.75" x14ac:dyDescent="0.2">
      <c r="A418" s="1"/>
    </row>
    <row r="419" spans="1:1" ht="12.75" x14ac:dyDescent="0.2">
      <c r="A419" s="1"/>
    </row>
    <row r="420" spans="1:1" ht="12.75" x14ac:dyDescent="0.2">
      <c r="A420" s="1"/>
    </row>
    <row r="421" spans="1:1" ht="12.75" x14ac:dyDescent="0.2">
      <c r="A421" s="1"/>
    </row>
    <row r="422" spans="1:1" ht="12.75" x14ac:dyDescent="0.2">
      <c r="A422" s="1"/>
    </row>
    <row r="423" spans="1:1" ht="12.75" x14ac:dyDescent="0.2">
      <c r="A423" s="1"/>
    </row>
    <row r="424" spans="1:1" ht="12.75" x14ac:dyDescent="0.2">
      <c r="A424" s="1"/>
    </row>
    <row r="425" spans="1:1" ht="12.75" x14ac:dyDescent="0.2">
      <c r="A425" s="1"/>
    </row>
    <row r="426" spans="1:1" ht="12.75" x14ac:dyDescent="0.2">
      <c r="A426" s="1"/>
    </row>
    <row r="427" spans="1:1" ht="12.75" x14ac:dyDescent="0.2">
      <c r="A427" s="1"/>
    </row>
    <row r="428" spans="1:1" ht="12.75" x14ac:dyDescent="0.2">
      <c r="A428" s="1"/>
    </row>
    <row r="429" spans="1:1" ht="12.75" x14ac:dyDescent="0.2">
      <c r="A429" s="1"/>
    </row>
    <row r="430" spans="1:1" ht="12.75" x14ac:dyDescent="0.2">
      <c r="A430" s="1"/>
    </row>
    <row r="431" spans="1:1" ht="12.75" x14ac:dyDescent="0.2">
      <c r="A431" s="1"/>
    </row>
    <row r="432" spans="1:1" ht="12.75" x14ac:dyDescent="0.2">
      <c r="A432" s="1"/>
    </row>
    <row r="433" spans="1:1" ht="12.75" x14ac:dyDescent="0.2">
      <c r="A433" s="1"/>
    </row>
    <row r="434" spans="1:1" ht="12.75" x14ac:dyDescent="0.2">
      <c r="A434" s="1"/>
    </row>
    <row r="435" spans="1:1" ht="12.75" x14ac:dyDescent="0.2">
      <c r="A435" s="1"/>
    </row>
    <row r="436" spans="1:1" ht="12.75" x14ac:dyDescent="0.2">
      <c r="A436" s="1"/>
    </row>
    <row r="437" spans="1:1" ht="12.75" x14ac:dyDescent="0.2">
      <c r="A437" s="1"/>
    </row>
    <row r="438" spans="1:1" ht="12.75" x14ac:dyDescent="0.2">
      <c r="A438" s="1"/>
    </row>
    <row r="439" spans="1:1" ht="12.75" x14ac:dyDescent="0.2">
      <c r="A439" s="1"/>
    </row>
    <row r="440" spans="1:1" ht="12.75" x14ac:dyDescent="0.2">
      <c r="A440" s="1"/>
    </row>
    <row r="441" spans="1:1" ht="12.75" x14ac:dyDescent="0.2">
      <c r="A441" s="1"/>
    </row>
    <row r="442" spans="1:1" ht="12.75" x14ac:dyDescent="0.2">
      <c r="A442" s="1"/>
    </row>
    <row r="443" spans="1:1" ht="12.75" x14ac:dyDescent="0.2">
      <c r="A443" s="1"/>
    </row>
    <row r="444" spans="1:1" ht="12.75" x14ac:dyDescent="0.2">
      <c r="A444" s="1"/>
    </row>
    <row r="445" spans="1:1" ht="12.75" x14ac:dyDescent="0.2">
      <c r="A445" s="1"/>
    </row>
    <row r="446" spans="1:1" ht="12.75" x14ac:dyDescent="0.2">
      <c r="A446" s="1"/>
    </row>
    <row r="447" spans="1:1" ht="12.75" x14ac:dyDescent="0.2">
      <c r="A447" s="1"/>
    </row>
    <row r="448" spans="1:1" ht="12.75" x14ac:dyDescent="0.2">
      <c r="A448" s="1"/>
    </row>
    <row r="449" spans="1:1" ht="12.75" x14ac:dyDescent="0.2">
      <c r="A449" s="1"/>
    </row>
    <row r="450" spans="1:1" ht="12.75" x14ac:dyDescent="0.2">
      <c r="A450" s="1"/>
    </row>
    <row r="451" spans="1:1" ht="12.75" x14ac:dyDescent="0.2">
      <c r="A451" s="1"/>
    </row>
    <row r="452" spans="1:1" ht="12.75" x14ac:dyDescent="0.2">
      <c r="A452" s="1"/>
    </row>
    <row r="453" spans="1:1" ht="12.75" x14ac:dyDescent="0.2">
      <c r="A453" s="1"/>
    </row>
    <row r="454" spans="1:1" ht="12.75" x14ac:dyDescent="0.2">
      <c r="A454" s="1"/>
    </row>
    <row r="455" spans="1:1" ht="12.75" x14ac:dyDescent="0.2">
      <c r="A455" s="1"/>
    </row>
    <row r="456" spans="1:1" ht="12.75" x14ac:dyDescent="0.2">
      <c r="A456" s="1"/>
    </row>
    <row r="457" spans="1:1" ht="12.75" x14ac:dyDescent="0.2">
      <c r="A457" s="1"/>
    </row>
    <row r="458" spans="1:1" ht="12.75" x14ac:dyDescent="0.2">
      <c r="A458" s="1"/>
    </row>
    <row r="459" spans="1:1" ht="12.75" x14ac:dyDescent="0.2">
      <c r="A459" s="1"/>
    </row>
    <row r="460" spans="1:1" ht="12.75" x14ac:dyDescent="0.2">
      <c r="A460" s="1"/>
    </row>
    <row r="461" spans="1:1" ht="12.75" x14ac:dyDescent="0.2">
      <c r="A461" s="1"/>
    </row>
    <row r="462" spans="1:1" ht="12.75" x14ac:dyDescent="0.2">
      <c r="A462" s="1"/>
    </row>
    <row r="463" spans="1:1" ht="12.75" x14ac:dyDescent="0.2">
      <c r="A463" s="1"/>
    </row>
    <row r="464" spans="1:1" ht="12.75" x14ac:dyDescent="0.2">
      <c r="A464" s="1"/>
    </row>
    <row r="465" spans="1:1" ht="12.75" x14ac:dyDescent="0.2">
      <c r="A465" s="1"/>
    </row>
    <row r="466" spans="1:1" ht="12.75" x14ac:dyDescent="0.2">
      <c r="A466" s="1"/>
    </row>
    <row r="467" spans="1:1" ht="12.75" x14ac:dyDescent="0.2">
      <c r="A467" s="1"/>
    </row>
    <row r="468" spans="1:1" ht="12.75" x14ac:dyDescent="0.2">
      <c r="A468" s="1"/>
    </row>
    <row r="469" spans="1:1" ht="12.75" x14ac:dyDescent="0.2">
      <c r="A469" s="1"/>
    </row>
    <row r="470" spans="1:1" ht="12.75" x14ac:dyDescent="0.2">
      <c r="A470" s="1"/>
    </row>
    <row r="471" spans="1:1" ht="12.75" x14ac:dyDescent="0.2">
      <c r="A471" s="1"/>
    </row>
    <row r="472" spans="1:1" ht="12.75" x14ac:dyDescent="0.2">
      <c r="A472" s="1"/>
    </row>
    <row r="473" spans="1:1" ht="12.75" x14ac:dyDescent="0.2">
      <c r="A473" s="1"/>
    </row>
    <row r="474" spans="1:1" ht="12.75" x14ac:dyDescent="0.2">
      <c r="A474" s="1"/>
    </row>
    <row r="475" spans="1:1" ht="12.75" x14ac:dyDescent="0.2">
      <c r="A475" s="1"/>
    </row>
    <row r="476" spans="1:1" ht="12.75" x14ac:dyDescent="0.2">
      <c r="A476" s="1"/>
    </row>
    <row r="477" spans="1:1" ht="12.75" x14ac:dyDescent="0.2">
      <c r="A477" s="1"/>
    </row>
    <row r="478" spans="1:1" ht="12.75" x14ac:dyDescent="0.2">
      <c r="A478" s="1"/>
    </row>
    <row r="479" spans="1:1" ht="12.75" x14ac:dyDescent="0.2">
      <c r="A479" s="1"/>
    </row>
    <row r="480" spans="1:1" ht="12.75" x14ac:dyDescent="0.2">
      <c r="A480" s="1"/>
    </row>
    <row r="481" spans="1:1" ht="12.75" x14ac:dyDescent="0.2">
      <c r="A481" s="1"/>
    </row>
    <row r="482" spans="1:1" ht="12.75" x14ac:dyDescent="0.2">
      <c r="A482" s="1"/>
    </row>
    <row r="483" spans="1:1" ht="12.75" x14ac:dyDescent="0.2">
      <c r="A483" s="1"/>
    </row>
    <row r="484" spans="1:1" ht="12.75" x14ac:dyDescent="0.2">
      <c r="A484" s="1"/>
    </row>
    <row r="485" spans="1:1" ht="12.75" x14ac:dyDescent="0.2">
      <c r="A485" s="1"/>
    </row>
    <row r="486" spans="1:1" ht="12.75" x14ac:dyDescent="0.2">
      <c r="A486" s="1"/>
    </row>
    <row r="487" spans="1:1" ht="12.75" x14ac:dyDescent="0.2">
      <c r="A487" s="1"/>
    </row>
    <row r="488" spans="1:1" ht="12.75" x14ac:dyDescent="0.2">
      <c r="A488" s="1"/>
    </row>
    <row r="489" spans="1:1" ht="12.75" x14ac:dyDescent="0.2">
      <c r="A489" s="1"/>
    </row>
    <row r="490" spans="1:1" ht="12.75" x14ac:dyDescent="0.2">
      <c r="A490" s="1"/>
    </row>
    <row r="491" spans="1:1" ht="12.75" x14ac:dyDescent="0.2">
      <c r="A491" s="1"/>
    </row>
    <row r="492" spans="1:1" ht="12.75" x14ac:dyDescent="0.2">
      <c r="A492" s="1"/>
    </row>
    <row r="493" spans="1:1" ht="12.75" x14ac:dyDescent="0.2">
      <c r="A493" s="1"/>
    </row>
    <row r="494" spans="1:1" ht="12.75" x14ac:dyDescent="0.2">
      <c r="A494" s="1"/>
    </row>
    <row r="495" spans="1:1" ht="12.75" x14ac:dyDescent="0.2">
      <c r="A495" s="1"/>
    </row>
    <row r="496" spans="1:1" ht="12.75" x14ac:dyDescent="0.2">
      <c r="A496" s="1"/>
    </row>
    <row r="497" spans="1:1" ht="12.75" x14ac:dyDescent="0.2">
      <c r="A497" s="1"/>
    </row>
    <row r="498" spans="1:1" ht="12.75" x14ac:dyDescent="0.2">
      <c r="A498" s="1"/>
    </row>
    <row r="499" spans="1:1" ht="12.75" x14ac:dyDescent="0.2">
      <c r="A499" s="1"/>
    </row>
    <row r="500" spans="1:1" ht="12.75" x14ac:dyDescent="0.2">
      <c r="A500" s="1"/>
    </row>
    <row r="501" spans="1:1" ht="12.75" x14ac:dyDescent="0.2">
      <c r="A501" s="1"/>
    </row>
    <row r="502" spans="1:1" ht="12.75" x14ac:dyDescent="0.2">
      <c r="A502" s="1"/>
    </row>
    <row r="503" spans="1:1" ht="12.75" x14ac:dyDescent="0.2">
      <c r="A503" s="1"/>
    </row>
    <row r="504" spans="1:1" ht="12.75" x14ac:dyDescent="0.2">
      <c r="A504" s="1"/>
    </row>
    <row r="505" spans="1:1" ht="12.75" x14ac:dyDescent="0.2">
      <c r="A505" s="1"/>
    </row>
    <row r="506" spans="1:1" ht="12.75" x14ac:dyDescent="0.2">
      <c r="A506" s="1"/>
    </row>
    <row r="507" spans="1:1" ht="12.75" x14ac:dyDescent="0.2">
      <c r="A507" s="1"/>
    </row>
    <row r="508" spans="1:1" ht="12.75" x14ac:dyDescent="0.2">
      <c r="A508" s="1"/>
    </row>
    <row r="509" spans="1:1" ht="12.75" x14ac:dyDescent="0.2">
      <c r="A509" s="1"/>
    </row>
    <row r="510" spans="1:1" ht="12.75" x14ac:dyDescent="0.2">
      <c r="A510" s="1"/>
    </row>
    <row r="511" spans="1:1" ht="12.75" x14ac:dyDescent="0.2">
      <c r="A511" s="1"/>
    </row>
    <row r="512" spans="1:1" ht="12.75" x14ac:dyDescent="0.2">
      <c r="A512" s="1"/>
    </row>
    <row r="513" spans="1:1" ht="12.75" x14ac:dyDescent="0.2">
      <c r="A513" s="1"/>
    </row>
    <row r="514" spans="1:1" ht="12.75" x14ac:dyDescent="0.2">
      <c r="A514" s="1"/>
    </row>
    <row r="515" spans="1:1" ht="12.75" x14ac:dyDescent="0.2">
      <c r="A515" s="1"/>
    </row>
    <row r="516" spans="1:1" ht="12.75" x14ac:dyDescent="0.2">
      <c r="A516" s="1"/>
    </row>
    <row r="517" spans="1:1" ht="12.75" x14ac:dyDescent="0.2">
      <c r="A517" s="1"/>
    </row>
    <row r="518" spans="1:1" ht="12.75" x14ac:dyDescent="0.2">
      <c r="A518" s="1"/>
    </row>
    <row r="519" spans="1:1" ht="12.75" x14ac:dyDescent="0.2">
      <c r="A519" s="1"/>
    </row>
    <row r="520" spans="1:1" ht="12.75" x14ac:dyDescent="0.2">
      <c r="A520" s="1"/>
    </row>
    <row r="521" spans="1:1" ht="12.75" x14ac:dyDescent="0.2">
      <c r="A521" s="1"/>
    </row>
    <row r="522" spans="1:1" ht="12.75" x14ac:dyDescent="0.2">
      <c r="A522" s="1"/>
    </row>
    <row r="523" spans="1:1" ht="12.75" x14ac:dyDescent="0.2">
      <c r="A523" s="1"/>
    </row>
    <row r="524" spans="1:1" ht="12.75" x14ac:dyDescent="0.2">
      <c r="A524" s="1"/>
    </row>
    <row r="525" spans="1:1" ht="12.75" x14ac:dyDescent="0.2">
      <c r="A525" s="1"/>
    </row>
    <row r="526" spans="1:1" ht="12.75" x14ac:dyDescent="0.2">
      <c r="A526" s="1"/>
    </row>
    <row r="527" spans="1:1" ht="12.75" x14ac:dyDescent="0.2">
      <c r="A527" s="1"/>
    </row>
    <row r="528" spans="1:1" ht="12.75" x14ac:dyDescent="0.2">
      <c r="A528" s="1"/>
    </row>
    <row r="529" spans="1:1" ht="12.75" x14ac:dyDescent="0.2">
      <c r="A529" s="1"/>
    </row>
    <row r="530" spans="1:1" ht="12.75" x14ac:dyDescent="0.2">
      <c r="A530" s="1"/>
    </row>
    <row r="531" spans="1:1" ht="12.75" x14ac:dyDescent="0.2">
      <c r="A531" s="1"/>
    </row>
    <row r="532" spans="1:1" ht="12.75" x14ac:dyDescent="0.2">
      <c r="A532" s="1"/>
    </row>
    <row r="533" spans="1:1" ht="12.75" x14ac:dyDescent="0.2">
      <c r="A533" s="1"/>
    </row>
    <row r="534" spans="1:1" ht="12.75" x14ac:dyDescent="0.2">
      <c r="A534" s="1"/>
    </row>
    <row r="535" spans="1:1" ht="12.75" x14ac:dyDescent="0.2">
      <c r="A535" s="1"/>
    </row>
    <row r="536" spans="1:1" ht="12.75" x14ac:dyDescent="0.2">
      <c r="A536" s="1"/>
    </row>
    <row r="537" spans="1:1" ht="12.75" x14ac:dyDescent="0.2">
      <c r="A537" s="1"/>
    </row>
    <row r="538" spans="1:1" ht="12.75" x14ac:dyDescent="0.2">
      <c r="A538" s="1"/>
    </row>
    <row r="539" spans="1:1" ht="12.75" x14ac:dyDescent="0.2">
      <c r="A539" s="1"/>
    </row>
    <row r="540" spans="1:1" ht="12.75" x14ac:dyDescent="0.2">
      <c r="A540" s="1"/>
    </row>
    <row r="541" spans="1:1" ht="12.75" x14ac:dyDescent="0.2">
      <c r="A541" s="1"/>
    </row>
    <row r="542" spans="1:1" ht="12.75" x14ac:dyDescent="0.2">
      <c r="A542" s="1"/>
    </row>
    <row r="543" spans="1:1" ht="12.75" x14ac:dyDescent="0.2">
      <c r="A543" s="1"/>
    </row>
    <row r="544" spans="1:1" ht="12.75" x14ac:dyDescent="0.2">
      <c r="A544" s="1"/>
    </row>
    <row r="545" spans="1:1" ht="12.75" x14ac:dyDescent="0.2">
      <c r="A545" s="1"/>
    </row>
    <row r="546" spans="1:1" ht="12.75" x14ac:dyDescent="0.2">
      <c r="A546" s="1"/>
    </row>
    <row r="547" spans="1:1" ht="12.75" x14ac:dyDescent="0.2">
      <c r="A547" s="1"/>
    </row>
    <row r="548" spans="1:1" ht="12.75" x14ac:dyDescent="0.2">
      <c r="A548" s="1"/>
    </row>
    <row r="549" spans="1:1" ht="12.75" x14ac:dyDescent="0.2">
      <c r="A549" s="1"/>
    </row>
    <row r="550" spans="1:1" ht="12.75" x14ac:dyDescent="0.2">
      <c r="A550" s="1"/>
    </row>
    <row r="551" spans="1:1" ht="12.75" x14ac:dyDescent="0.2">
      <c r="A551" s="1"/>
    </row>
    <row r="552" spans="1:1" ht="12.75" x14ac:dyDescent="0.2">
      <c r="A552" s="1"/>
    </row>
    <row r="553" spans="1:1" ht="12.75" x14ac:dyDescent="0.2">
      <c r="A553" s="1"/>
    </row>
    <row r="554" spans="1:1" ht="12.75" x14ac:dyDescent="0.2">
      <c r="A554" s="1"/>
    </row>
    <row r="555" spans="1:1" ht="12.75" x14ac:dyDescent="0.2">
      <c r="A555" s="1"/>
    </row>
    <row r="556" spans="1:1" ht="12.75" x14ac:dyDescent="0.2">
      <c r="A556" s="1"/>
    </row>
    <row r="557" spans="1:1" ht="12.75" x14ac:dyDescent="0.2">
      <c r="A557" s="1"/>
    </row>
    <row r="558" spans="1:1" ht="12.75" x14ac:dyDescent="0.2">
      <c r="A558" s="1"/>
    </row>
    <row r="559" spans="1:1" ht="12.75" x14ac:dyDescent="0.2">
      <c r="A559" s="1"/>
    </row>
    <row r="560" spans="1:1" ht="12.75" x14ac:dyDescent="0.2">
      <c r="A560" s="1"/>
    </row>
    <row r="561" spans="1:1" ht="12.75" x14ac:dyDescent="0.2">
      <c r="A561" s="1"/>
    </row>
    <row r="562" spans="1:1" ht="12.75" x14ac:dyDescent="0.2">
      <c r="A562" s="1"/>
    </row>
    <row r="563" spans="1:1" ht="12.75" x14ac:dyDescent="0.2">
      <c r="A563" s="1"/>
    </row>
    <row r="564" spans="1:1" ht="12.75" x14ac:dyDescent="0.2">
      <c r="A564" s="1"/>
    </row>
    <row r="565" spans="1:1" ht="12.75" x14ac:dyDescent="0.2">
      <c r="A565" s="1"/>
    </row>
    <row r="566" spans="1:1" ht="12.75" x14ac:dyDescent="0.2">
      <c r="A566" s="1"/>
    </row>
    <row r="567" spans="1:1" ht="12.75" x14ac:dyDescent="0.2">
      <c r="A567" s="1"/>
    </row>
    <row r="568" spans="1:1" ht="12.75" x14ac:dyDescent="0.2">
      <c r="A568" s="1"/>
    </row>
    <row r="569" spans="1:1" ht="12.75" x14ac:dyDescent="0.2">
      <c r="A569" s="1"/>
    </row>
    <row r="570" spans="1:1" ht="12.75" x14ac:dyDescent="0.2">
      <c r="A570" s="1"/>
    </row>
    <row r="571" spans="1:1" ht="12.75" x14ac:dyDescent="0.2">
      <c r="A571" s="1"/>
    </row>
    <row r="572" spans="1:1" ht="12.75" x14ac:dyDescent="0.2">
      <c r="A572" s="1"/>
    </row>
    <row r="573" spans="1:1" ht="12.75" x14ac:dyDescent="0.2">
      <c r="A573" s="1"/>
    </row>
    <row r="574" spans="1:1" ht="12.75" x14ac:dyDescent="0.2">
      <c r="A574" s="1"/>
    </row>
    <row r="575" spans="1:1" ht="12.75" x14ac:dyDescent="0.2">
      <c r="A575" s="1"/>
    </row>
    <row r="576" spans="1:1" ht="12.75" x14ac:dyDescent="0.2">
      <c r="A576" s="1"/>
    </row>
    <row r="577" spans="1:1" ht="12.75" x14ac:dyDescent="0.2">
      <c r="A577" s="1"/>
    </row>
    <row r="578" spans="1:1" ht="12.75" x14ac:dyDescent="0.2">
      <c r="A578" s="1"/>
    </row>
    <row r="579" spans="1:1" ht="12.75" x14ac:dyDescent="0.2">
      <c r="A579" s="1"/>
    </row>
    <row r="580" spans="1:1" ht="12.75" x14ac:dyDescent="0.2">
      <c r="A580" s="1"/>
    </row>
    <row r="581" spans="1:1" ht="12.75" x14ac:dyDescent="0.2">
      <c r="A581" s="1"/>
    </row>
    <row r="582" spans="1:1" ht="12.75" x14ac:dyDescent="0.2">
      <c r="A582" s="1"/>
    </row>
    <row r="583" spans="1:1" ht="12.75" x14ac:dyDescent="0.2">
      <c r="A583" s="1"/>
    </row>
    <row r="584" spans="1:1" ht="12.75" x14ac:dyDescent="0.2">
      <c r="A584" s="1"/>
    </row>
    <row r="585" spans="1:1" ht="12.75" x14ac:dyDescent="0.2">
      <c r="A585" s="1"/>
    </row>
    <row r="586" spans="1:1" ht="12.75" x14ac:dyDescent="0.2">
      <c r="A586" s="1"/>
    </row>
    <row r="587" spans="1:1" ht="12.75" x14ac:dyDescent="0.2">
      <c r="A587" s="1"/>
    </row>
    <row r="588" spans="1:1" ht="12.75" x14ac:dyDescent="0.2">
      <c r="A588" s="1"/>
    </row>
    <row r="589" spans="1:1" ht="12.75" x14ac:dyDescent="0.2">
      <c r="A589" s="1"/>
    </row>
    <row r="590" spans="1:1" ht="12.75" x14ac:dyDescent="0.2">
      <c r="A590" s="1"/>
    </row>
    <row r="591" spans="1:1" ht="12.75" x14ac:dyDescent="0.2">
      <c r="A591" s="1"/>
    </row>
    <row r="592" spans="1:1" ht="12.75" x14ac:dyDescent="0.2">
      <c r="A592" s="1"/>
    </row>
    <row r="593" spans="1:1" ht="12.75" x14ac:dyDescent="0.2">
      <c r="A593" s="1"/>
    </row>
    <row r="594" spans="1:1" ht="12.75" x14ac:dyDescent="0.2">
      <c r="A594" s="1"/>
    </row>
    <row r="595" spans="1:1" ht="12.75" x14ac:dyDescent="0.2">
      <c r="A595" s="1"/>
    </row>
    <row r="596" spans="1:1" ht="12.75" x14ac:dyDescent="0.2">
      <c r="A596" s="1"/>
    </row>
    <row r="597" spans="1:1" ht="12.75" x14ac:dyDescent="0.2">
      <c r="A597" s="1"/>
    </row>
    <row r="598" spans="1:1" ht="12.75" x14ac:dyDescent="0.2">
      <c r="A598" s="1"/>
    </row>
    <row r="599" spans="1:1" ht="12.75" x14ac:dyDescent="0.2">
      <c r="A599" s="1"/>
    </row>
    <row r="600" spans="1:1" ht="12.75" x14ac:dyDescent="0.2">
      <c r="A600" s="1"/>
    </row>
    <row r="601" spans="1:1" ht="12.75" x14ac:dyDescent="0.2">
      <c r="A601" s="1"/>
    </row>
    <row r="602" spans="1:1" ht="12.75" x14ac:dyDescent="0.2">
      <c r="A602" s="1"/>
    </row>
    <row r="603" spans="1:1" ht="12.75" x14ac:dyDescent="0.2">
      <c r="A603" s="1"/>
    </row>
    <row r="604" spans="1:1" ht="12.75" x14ac:dyDescent="0.2">
      <c r="A604" s="1"/>
    </row>
    <row r="605" spans="1:1" ht="12.75" x14ac:dyDescent="0.2">
      <c r="A605" s="1"/>
    </row>
    <row r="606" spans="1:1" ht="12.75" x14ac:dyDescent="0.2">
      <c r="A606" s="1"/>
    </row>
    <row r="607" spans="1:1" ht="12.75" x14ac:dyDescent="0.2">
      <c r="A607" s="1"/>
    </row>
    <row r="608" spans="1:1" ht="12.75" x14ac:dyDescent="0.2">
      <c r="A608" s="1"/>
    </row>
    <row r="609" spans="1:1" ht="12.75" x14ac:dyDescent="0.2">
      <c r="A609" s="1"/>
    </row>
    <row r="610" spans="1:1" ht="12.75" x14ac:dyDescent="0.2">
      <c r="A610" s="1"/>
    </row>
    <row r="611" spans="1:1" ht="12.75" x14ac:dyDescent="0.2">
      <c r="A611" s="1"/>
    </row>
    <row r="612" spans="1:1" ht="12.75" x14ac:dyDescent="0.2">
      <c r="A612" s="1"/>
    </row>
    <row r="613" spans="1:1" ht="12.75" x14ac:dyDescent="0.2">
      <c r="A613" s="1"/>
    </row>
    <row r="614" spans="1:1" ht="12.75" x14ac:dyDescent="0.2">
      <c r="A614" s="1"/>
    </row>
    <row r="615" spans="1:1" ht="12.75" x14ac:dyDescent="0.2">
      <c r="A615" s="1"/>
    </row>
    <row r="616" spans="1:1" ht="12.75" x14ac:dyDescent="0.2">
      <c r="A616" s="1"/>
    </row>
    <row r="617" spans="1:1" ht="12.75" x14ac:dyDescent="0.2">
      <c r="A617" s="1"/>
    </row>
    <row r="618" spans="1:1" ht="12.75" x14ac:dyDescent="0.2">
      <c r="A618" s="1"/>
    </row>
    <row r="619" spans="1:1" ht="12.75" x14ac:dyDescent="0.2">
      <c r="A619" s="1"/>
    </row>
    <row r="620" spans="1:1" ht="12.75" x14ac:dyDescent="0.2">
      <c r="A620" s="1"/>
    </row>
    <row r="621" spans="1:1" ht="12.75" x14ac:dyDescent="0.2">
      <c r="A621" s="1"/>
    </row>
    <row r="622" spans="1:1" ht="12.75" x14ac:dyDescent="0.2">
      <c r="A622" s="1"/>
    </row>
    <row r="623" spans="1:1" ht="12.75" x14ac:dyDescent="0.2">
      <c r="A623" s="1"/>
    </row>
    <row r="624" spans="1:1" ht="12.75" x14ac:dyDescent="0.2">
      <c r="A624" s="1"/>
    </row>
    <row r="625" spans="1:1" ht="12.75" x14ac:dyDescent="0.2">
      <c r="A625" s="1"/>
    </row>
    <row r="626" spans="1:1" ht="12.75" x14ac:dyDescent="0.2">
      <c r="A626" s="1"/>
    </row>
    <row r="627" spans="1:1" ht="12.75" x14ac:dyDescent="0.2">
      <c r="A627" s="1"/>
    </row>
    <row r="628" spans="1:1" ht="12.75" x14ac:dyDescent="0.2">
      <c r="A628" s="1"/>
    </row>
    <row r="629" spans="1:1" ht="12.75" x14ac:dyDescent="0.2">
      <c r="A629" s="1"/>
    </row>
    <row r="630" spans="1:1" ht="12.75" x14ac:dyDescent="0.2">
      <c r="A630" s="1"/>
    </row>
    <row r="631" spans="1:1" ht="12.75" x14ac:dyDescent="0.2">
      <c r="A631" s="1"/>
    </row>
    <row r="632" spans="1:1" ht="12.75" x14ac:dyDescent="0.2">
      <c r="A632" s="1"/>
    </row>
    <row r="633" spans="1:1" ht="12.75" x14ac:dyDescent="0.2">
      <c r="A633" s="1"/>
    </row>
    <row r="634" spans="1:1" ht="12.75" x14ac:dyDescent="0.2">
      <c r="A634" s="1"/>
    </row>
    <row r="635" spans="1:1" ht="12.75" x14ac:dyDescent="0.2">
      <c r="A635" s="1"/>
    </row>
    <row r="636" spans="1:1" ht="12.75" x14ac:dyDescent="0.2">
      <c r="A636" s="1"/>
    </row>
    <row r="637" spans="1:1" ht="12.75" x14ac:dyDescent="0.2">
      <c r="A637" s="1"/>
    </row>
    <row r="638" spans="1:1" ht="12.75" x14ac:dyDescent="0.2">
      <c r="A638" s="1"/>
    </row>
    <row r="639" spans="1:1" ht="12.75" x14ac:dyDescent="0.2">
      <c r="A639" s="1"/>
    </row>
    <row r="640" spans="1:1" ht="12.75" x14ac:dyDescent="0.2">
      <c r="A640" s="1"/>
    </row>
    <row r="641" spans="1:1" ht="12.75" x14ac:dyDescent="0.2">
      <c r="A641" s="1"/>
    </row>
    <row r="642" spans="1:1" ht="12.75" x14ac:dyDescent="0.2">
      <c r="A642" s="1"/>
    </row>
    <row r="643" spans="1:1" ht="12.75" x14ac:dyDescent="0.2">
      <c r="A643" s="1"/>
    </row>
    <row r="644" spans="1:1" ht="12.75" x14ac:dyDescent="0.2">
      <c r="A644" s="1"/>
    </row>
    <row r="645" spans="1:1" ht="12.75" x14ac:dyDescent="0.2">
      <c r="A645" s="1"/>
    </row>
    <row r="646" spans="1:1" ht="12.75" x14ac:dyDescent="0.2">
      <c r="A646" s="1"/>
    </row>
    <row r="647" spans="1:1" ht="12.75" x14ac:dyDescent="0.2">
      <c r="A647" s="1"/>
    </row>
    <row r="648" spans="1:1" ht="12.75" x14ac:dyDescent="0.2">
      <c r="A648" s="1"/>
    </row>
    <row r="649" spans="1:1" ht="12.75" x14ac:dyDescent="0.2">
      <c r="A649" s="1"/>
    </row>
    <row r="650" spans="1:1" ht="12.75" x14ac:dyDescent="0.2">
      <c r="A650" s="1"/>
    </row>
    <row r="651" spans="1:1" ht="12.75" x14ac:dyDescent="0.2">
      <c r="A651" s="1"/>
    </row>
    <row r="652" spans="1:1" ht="12.75" x14ac:dyDescent="0.2">
      <c r="A652" s="1"/>
    </row>
    <row r="653" spans="1:1" ht="12.75" x14ac:dyDescent="0.2">
      <c r="A653" s="1"/>
    </row>
    <row r="654" spans="1:1" ht="12.75" x14ac:dyDescent="0.2">
      <c r="A654" s="1"/>
    </row>
    <row r="655" spans="1:1" ht="12.75" x14ac:dyDescent="0.2">
      <c r="A655" s="1"/>
    </row>
    <row r="656" spans="1:1" ht="12.75" x14ac:dyDescent="0.2">
      <c r="A656" s="1"/>
    </row>
    <row r="657" spans="1:1" ht="12.75" x14ac:dyDescent="0.2">
      <c r="A657" s="1"/>
    </row>
    <row r="658" spans="1:1" ht="12.75" x14ac:dyDescent="0.2">
      <c r="A658" s="1"/>
    </row>
    <row r="659" spans="1:1" ht="12.75" x14ac:dyDescent="0.2">
      <c r="A659" s="1"/>
    </row>
    <row r="660" spans="1:1" ht="12.75" x14ac:dyDescent="0.2">
      <c r="A660" s="1"/>
    </row>
    <row r="661" spans="1:1" ht="12.75" x14ac:dyDescent="0.2">
      <c r="A661" s="1"/>
    </row>
    <row r="662" spans="1:1" ht="12.75" x14ac:dyDescent="0.2">
      <c r="A662" s="1"/>
    </row>
    <row r="663" spans="1:1" ht="12.75" x14ac:dyDescent="0.2">
      <c r="A663" s="1"/>
    </row>
    <row r="664" spans="1:1" ht="12.75" x14ac:dyDescent="0.2">
      <c r="A664" s="1"/>
    </row>
    <row r="665" spans="1:1" ht="12.75" x14ac:dyDescent="0.2">
      <c r="A665" s="1"/>
    </row>
    <row r="666" spans="1:1" ht="12.75" x14ac:dyDescent="0.2">
      <c r="A666" s="1"/>
    </row>
    <row r="667" spans="1:1" ht="12.75" x14ac:dyDescent="0.2">
      <c r="A667" s="1"/>
    </row>
    <row r="668" spans="1:1" ht="12.75" x14ac:dyDescent="0.2">
      <c r="A668" s="1"/>
    </row>
    <row r="669" spans="1:1" ht="12.75" x14ac:dyDescent="0.2">
      <c r="A669" s="1"/>
    </row>
    <row r="670" spans="1:1" ht="12.75" x14ac:dyDescent="0.2">
      <c r="A670" s="1"/>
    </row>
    <row r="671" spans="1:1" ht="12.75" x14ac:dyDescent="0.2">
      <c r="A671" s="1"/>
    </row>
    <row r="672" spans="1:1" ht="12.75" x14ac:dyDescent="0.2">
      <c r="A672" s="1"/>
    </row>
    <row r="673" spans="1:1" ht="12.75" x14ac:dyDescent="0.2">
      <c r="A673" s="1"/>
    </row>
    <row r="674" spans="1:1" ht="12.75" x14ac:dyDescent="0.2">
      <c r="A674" s="1"/>
    </row>
    <row r="675" spans="1:1" ht="12.75" x14ac:dyDescent="0.2">
      <c r="A675" s="1"/>
    </row>
    <row r="676" spans="1:1" ht="12.75" x14ac:dyDescent="0.2">
      <c r="A676" s="1"/>
    </row>
    <row r="677" spans="1:1" ht="12.75" x14ac:dyDescent="0.2">
      <c r="A677" s="1"/>
    </row>
    <row r="678" spans="1:1" ht="12.75" x14ac:dyDescent="0.2">
      <c r="A678" s="1"/>
    </row>
    <row r="679" spans="1:1" ht="12.75" x14ac:dyDescent="0.2">
      <c r="A679" s="1"/>
    </row>
    <row r="680" spans="1:1" ht="12.75" x14ac:dyDescent="0.2">
      <c r="A680" s="1"/>
    </row>
    <row r="681" spans="1:1" ht="12.75" x14ac:dyDescent="0.2">
      <c r="A681" s="1"/>
    </row>
    <row r="682" spans="1:1" ht="12.75" x14ac:dyDescent="0.2">
      <c r="A682" s="1"/>
    </row>
    <row r="683" spans="1:1" ht="12.75" x14ac:dyDescent="0.2">
      <c r="A683" s="1"/>
    </row>
    <row r="684" spans="1:1" ht="12.75" x14ac:dyDescent="0.2">
      <c r="A684" s="1"/>
    </row>
    <row r="685" spans="1:1" ht="12.75" x14ac:dyDescent="0.2">
      <c r="A685" s="1"/>
    </row>
    <row r="686" spans="1:1" ht="12.75" x14ac:dyDescent="0.2">
      <c r="A686" s="1"/>
    </row>
    <row r="687" spans="1:1" ht="12.75" x14ac:dyDescent="0.2">
      <c r="A687" s="1"/>
    </row>
    <row r="688" spans="1:1" ht="12.75" x14ac:dyDescent="0.2">
      <c r="A688" s="1"/>
    </row>
    <row r="689" spans="1:1" ht="12.75" x14ac:dyDescent="0.2">
      <c r="A689" s="1"/>
    </row>
    <row r="690" spans="1:1" ht="12.75" x14ac:dyDescent="0.2">
      <c r="A690" s="1"/>
    </row>
    <row r="691" spans="1:1" ht="12.75" x14ac:dyDescent="0.2">
      <c r="A691" s="1"/>
    </row>
    <row r="692" spans="1:1" ht="12.75" x14ac:dyDescent="0.2">
      <c r="A692" s="1"/>
    </row>
    <row r="693" spans="1:1" ht="12.75" x14ac:dyDescent="0.2">
      <c r="A693" s="1"/>
    </row>
    <row r="694" spans="1:1" ht="12.75" x14ac:dyDescent="0.2">
      <c r="A694" s="1"/>
    </row>
    <row r="695" spans="1:1" ht="12.75" x14ac:dyDescent="0.2">
      <c r="A695" s="1"/>
    </row>
    <row r="696" spans="1:1" ht="12.75" x14ac:dyDescent="0.2">
      <c r="A696" s="1"/>
    </row>
    <row r="697" spans="1:1" ht="12.75" x14ac:dyDescent="0.2">
      <c r="A697" s="1"/>
    </row>
    <row r="698" spans="1:1" ht="12.75" x14ac:dyDescent="0.2">
      <c r="A698" s="1"/>
    </row>
    <row r="699" spans="1:1" ht="12.75" x14ac:dyDescent="0.2">
      <c r="A699" s="1"/>
    </row>
    <row r="700" spans="1:1" ht="12.75" x14ac:dyDescent="0.2">
      <c r="A700" s="1"/>
    </row>
    <row r="701" spans="1:1" ht="12.75" x14ac:dyDescent="0.2">
      <c r="A701" s="1"/>
    </row>
    <row r="702" spans="1:1" ht="12.75" x14ac:dyDescent="0.2">
      <c r="A702" s="1"/>
    </row>
    <row r="703" spans="1:1" ht="12.75" x14ac:dyDescent="0.2">
      <c r="A703" s="1"/>
    </row>
    <row r="704" spans="1:1" ht="12.75" x14ac:dyDescent="0.2">
      <c r="A704" s="1"/>
    </row>
    <row r="705" spans="1:1" ht="12.75" x14ac:dyDescent="0.2">
      <c r="A705" s="1"/>
    </row>
    <row r="706" spans="1:1" ht="12.75" x14ac:dyDescent="0.2">
      <c r="A706" s="1"/>
    </row>
    <row r="707" spans="1:1" ht="12.75" x14ac:dyDescent="0.2">
      <c r="A707" s="1"/>
    </row>
    <row r="708" spans="1:1" ht="12.75" x14ac:dyDescent="0.2">
      <c r="A708" s="1"/>
    </row>
    <row r="709" spans="1:1" ht="12.75" x14ac:dyDescent="0.2">
      <c r="A709" s="1"/>
    </row>
    <row r="710" spans="1:1" ht="12.75" x14ac:dyDescent="0.2">
      <c r="A710" s="1"/>
    </row>
    <row r="711" spans="1:1" ht="12.75" x14ac:dyDescent="0.2">
      <c r="A711" s="1"/>
    </row>
    <row r="712" spans="1:1" ht="12.75" x14ac:dyDescent="0.2">
      <c r="A712" s="1"/>
    </row>
    <row r="713" spans="1:1" ht="12.75" x14ac:dyDescent="0.2">
      <c r="A713" s="1"/>
    </row>
    <row r="714" spans="1:1" ht="12.75" x14ac:dyDescent="0.2">
      <c r="A714" s="1"/>
    </row>
    <row r="715" spans="1:1" ht="12.75" x14ac:dyDescent="0.2">
      <c r="A715" s="1"/>
    </row>
    <row r="716" spans="1:1" ht="12.75" x14ac:dyDescent="0.2">
      <c r="A716" s="1"/>
    </row>
    <row r="717" spans="1:1" ht="12.75" x14ac:dyDescent="0.2">
      <c r="A717" s="1"/>
    </row>
    <row r="718" spans="1:1" ht="12.75" x14ac:dyDescent="0.2">
      <c r="A718" s="1"/>
    </row>
    <row r="719" spans="1:1" ht="12.75" x14ac:dyDescent="0.2">
      <c r="A719" s="1"/>
    </row>
    <row r="720" spans="1:1" ht="12.75" x14ac:dyDescent="0.2">
      <c r="A720" s="1"/>
    </row>
    <row r="721" spans="1:1" ht="12.75" x14ac:dyDescent="0.2">
      <c r="A721" s="1"/>
    </row>
    <row r="722" spans="1:1" ht="12.75" x14ac:dyDescent="0.2">
      <c r="A722" s="1"/>
    </row>
    <row r="723" spans="1:1" ht="12.75" x14ac:dyDescent="0.2">
      <c r="A723" s="1"/>
    </row>
    <row r="724" spans="1:1" ht="12.75" x14ac:dyDescent="0.2">
      <c r="A724" s="1"/>
    </row>
    <row r="725" spans="1:1" ht="12.75" x14ac:dyDescent="0.2">
      <c r="A725" s="1"/>
    </row>
    <row r="726" spans="1:1" ht="12.75" x14ac:dyDescent="0.2">
      <c r="A726" s="1"/>
    </row>
    <row r="727" spans="1:1" ht="12.75" x14ac:dyDescent="0.2">
      <c r="A727" s="1"/>
    </row>
    <row r="728" spans="1:1" ht="12.75" x14ac:dyDescent="0.2">
      <c r="A728" s="1"/>
    </row>
    <row r="729" spans="1:1" ht="12.75" x14ac:dyDescent="0.2">
      <c r="A729" s="1"/>
    </row>
    <row r="730" spans="1:1" ht="12.75" x14ac:dyDescent="0.2">
      <c r="A730" s="1"/>
    </row>
    <row r="731" spans="1:1" ht="12.75" x14ac:dyDescent="0.2">
      <c r="A731" s="1"/>
    </row>
    <row r="732" spans="1:1" ht="12.75" x14ac:dyDescent="0.2">
      <c r="A732" s="1"/>
    </row>
    <row r="733" spans="1:1" ht="12.75" x14ac:dyDescent="0.2">
      <c r="A733" s="1"/>
    </row>
    <row r="734" spans="1:1" ht="12.75" x14ac:dyDescent="0.2">
      <c r="A734" s="1"/>
    </row>
    <row r="735" spans="1:1" ht="12.75" x14ac:dyDescent="0.2">
      <c r="A735" s="1"/>
    </row>
    <row r="736" spans="1:1" ht="12.75" x14ac:dyDescent="0.2">
      <c r="A736" s="1"/>
    </row>
    <row r="737" spans="1:1" ht="12.75" x14ac:dyDescent="0.2">
      <c r="A737" s="1"/>
    </row>
    <row r="738" spans="1:1" ht="12.75" x14ac:dyDescent="0.2">
      <c r="A738" s="1"/>
    </row>
    <row r="739" spans="1:1" ht="12.75" x14ac:dyDescent="0.2">
      <c r="A739" s="1"/>
    </row>
    <row r="740" spans="1:1" ht="12.75" x14ac:dyDescent="0.2">
      <c r="A740" s="1"/>
    </row>
    <row r="741" spans="1:1" ht="12.75" x14ac:dyDescent="0.2">
      <c r="A741" s="1"/>
    </row>
    <row r="742" spans="1:1" ht="12.75" x14ac:dyDescent="0.2">
      <c r="A742" s="1"/>
    </row>
    <row r="743" spans="1:1" ht="12.75" x14ac:dyDescent="0.2">
      <c r="A743" s="1"/>
    </row>
    <row r="744" spans="1:1" ht="12.75" x14ac:dyDescent="0.2">
      <c r="A744" s="1"/>
    </row>
    <row r="745" spans="1:1" ht="12.75" x14ac:dyDescent="0.2">
      <c r="A745" s="1"/>
    </row>
    <row r="746" spans="1:1" ht="12.75" x14ac:dyDescent="0.2">
      <c r="A746" s="1"/>
    </row>
    <row r="747" spans="1:1" ht="12.75" x14ac:dyDescent="0.2">
      <c r="A747" s="1"/>
    </row>
    <row r="748" spans="1:1" ht="12.75" x14ac:dyDescent="0.2">
      <c r="A748" s="1"/>
    </row>
    <row r="749" spans="1:1" ht="12.75" x14ac:dyDescent="0.2">
      <c r="A749" s="1"/>
    </row>
    <row r="750" spans="1:1" ht="12.75" x14ac:dyDescent="0.2">
      <c r="A750" s="1"/>
    </row>
    <row r="751" spans="1:1" ht="12.75" x14ac:dyDescent="0.2">
      <c r="A751" s="1"/>
    </row>
    <row r="752" spans="1:1" ht="12.75" x14ac:dyDescent="0.2">
      <c r="A752" s="1"/>
    </row>
    <row r="753" spans="1:1" ht="12.75" x14ac:dyDescent="0.2">
      <c r="A753" s="1"/>
    </row>
    <row r="754" spans="1:1" ht="12.75" x14ac:dyDescent="0.2">
      <c r="A754" s="1"/>
    </row>
    <row r="755" spans="1:1" ht="12.75" x14ac:dyDescent="0.2">
      <c r="A755" s="1"/>
    </row>
    <row r="756" spans="1:1" ht="12.75" x14ac:dyDescent="0.2">
      <c r="A756" s="1"/>
    </row>
    <row r="757" spans="1:1" ht="12.75" x14ac:dyDescent="0.2">
      <c r="A757" s="1"/>
    </row>
    <row r="758" spans="1:1" ht="12.75" x14ac:dyDescent="0.2">
      <c r="A758" s="1"/>
    </row>
    <row r="759" spans="1:1" ht="12.75" x14ac:dyDescent="0.2">
      <c r="A759" s="1"/>
    </row>
    <row r="760" spans="1:1" ht="12.75" x14ac:dyDescent="0.2">
      <c r="A760" s="1"/>
    </row>
    <row r="761" spans="1:1" ht="12.75" x14ac:dyDescent="0.2">
      <c r="A761" s="1"/>
    </row>
    <row r="762" spans="1:1" ht="12.75" x14ac:dyDescent="0.2">
      <c r="A762" s="1"/>
    </row>
    <row r="763" spans="1:1" ht="12.75" x14ac:dyDescent="0.2">
      <c r="A763" s="1"/>
    </row>
    <row r="764" spans="1:1" ht="12.75" x14ac:dyDescent="0.2">
      <c r="A764" s="1"/>
    </row>
    <row r="765" spans="1:1" ht="12.75" x14ac:dyDescent="0.2">
      <c r="A765" s="1"/>
    </row>
    <row r="766" spans="1:1" ht="12.75" x14ac:dyDescent="0.2">
      <c r="A766" s="1"/>
    </row>
    <row r="767" spans="1:1" ht="12.75" x14ac:dyDescent="0.2">
      <c r="A767" s="1"/>
    </row>
    <row r="768" spans="1:1" ht="12.75" x14ac:dyDescent="0.2">
      <c r="A768" s="1"/>
    </row>
    <row r="769" spans="1:1" ht="12.75" x14ac:dyDescent="0.2">
      <c r="A769" s="1"/>
    </row>
    <row r="770" spans="1:1" ht="12.75" x14ac:dyDescent="0.2">
      <c r="A770" s="1"/>
    </row>
    <row r="771" spans="1:1" ht="12.75" x14ac:dyDescent="0.2">
      <c r="A771" s="1"/>
    </row>
    <row r="772" spans="1:1" ht="12.75" x14ac:dyDescent="0.2">
      <c r="A772" s="1"/>
    </row>
    <row r="773" spans="1:1" ht="12.75" x14ac:dyDescent="0.2">
      <c r="A773" s="1"/>
    </row>
    <row r="774" spans="1:1" ht="12.75" x14ac:dyDescent="0.2">
      <c r="A774" s="1"/>
    </row>
    <row r="775" spans="1:1" ht="12.75" x14ac:dyDescent="0.2">
      <c r="A775" s="1"/>
    </row>
    <row r="776" spans="1:1" ht="12.75" x14ac:dyDescent="0.2">
      <c r="A776" s="1"/>
    </row>
    <row r="777" spans="1:1" ht="12.75" x14ac:dyDescent="0.2">
      <c r="A777" s="1"/>
    </row>
    <row r="778" spans="1:1" ht="12.75" x14ac:dyDescent="0.2">
      <c r="A778" s="1"/>
    </row>
    <row r="779" spans="1:1" ht="12.75" x14ac:dyDescent="0.2">
      <c r="A779" s="1"/>
    </row>
    <row r="780" spans="1:1" ht="12.75" x14ac:dyDescent="0.2">
      <c r="A780" s="1"/>
    </row>
    <row r="781" spans="1:1" ht="12.75" x14ac:dyDescent="0.2">
      <c r="A781" s="1"/>
    </row>
    <row r="782" spans="1:1" ht="12.75" x14ac:dyDescent="0.2">
      <c r="A782" s="1"/>
    </row>
    <row r="783" spans="1:1" ht="12.75" x14ac:dyDescent="0.2">
      <c r="A783" s="1"/>
    </row>
    <row r="784" spans="1:1" ht="12.75" x14ac:dyDescent="0.2">
      <c r="A784" s="1"/>
    </row>
    <row r="785" spans="1:1" ht="12.75" x14ac:dyDescent="0.2">
      <c r="A785" s="1"/>
    </row>
    <row r="786" spans="1:1" ht="12.75" x14ac:dyDescent="0.2">
      <c r="A786" s="1"/>
    </row>
    <row r="787" spans="1:1" ht="12.75" x14ac:dyDescent="0.2">
      <c r="A787" s="1"/>
    </row>
    <row r="788" spans="1:1" ht="12.75" x14ac:dyDescent="0.2">
      <c r="A788" s="1"/>
    </row>
    <row r="789" spans="1:1" ht="12.75" x14ac:dyDescent="0.2">
      <c r="A789" s="1"/>
    </row>
    <row r="790" spans="1:1" ht="12.75" x14ac:dyDescent="0.2">
      <c r="A790" s="1"/>
    </row>
    <row r="791" spans="1:1" ht="12.75" x14ac:dyDescent="0.2">
      <c r="A791" s="1"/>
    </row>
    <row r="792" spans="1:1" ht="12.75" x14ac:dyDescent="0.2">
      <c r="A792" s="1"/>
    </row>
    <row r="793" spans="1:1" ht="12.75" x14ac:dyDescent="0.2">
      <c r="A793" s="1"/>
    </row>
    <row r="794" spans="1:1" ht="12.75" x14ac:dyDescent="0.2">
      <c r="A794" s="1"/>
    </row>
    <row r="795" spans="1:1" ht="12.75" x14ac:dyDescent="0.2">
      <c r="A795" s="1"/>
    </row>
    <row r="796" spans="1:1" ht="12.75" x14ac:dyDescent="0.2">
      <c r="A796" s="1"/>
    </row>
    <row r="797" spans="1:1" ht="12.75" x14ac:dyDescent="0.2">
      <c r="A797" s="1"/>
    </row>
    <row r="798" spans="1:1" ht="12.75" x14ac:dyDescent="0.2">
      <c r="A798" s="1"/>
    </row>
    <row r="799" spans="1:1" ht="12.75" x14ac:dyDescent="0.2">
      <c r="A799" s="1"/>
    </row>
    <row r="800" spans="1:1" ht="12.75" x14ac:dyDescent="0.2">
      <c r="A800" s="1"/>
    </row>
    <row r="801" spans="1:1" ht="12.75" x14ac:dyDescent="0.2">
      <c r="A801" s="1"/>
    </row>
    <row r="802" spans="1:1" ht="12.75" x14ac:dyDescent="0.2">
      <c r="A802" s="1"/>
    </row>
    <row r="803" spans="1:1" ht="12.75" x14ac:dyDescent="0.2">
      <c r="A803" s="1"/>
    </row>
    <row r="804" spans="1:1" ht="12.75" x14ac:dyDescent="0.2">
      <c r="A804" s="1"/>
    </row>
    <row r="805" spans="1:1" ht="12.75" x14ac:dyDescent="0.2">
      <c r="A805" s="1"/>
    </row>
    <row r="806" spans="1:1" ht="12.75" x14ac:dyDescent="0.2">
      <c r="A806" s="1"/>
    </row>
    <row r="807" spans="1:1" ht="12.75" x14ac:dyDescent="0.2">
      <c r="A807" s="1"/>
    </row>
    <row r="808" spans="1:1" ht="12.75" x14ac:dyDescent="0.2">
      <c r="A808" s="1"/>
    </row>
    <row r="809" spans="1:1" ht="12.75" x14ac:dyDescent="0.2">
      <c r="A809" s="1"/>
    </row>
    <row r="810" spans="1:1" ht="12.75" x14ac:dyDescent="0.2">
      <c r="A810" s="1"/>
    </row>
    <row r="811" spans="1:1" ht="12.75" x14ac:dyDescent="0.2">
      <c r="A811" s="1"/>
    </row>
    <row r="812" spans="1:1" ht="12.75" x14ac:dyDescent="0.2">
      <c r="A812" s="1"/>
    </row>
    <row r="813" spans="1:1" ht="12.75" x14ac:dyDescent="0.2">
      <c r="A813" s="1"/>
    </row>
    <row r="814" spans="1:1" ht="12.75" x14ac:dyDescent="0.2">
      <c r="A814" s="1"/>
    </row>
    <row r="815" spans="1:1" ht="12.75" x14ac:dyDescent="0.2">
      <c r="A815" s="1"/>
    </row>
    <row r="816" spans="1:1" ht="12.75" x14ac:dyDescent="0.2">
      <c r="A816" s="1"/>
    </row>
    <row r="817" spans="1:1" ht="12.75" x14ac:dyDescent="0.2">
      <c r="A817" s="1"/>
    </row>
    <row r="818" spans="1:1" ht="12.75" x14ac:dyDescent="0.2">
      <c r="A818" s="1"/>
    </row>
    <row r="819" spans="1:1" ht="12.75" x14ac:dyDescent="0.2">
      <c r="A819" s="1"/>
    </row>
    <row r="820" spans="1:1" ht="12.75" x14ac:dyDescent="0.2">
      <c r="A820" s="1"/>
    </row>
    <row r="821" spans="1:1" ht="12.75" x14ac:dyDescent="0.2">
      <c r="A821" s="1"/>
    </row>
    <row r="822" spans="1:1" ht="12.75" x14ac:dyDescent="0.2">
      <c r="A822" s="1"/>
    </row>
    <row r="823" spans="1:1" ht="12.75" x14ac:dyDescent="0.2">
      <c r="A823" s="1"/>
    </row>
    <row r="824" spans="1:1" ht="12.75" x14ac:dyDescent="0.2">
      <c r="A824" s="1"/>
    </row>
    <row r="825" spans="1:1" ht="12.75" x14ac:dyDescent="0.2">
      <c r="A825" s="1"/>
    </row>
    <row r="826" spans="1:1" ht="12.75" x14ac:dyDescent="0.2">
      <c r="A826" s="1"/>
    </row>
    <row r="827" spans="1:1" ht="12.75" x14ac:dyDescent="0.2">
      <c r="A827" s="1"/>
    </row>
    <row r="828" spans="1:1" ht="12.75" x14ac:dyDescent="0.2">
      <c r="A828" s="1"/>
    </row>
    <row r="829" spans="1:1" ht="12.75" x14ac:dyDescent="0.2">
      <c r="A829" s="1"/>
    </row>
    <row r="830" spans="1:1" ht="12.75" x14ac:dyDescent="0.2">
      <c r="A830" s="1"/>
    </row>
    <row r="831" spans="1:1" ht="12.75" x14ac:dyDescent="0.2">
      <c r="A831" s="1"/>
    </row>
    <row r="832" spans="1:1" ht="12.75" x14ac:dyDescent="0.2">
      <c r="A832" s="1"/>
    </row>
    <row r="833" spans="1:1" ht="12.75" x14ac:dyDescent="0.2">
      <c r="A833" s="1"/>
    </row>
    <row r="834" spans="1:1" ht="12.75" x14ac:dyDescent="0.2">
      <c r="A834" s="1"/>
    </row>
    <row r="835" spans="1:1" ht="12.75" x14ac:dyDescent="0.2">
      <c r="A835" s="1"/>
    </row>
    <row r="836" spans="1:1" ht="12.75" x14ac:dyDescent="0.2">
      <c r="A836" s="1"/>
    </row>
    <row r="837" spans="1:1" ht="12.75" x14ac:dyDescent="0.2">
      <c r="A837" s="1"/>
    </row>
    <row r="838" spans="1:1" ht="12.75" x14ac:dyDescent="0.2">
      <c r="A838" s="1"/>
    </row>
    <row r="839" spans="1:1" ht="12.75" x14ac:dyDescent="0.2">
      <c r="A839" s="1"/>
    </row>
    <row r="840" spans="1:1" ht="12.75" x14ac:dyDescent="0.2">
      <c r="A840" s="1"/>
    </row>
    <row r="841" spans="1:1" ht="12.75" x14ac:dyDescent="0.2">
      <c r="A841" s="1"/>
    </row>
    <row r="842" spans="1:1" ht="12.75" x14ac:dyDescent="0.2">
      <c r="A842" s="1"/>
    </row>
    <row r="843" spans="1:1" ht="12.75" x14ac:dyDescent="0.2">
      <c r="A843" s="1"/>
    </row>
    <row r="844" spans="1:1" ht="12.75" x14ac:dyDescent="0.2">
      <c r="A844" s="1"/>
    </row>
    <row r="845" spans="1:1" ht="12.75" x14ac:dyDescent="0.2">
      <c r="A845" s="1"/>
    </row>
    <row r="846" spans="1:1" ht="12.75" x14ac:dyDescent="0.2">
      <c r="A846" s="1"/>
    </row>
    <row r="847" spans="1:1" ht="12.75" x14ac:dyDescent="0.2">
      <c r="A847" s="1"/>
    </row>
    <row r="848" spans="1:1" ht="12.75" x14ac:dyDescent="0.2">
      <c r="A848" s="1"/>
    </row>
    <row r="849" spans="1:1" ht="12.75" x14ac:dyDescent="0.2">
      <c r="A849" s="1"/>
    </row>
    <row r="850" spans="1:1" ht="12.75" x14ac:dyDescent="0.2">
      <c r="A850" s="1"/>
    </row>
    <row r="851" spans="1:1" ht="12.75" x14ac:dyDescent="0.2">
      <c r="A851" s="1"/>
    </row>
    <row r="852" spans="1:1" ht="12.75" x14ac:dyDescent="0.2">
      <c r="A852" s="1"/>
    </row>
    <row r="853" spans="1:1" ht="12.75" x14ac:dyDescent="0.2">
      <c r="A853" s="1"/>
    </row>
    <row r="854" spans="1:1" ht="12.75" x14ac:dyDescent="0.2">
      <c r="A854" s="1"/>
    </row>
    <row r="855" spans="1:1" ht="12.75" x14ac:dyDescent="0.2">
      <c r="A855" s="1"/>
    </row>
    <row r="856" spans="1:1" ht="12.75" x14ac:dyDescent="0.2">
      <c r="A856" s="1"/>
    </row>
    <row r="857" spans="1:1" ht="12.75" x14ac:dyDescent="0.2">
      <c r="A857" s="1"/>
    </row>
    <row r="858" spans="1:1" ht="12.75" x14ac:dyDescent="0.2">
      <c r="A858" s="1"/>
    </row>
    <row r="859" spans="1:1" ht="12.75" x14ac:dyDescent="0.2">
      <c r="A859" s="1"/>
    </row>
    <row r="860" spans="1:1" ht="12.75" x14ac:dyDescent="0.2">
      <c r="A860" s="1"/>
    </row>
    <row r="861" spans="1:1" ht="12.75" x14ac:dyDescent="0.2">
      <c r="A861" s="1"/>
    </row>
    <row r="862" spans="1:1" ht="12.75" x14ac:dyDescent="0.2">
      <c r="A862" s="1"/>
    </row>
    <row r="863" spans="1:1" ht="12.75" x14ac:dyDescent="0.2">
      <c r="A863" s="1"/>
    </row>
    <row r="864" spans="1:1" ht="12.75" x14ac:dyDescent="0.2">
      <c r="A864" s="1"/>
    </row>
    <row r="865" spans="1:1" ht="12.75" x14ac:dyDescent="0.2">
      <c r="A865" s="1"/>
    </row>
    <row r="866" spans="1:1" ht="12.75" x14ac:dyDescent="0.2">
      <c r="A866" s="1"/>
    </row>
    <row r="867" spans="1:1" ht="12.75" x14ac:dyDescent="0.2">
      <c r="A867" s="1"/>
    </row>
    <row r="868" spans="1:1" ht="12.75" x14ac:dyDescent="0.2">
      <c r="A868" s="1"/>
    </row>
    <row r="869" spans="1:1" ht="12.75" x14ac:dyDescent="0.2">
      <c r="A869" s="1"/>
    </row>
    <row r="870" spans="1:1" ht="12.75" x14ac:dyDescent="0.2">
      <c r="A870" s="1"/>
    </row>
    <row r="871" spans="1:1" ht="12.75" x14ac:dyDescent="0.2">
      <c r="A871" s="1"/>
    </row>
    <row r="872" spans="1:1" ht="12.75" x14ac:dyDescent="0.2">
      <c r="A872" s="1"/>
    </row>
    <row r="873" spans="1:1" ht="12.75" x14ac:dyDescent="0.2">
      <c r="A873" s="1"/>
    </row>
    <row r="874" spans="1:1" ht="12.75" x14ac:dyDescent="0.2">
      <c r="A874" s="1"/>
    </row>
    <row r="875" spans="1:1" ht="12.75" x14ac:dyDescent="0.2">
      <c r="A875" s="1"/>
    </row>
    <row r="876" spans="1:1" ht="12.75" x14ac:dyDescent="0.2">
      <c r="A876" s="1"/>
    </row>
    <row r="877" spans="1:1" ht="12.75" x14ac:dyDescent="0.2">
      <c r="A877" s="1"/>
    </row>
    <row r="878" spans="1:1" ht="12.75" x14ac:dyDescent="0.2">
      <c r="A878" s="1"/>
    </row>
    <row r="879" spans="1:1" ht="12.75" x14ac:dyDescent="0.2">
      <c r="A879" s="1"/>
    </row>
    <row r="880" spans="1:1" ht="12.75" x14ac:dyDescent="0.2">
      <c r="A880" s="1"/>
    </row>
    <row r="881" spans="1:1" ht="12.75" x14ac:dyDescent="0.2">
      <c r="A881" s="1"/>
    </row>
    <row r="882" spans="1:1" ht="12.75" x14ac:dyDescent="0.2">
      <c r="A882" s="1"/>
    </row>
    <row r="883" spans="1:1" ht="12.75" x14ac:dyDescent="0.2">
      <c r="A883" s="1"/>
    </row>
    <row r="884" spans="1:1" ht="12.75" x14ac:dyDescent="0.2">
      <c r="A884" s="1"/>
    </row>
    <row r="885" spans="1:1" ht="12.75" x14ac:dyDescent="0.2">
      <c r="A885" s="1"/>
    </row>
    <row r="886" spans="1:1" ht="12.75" x14ac:dyDescent="0.2">
      <c r="A886" s="1"/>
    </row>
    <row r="887" spans="1:1" ht="12.75" x14ac:dyDescent="0.2">
      <c r="A887" s="1"/>
    </row>
    <row r="888" spans="1:1" ht="12.75" x14ac:dyDescent="0.2">
      <c r="A888" s="1"/>
    </row>
    <row r="889" spans="1:1" ht="12.75" x14ac:dyDescent="0.2">
      <c r="A889" s="1"/>
    </row>
    <row r="890" spans="1:1" ht="12.75" x14ac:dyDescent="0.2">
      <c r="A890" s="1"/>
    </row>
    <row r="891" spans="1:1" ht="12.75" x14ac:dyDescent="0.2">
      <c r="A891" s="1"/>
    </row>
    <row r="892" spans="1:1" ht="12.75" x14ac:dyDescent="0.2">
      <c r="A892" s="1"/>
    </row>
    <row r="893" spans="1:1" ht="12.75" x14ac:dyDescent="0.2">
      <c r="A893" s="1"/>
    </row>
    <row r="894" spans="1:1" ht="12.75" x14ac:dyDescent="0.2">
      <c r="A894" s="1"/>
    </row>
    <row r="895" spans="1:1" ht="12.75" x14ac:dyDescent="0.2">
      <c r="A895" s="1"/>
    </row>
    <row r="896" spans="1:1" ht="12.75" x14ac:dyDescent="0.2">
      <c r="A896" s="1"/>
    </row>
    <row r="897" spans="1:1" ht="12.75" x14ac:dyDescent="0.2">
      <c r="A897" s="1"/>
    </row>
    <row r="898" spans="1:1" ht="12.75" x14ac:dyDescent="0.2">
      <c r="A898" s="1"/>
    </row>
    <row r="899" spans="1:1" ht="12.75" x14ac:dyDescent="0.2">
      <c r="A899" s="1"/>
    </row>
    <row r="900" spans="1:1" ht="12.75" x14ac:dyDescent="0.2">
      <c r="A900" s="1"/>
    </row>
    <row r="901" spans="1:1" ht="12.75" x14ac:dyDescent="0.2">
      <c r="A901" s="1"/>
    </row>
    <row r="902" spans="1:1" ht="12.75" x14ac:dyDescent="0.2">
      <c r="A902" s="1"/>
    </row>
    <row r="903" spans="1:1" ht="12.75" x14ac:dyDescent="0.2">
      <c r="A903" s="1"/>
    </row>
    <row r="904" spans="1:1" ht="12.75" x14ac:dyDescent="0.2">
      <c r="A904" s="1"/>
    </row>
    <row r="905" spans="1:1" ht="12.75" x14ac:dyDescent="0.2">
      <c r="A905" s="1"/>
    </row>
    <row r="906" spans="1:1" ht="12.75" x14ac:dyDescent="0.2">
      <c r="A906" s="1"/>
    </row>
    <row r="907" spans="1:1" ht="12.75" x14ac:dyDescent="0.2">
      <c r="A907" s="1"/>
    </row>
    <row r="908" spans="1:1" ht="12.75" x14ac:dyDescent="0.2">
      <c r="A908" s="1"/>
    </row>
    <row r="909" spans="1:1" ht="12.75" x14ac:dyDescent="0.2">
      <c r="A909" s="1"/>
    </row>
    <row r="910" spans="1:1" ht="12.75" x14ac:dyDescent="0.2">
      <c r="A910" s="1"/>
    </row>
    <row r="911" spans="1:1" ht="12.75" x14ac:dyDescent="0.2">
      <c r="A911" s="1"/>
    </row>
    <row r="912" spans="1:1" ht="12.75" x14ac:dyDescent="0.2">
      <c r="A912" s="1"/>
    </row>
    <row r="913" spans="1:1" ht="12.75" x14ac:dyDescent="0.2">
      <c r="A913" s="1"/>
    </row>
    <row r="914" spans="1:1" ht="12.75" x14ac:dyDescent="0.2">
      <c r="A914" s="1"/>
    </row>
    <row r="915" spans="1:1" ht="12.75" x14ac:dyDescent="0.2">
      <c r="A915" s="1"/>
    </row>
    <row r="916" spans="1:1" ht="12.75" x14ac:dyDescent="0.2">
      <c r="A916" s="1"/>
    </row>
    <row r="917" spans="1:1" ht="12.75" x14ac:dyDescent="0.2">
      <c r="A917" s="1"/>
    </row>
    <row r="918" spans="1:1" ht="12.75" x14ac:dyDescent="0.2">
      <c r="A918" s="1"/>
    </row>
    <row r="919" spans="1:1" ht="12.75" x14ac:dyDescent="0.2">
      <c r="A919" s="1"/>
    </row>
    <row r="920" spans="1:1" ht="12.75" x14ac:dyDescent="0.2">
      <c r="A920" s="1"/>
    </row>
    <row r="921" spans="1:1" ht="12.75" x14ac:dyDescent="0.2">
      <c r="A921" s="1"/>
    </row>
    <row r="922" spans="1:1" ht="12.75" x14ac:dyDescent="0.2">
      <c r="A922" s="1"/>
    </row>
    <row r="923" spans="1:1" ht="12.75" x14ac:dyDescent="0.2">
      <c r="A923" s="1"/>
    </row>
    <row r="924" spans="1:1" ht="12.75" x14ac:dyDescent="0.2">
      <c r="A924" s="1"/>
    </row>
    <row r="925" spans="1:1" ht="12.75" x14ac:dyDescent="0.2">
      <c r="A925" s="1"/>
    </row>
    <row r="926" spans="1:1" ht="12.75" x14ac:dyDescent="0.2">
      <c r="A926" s="1"/>
    </row>
    <row r="927" spans="1:1" ht="12.75" x14ac:dyDescent="0.2">
      <c r="A927" s="1"/>
    </row>
    <row r="928" spans="1:1" ht="12.75" x14ac:dyDescent="0.2">
      <c r="A928" s="1"/>
    </row>
    <row r="929" spans="1:1" ht="12.75" x14ac:dyDescent="0.2">
      <c r="A929" s="1"/>
    </row>
    <row r="930" spans="1:1" ht="12.75" x14ac:dyDescent="0.2">
      <c r="A930" s="1"/>
    </row>
    <row r="931" spans="1:1" ht="12.75" x14ac:dyDescent="0.2">
      <c r="A931" s="1"/>
    </row>
    <row r="932" spans="1:1" ht="12.75" x14ac:dyDescent="0.2">
      <c r="A932" s="1"/>
    </row>
    <row r="933" spans="1:1" ht="12.75" x14ac:dyDescent="0.2">
      <c r="A933" s="1"/>
    </row>
    <row r="934" spans="1:1" ht="12.75" x14ac:dyDescent="0.2">
      <c r="A934" s="1"/>
    </row>
    <row r="935" spans="1:1" ht="12.75" x14ac:dyDescent="0.2">
      <c r="A935" s="1"/>
    </row>
    <row r="936" spans="1:1" ht="12.75" x14ac:dyDescent="0.2">
      <c r="A936" s="1"/>
    </row>
    <row r="937" spans="1:1" ht="12.75" x14ac:dyDescent="0.2">
      <c r="A937" s="1"/>
    </row>
    <row r="938" spans="1:1" ht="12.75" x14ac:dyDescent="0.2">
      <c r="A938" s="1"/>
    </row>
    <row r="939" spans="1:1" ht="12.75" x14ac:dyDescent="0.2">
      <c r="A939" s="1"/>
    </row>
    <row r="940" spans="1:1" ht="12.75" x14ac:dyDescent="0.2">
      <c r="A940" s="1"/>
    </row>
    <row r="941" spans="1:1" ht="12.75" x14ac:dyDescent="0.2">
      <c r="A941" s="1"/>
    </row>
    <row r="942" spans="1:1" ht="12.75" x14ac:dyDescent="0.2">
      <c r="A942" s="1"/>
    </row>
    <row r="943" spans="1:1" ht="12.75" x14ac:dyDescent="0.2">
      <c r="A943" s="1"/>
    </row>
    <row r="944" spans="1:1" ht="12.75" x14ac:dyDescent="0.2">
      <c r="A944" s="1"/>
    </row>
    <row r="945" spans="1:1" ht="12.75" x14ac:dyDescent="0.2">
      <c r="A945" s="1"/>
    </row>
    <row r="946" spans="1:1" ht="12.75" x14ac:dyDescent="0.2">
      <c r="A946" s="1"/>
    </row>
    <row r="947" spans="1:1" ht="12.75" x14ac:dyDescent="0.2">
      <c r="A947" s="1"/>
    </row>
    <row r="948" spans="1:1" ht="12.75" x14ac:dyDescent="0.2">
      <c r="A948" s="1"/>
    </row>
    <row r="949" spans="1:1" ht="12.75" x14ac:dyDescent="0.2">
      <c r="A949" s="1"/>
    </row>
    <row r="950" spans="1:1" ht="12.75" x14ac:dyDescent="0.2">
      <c r="A950" s="1"/>
    </row>
    <row r="951" spans="1:1" ht="12.75" x14ac:dyDescent="0.2">
      <c r="A951" s="1"/>
    </row>
    <row r="952" spans="1:1" ht="12.75" x14ac:dyDescent="0.2">
      <c r="A952" s="1"/>
    </row>
    <row r="953" spans="1:1" ht="12.75" x14ac:dyDescent="0.2">
      <c r="A953" s="1"/>
    </row>
    <row r="954" spans="1:1" ht="12.75" x14ac:dyDescent="0.2">
      <c r="A954" s="1"/>
    </row>
    <row r="955" spans="1:1" ht="12.75" x14ac:dyDescent="0.2">
      <c r="A955" s="1"/>
    </row>
    <row r="956" spans="1:1" ht="12.75" x14ac:dyDescent="0.2">
      <c r="A956" s="1"/>
    </row>
    <row r="957" spans="1:1" ht="12.75" x14ac:dyDescent="0.2">
      <c r="A957" s="1"/>
    </row>
    <row r="958" spans="1:1" ht="12.75" x14ac:dyDescent="0.2">
      <c r="A958" s="1"/>
    </row>
    <row r="959" spans="1:1" ht="12.75" x14ac:dyDescent="0.2">
      <c r="A959" s="1"/>
    </row>
    <row r="960" spans="1:1" ht="12.75" x14ac:dyDescent="0.2">
      <c r="A960" s="1"/>
    </row>
    <row r="961" spans="1:1" ht="12.75" x14ac:dyDescent="0.2">
      <c r="A961" s="1"/>
    </row>
    <row r="962" spans="1:1" ht="12.75" x14ac:dyDescent="0.2">
      <c r="A962" s="1"/>
    </row>
    <row r="963" spans="1:1" ht="12.75" x14ac:dyDescent="0.2">
      <c r="A963" s="1"/>
    </row>
    <row r="964" spans="1:1" ht="12.75" x14ac:dyDescent="0.2">
      <c r="A964" s="1"/>
    </row>
    <row r="965" spans="1:1" ht="12.75" x14ac:dyDescent="0.2">
      <c r="A965" s="1"/>
    </row>
    <row r="966" spans="1:1" ht="12.75" x14ac:dyDescent="0.2">
      <c r="A966" s="1"/>
    </row>
    <row r="967" spans="1:1" ht="12.75" x14ac:dyDescent="0.2">
      <c r="A967" s="1"/>
    </row>
    <row r="968" spans="1:1" ht="12.75" x14ac:dyDescent="0.2">
      <c r="A968" s="1"/>
    </row>
    <row r="969" spans="1:1" ht="12.75" x14ac:dyDescent="0.2">
      <c r="A969" s="1"/>
    </row>
    <row r="970" spans="1:1" ht="12.75" x14ac:dyDescent="0.2">
      <c r="A970" s="1"/>
    </row>
    <row r="971" spans="1:1" ht="12.75" x14ac:dyDescent="0.2">
      <c r="A971" s="1"/>
    </row>
    <row r="972" spans="1:1" ht="12.75" x14ac:dyDescent="0.2">
      <c r="A972" s="1"/>
    </row>
    <row r="973" spans="1:1" ht="12.75" x14ac:dyDescent="0.2">
      <c r="A973" s="1"/>
    </row>
    <row r="974" spans="1:1" ht="12.75" x14ac:dyDescent="0.2">
      <c r="A974" s="1"/>
    </row>
    <row r="975" spans="1:1" ht="12.75" x14ac:dyDescent="0.2">
      <c r="A975" s="1"/>
    </row>
    <row r="976" spans="1:1" ht="12.75" x14ac:dyDescent="0.2">
      <c r="A976" s="1"/>
    </row>
    <row r="977" spans="1:1" ht="12.75" x14ac:dyDescent="0.2">
      <c r="A977" s="1"/>
    </row>
    <row r="978" spans="1:1" ht="12.75" x14ac:dyDescent="0.2">
      <c r="A978" s="1"/>
    </row>
    <row r="979" spans="1:1" ht="12.75" x14ac:dyDescent="0.2">
      <c r="A979" s="1"/>
    </row>
    <row r="980" spans="1:1" ht="12.75" x14ac:dyDescent="0.2">
      <c r="A980" s="1"/>
    </row>
    <row r="981" spans="1:1" ht="12.75" x14ac:dyDescent="0.2">
      <c r="A981" s="1"/>
    </row>
    <row r="982" spans="1:1" ht="12.75" x14ac:dyDescent="0.2">
      <c r="A982" s="1"/>
    </row>
    <row r="983" spans="1:1" ht="12.75" x14ac:dyDescent="0.2">
      <c r="A983" s="1"/>
    </row>
    <row r="984" spans="1:1" ht="12.75" x14ac:dyDescent="0.2">
      <c r="A984" s="1"/>
    </row>
    <row r="985" spans="1:1" ht="12.75" x14ac:dyDescent="0.2">
      <c r="A985" s="1"/>
    </row>
    <row r="986" spans="1:1" ht="12.75" x14ac:dyDescent="0.2">
      <c r="A986" s="1"/>
    </row>
    <row r="987" spans="1:1" ht="12.75" x14ac:dyDescent="0.2">
      <c r="A987" s="1"/>
    </row>
    <row r="988" spans="1:1" ht="12.75" x14ac:dyDescent="0.2">
      <c r="A988" s="1"/>
    </row>
    <row r="989" spans="1:1" ht="12.75" x14ac:dyDescent="0.2">
      <c r="A989" s="1"/>
    </row>
    <row r="990" spans="1:1" ht="12.75" x14ac:dyDescent="0.2">
      <c r="A990" s="1"/>
    </row>
    <row r="991" spans="1:1" ht="12.75" x14ac:dyDescent="0.2">
      <c r="A991" s="1"/>
    </row>
    <row r="992" spans="1:1" ht="12.75" x14ac:dyDescent="0.2">
      <c r="A992" s="1"/>
    </row>
    <row r="993" spans="1:1" ht="12.75" x14ac:dyDescent="0.2">
      <c r="A993" s="1"/>
    </row>
    <row r="994" spans="1:1" ht="12.75" x14ac:dyDescent="0.2">
      <c r="A994" s="1"/>
    </row>
    <row r="995" spans="1:1" ht="12.75" x14ac:dyDescent="0.2">
      <c r="A995" s="1"/>
    </row>
    <row r="996" spans="1:1" ht="12.75" x14ac:dyDescent="0.2">
      <c r="A996" s="1"/>
    </row>
    <row r="997" spans="1:1" ht="12.75" x14ac:dyDescent="0.2">
      <c r="A997" s="1"/>
    </row>
    <row r="998" spans="1:1" ht="12.75" x14ac:dyDescent="0.2">
      <c r="A998" s="1"/>
    </row>
    <row r="999" spans="1:1" ht="12.75" x14ac:dyDescent="0.2">
      <c r="A999" s="1"/>
    </row>
    <row r="1000" spans="1:1" ht="12.75" x14ac:dyDescent="0.2">
      <c r="A1000" s="1"/>
    </row>
    <row r="1001" spans="1:1" ht="12.75" x14ac:dyDescent="0.2">
      <c r="A1001" s="1"/>
    </row>
    <row r="1002" spans="1:1" ht="12.75" x14ac:dyDescent="0.2">
      <c r="A1002" s="1"/>
    </row>
    <row r="1003" spans="1:1" ht="12.75" x14ac:dyDescent="0.2">
      <c r="A1003" s="1"/>
    </row>
  </sheetData>
  <sheetProtection algorithmName="SHA-512" hashValue="O7p3NwMuvYV02/s7LKW2qhrAbyw6LrT6t9CozsbYCS6xF+Pq+PTmivr8ZbiFYgNmkfRWG5pz8HXUbCGomOcYvg==" saltValue="+O6Vg4SjIU/5xTIUxOlr7Q==" spinCount="100000" sheet="1" objects="1" scenarios="1"/>
  <mergeCells count="9">
    <mergeCell ref="B9:F9"/>
    <mergeCell ref="H9:L9"/>
    <mergeCell ref="N9:R9"/>
    <mergeCell ref="N8:R8"/>
    <mergeCell ref="H5:L5"/>
    <mergeCell ref="N5:P5"/>
    <mergeCell ref="B5:F5"/>
    <mergeCell ref="B8:F8"/>
    <mergeCell ref="H8:L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outlinePr summaryBelow="0" summaryRight="0"/>
  </sheetPr>
  <dimension ref="A3:AG1057"/>
  <sheetViews>
    <sheetView workbookViewId="0">
      <pane xSplit="1" topLeftCell="B1" activePane="topRight" state="frozen"/>
      <selection pane="topRight" activeCell="AB307" sqref="AB307"/>
    </sheetView>
  </sheetViews>
  <sheetFormatPr defaultColWidth="14.42578125" defaultRowHeight="15.75" customHeight="1" x14ac:dyDescent="0.2"/>
  <cols>
    <col min="1" max="1" width="18.7109375" customWidth="1"/>
    <col min="2" max="2" width="9.42578125" customWidth="1"/>
    <col min="3" max="3" width="23.7109375" customWidth="1"/>
    <col min="4" max="4" width="11" customWidth="1"/>
    <col min="5" max="5" width="12.42578125" customWidth="1"/>
    <col min="6" max="6" width="11.85546875" customWidth="1"/>
    <col min="7" max="7" width="11.42578125" customWidth="1"/>
    <col min="10" max="10" width="3.85546875" customWidth="1"/>
    <col min="11" max="11" width="17.85546875" customWidth="1"/>
    <col min="12" max="12" width="18.28515625" customWidth="1"/>
    <col min="13" max="13" width="17.7109375" customWidth="1"/>
    <col min="14" max="14" width="3.42578125" customWidth="1"/>
    <col min="15" max="16" width="19.42578125" customWidth="1"/>
    <col min="17" max="17" width="17.28515625" customWidth="1"/>
    <col min="18" max="18" width="8.85546875" customWidth="1"/>
    <col min="19" max="19" width="19.7109375" style="266" customWidth="1"/>
    <col min="20" max="20" width="18.42578125" style="264" customWidth="1"/>
    <col min="21" max="21" width="18" style="264" customWidth="1"/>
    <col min="22" max="22" width="18.42578125" style="261" customWidth="1"/>
    <col min="23" max="23" width="4.42578125" customWidth="1"/>
    <col min="24" max="25" width="21" customWidth="1"/>
    <col min="26" max="26" width="19.7109375" style="258" customWidth="1"/>
    <col min="27" max="27" width="4" customWidth="1"/>
    <col min="28" max="28" width="20.7109375" style="258" customWidth="1"/>
    <col min="29" max="29" width="3.85546875" style="258" customWidth="1"/>
    <col min="30" max="33" width="20.7109375" style="258" customWidth="1"/>
  </cols>
  <sheetData>
    <row r="3" spans="1:33" ht="15.75" customHeight="1" x14ac:dyDescent="0.25">
      <c r="A3" s="2"/>
      <c r="B3" s="3"/>
      <c r="C3" s="5"/>
      <c r="D3" s="5"/>
      <c r="E3" s="7"/>
      <c r="F3" s="7"/>
      <c r="G3" s="7"/>
      <c r="H3" s="7"/>
      <c r="I3" s="7"/>
      <c r="J3" s="9"/>
      <c r="K3" s="338" t="s">
        <v>3</v>
      </c>
      <c r="L3" s="339"/>
      <c r="M3" s="339"/>
      <c r="N3" s="9"/>
      <c r="O3" s="338" t="s">
        <v>8</v>
      </c>
      <c r="P3" s="339"/>
      <c r="Q3" s="339"/>
      <c r="R3" s="10"/>
      <c r="S3" s="340" t="s">
        <v>9</v>
      </c>
      <c r="T3" s="340"/>
      <c r="U3" s="340"/>
      <c r="V3" s="340"/>
      <c r="X3" s="12"/>
      <c r="Y3" s="12"/>
      <c r="AA3" s="13"/>
    </row>
    <row r="4" spans="1:33" ht="36.950000000000003" customHeight="1" x14ac:dyDescent="0.2">
      <c r="A4" s="15" t="s">
        <v>13</v>
      </c>
      <c r="B4" s="16" t="s">
        <v>15</v>
      </c>
      <c r="C4" s="17" t="s">
        <v>17</v>
      </c>
      <c r="D4" s="17" t="s">
        <v>19</v>
      </c>
      <c r="E4" s="19" t="s">
        <v>20</v>
      </c>
      <c r="F4" s="19" t="s">
        <v>23</v>
      </c>
      <c r="G4" s="19" t="s">
        <v>24</v>
      </c>
      <c r="H4" s="19" t="s">
        <v>25</v>
      </c>
      <c r="I4" s="19" t="s">
        <v>26</v>
      </c>
      <c r="J4" s="21"/>
      <c r="K4" s="22" t="s">
        <v>29</v>
      </c>
      <c r="L4" s="22" t="s">
        <v>25</v>
      </c>
      <c r="M4" s="22" t="s">
        <v>30</v>
      </c>
      <c r="N4" s="23"/>
      <c r="O4" s="22" t="s">
        <v>29</v>
      </c>
      <c r="P4" s="22" t="s">
        <v>31</v>
      </c>
      <c r="Q4" s="22" t="s">
        <v>26</v>
      </c>
      <c r="R4" s="24"/>
      <c r="S4" s="265" t="s">
        <v>29</v>
      </c>
      <c r="T4" s="263" t="s">
        <v>31</v>
      </c>
      <c r="U4" s="263" t="s">
        <v>26</v>
      </c>
      <c r="V4" s="262" t="s">
        <v>13</v>
      </c>
      <c r="W4" s="25"/>
      <c r="X4" s="26" t="s">
        <v>32</v>
      </c>
      <c r="Y4" s="26" t="s">
        <v>33</v>
      </c>
      <c r="Z4" s="259" t="s">
        <v>34</v>
      </c>
      <c r="AA4" s="260"/>
      <c r="AB4" s="259" t="s">
        <v>35</v>
      </c>
      <c r="AC4" s="259"/>
      <c r="AD4" s="259" t="s">
        <v>36</v>
      </c>
      <c r="AE4" s="259" t="s">
        <v>37</v>
      </c>
      <c r="AF4" s="259" t="s">
        <v>38</v>
      </c>
      <c r="AG4" s="259" t="s">
        <v>39</v>
      </c>
    </row>
    <row r="5" spans="1:33" ht="15.75" customHeight="1" x14ac:dyDescent="0.25">
      <c r="A5" s="29" t="s">
        <v>40</v>
      </c>
      <c r="B5" s="31">
        <v>8</v>
      </c>
      <c r="C5" s="32" t="s">
        <v>44</v>
      </c>
      <c r="D5" s="34">
        <v>2015</v>
      </c>
      <c r="E5" s="36">
        <v>442</v>
      </c>
      <c r="F5" s="36">
        <v>222</v>
      </c>
      <c r="G5" s="36">
        <v>232</v>
      </c>
      <c r="H5" s="38">
        <v>4258</v>
      </c>
      <c r="I5" s="36">
        <v>5154</v>
      </c>
      <c r="J5" s="9"/>
      <c r="K5" s="39">
        <v>2065</v>
      </c>
      <c r="L5" s="40">
        <f>ROUND(19596/8,0)</f>
        <v>2450</v>
      </c>
      <c r="M5" s="41">
        <f>ROUND(44036/8,0)</f>
        <v>5505</v>
      </c>
      <c r="N5" s="9"/>
      <c r="O5" s="39">
        <f>E5+F5</f>
        <v>664</v>
      </c>
      <c r="P5" s="40">
        <f t="shared" ref="P5:Q5" si="0">H5</f>
        <v>4258</v>
      </c>
      <c r="Q5" s="39">
        <f t="shared" si="0"/>
        <v>5154</v>
      </c>
      <c r="R5" s="10"/>
      <c r="S5" s="266">
        <f t="shared" ref="S5:U5" si="1">O5/K5</f>
        <v>0.32154963680387411</v>
      </c>
      <c r="T5" s="264">
        <f t="shared" si="1"/>
        <v>1.7379591836734694</v>
      </c>
      <c r="U5" s="264">
        <f t="shared" si="1"/>
        <v>0.93623978201634872</v>
      </c>
      <c r="X5" s="14"/>
      <c r="Y5" s="14"/>
      <c r="AA5" s="13"/>
      <c r="AB5" s="258">
        <v>5505</v>
      </c>
      <c r="AD5" s="258">
        <f t="shared" ref="AD5:AD317" si="2">IF(D5=2015, I5, " ")</f>
        <v>5154</v>
      </c>
      <c r="AE5" s="258" t="str">
        <f t="shared" ref="AE5:AE317" si="3">IF(D5=2016, I5, " ")</f>
        <v xml:space="preserve"> </v>
      </c>
      <c r="AF5" s="258" t="str">
        <f t="shared" ref="AF5:AF317" si="4">IF(D5=2017, I5, " ")</f>
        <v xml:space="preserve"> </v>
      </c>
      <c r="AG5" s="258" t="str">
        <f t="shared" ref="AG5:AG317" si="5">IF(D5=2018, I5, " ")</f>
        <v xml:space="preserve"> </v>
      </c>
    </row>
    <row r="6" spans="1:33" ht="15.75" customHeight="1" x14ac:dyDescent="0.25">
      <c r="A6" s="29" t="s">
        <v>40</v>
      </c>
      <c r="B6" s="31">
        <v>8</v>
      </c>
      <c r="C6" s="32" t="s">
        <v>44</v>
      </c>
      <c r="D6" s="34">
        <v>2016</v>
      </c>
      <c r="E6" s="36">
        <v>276</v>
      </c>
      <c r="F6" s="36">
        <v>72</v>
      </c>
      <c r="G6" s="36">
        <v>415</v>
      </c>
      <c r="H6" s="38">
        <v>4090</v>
      </c>
      <c r="I6" s="36">
        <v>4853</v>
      </c>
      <c r="J6" s="9"/>
      <c r="K6" s="39">
        <f t="shared" ref="K6:M6" si="6">K5*2</f>
        <v>4130</v>
      </c>
      <c r="L6" s="40">
        <f t="shared" si="6"/>
        <v>4900</v>
      </c>
      <c r="M6" s="39">
        <f t="shared" si="6"/>
        <v>11010</v>
      </c>
      <c r="N6" s="9"/>
      <c r="O6" s="39">
        <f t="shared" ref="O6:O8" si="7">E6+F6+O5</f>
        <v>1012</v>
      </c>
      <c r="P6" s="40">
        <f t="shared" ref="P6:Q6" si="8">H6+P5</f>
        <v>8348</v>
      </c>
      <c r="Q6" s="39">
        <f t="shared" si="8"/>
        <v>10007</v>
      </c>
      <c r="R6" s="10"/>
      <c r="S6" s="266">
        <f t="shared" ref="S6:U6" si="9">O6/K6</f>
        <v>0.24503631961259079</v>
      </c>
      <c r="T6" s="264">
        <f t="shared" si="9"/>
        <v>1.7036734693877551</v>
      </c>
      <c r="U6" s="264">
        <f t="shared" si="9"/>
        <v>0.90890099909173483</v>
      </c>
      <c r="X6" s="14"/>
      <c r="Y6" s="14"/>
      <c r="AA6" s="13"/>
      <c r="AB6" s="258" t="s">
        <v>1356</v>
      </c>
      <c r="AD6" s="258" t="str">
        <f t="shared" si="2"/>
        <v xml:space="preserve"> </v>
      </c>
      <c r="AE6" s="258">
        <f t="shared" si="3"/>
        <v>4853</v>
      </c>
      <c r="AF6" s="258" t="str">
        <f t="shared" si="4"/>
        <v xml:space="preserve"> </v>
      </c>
      <c r="AG6" s="258" t="str">
        <f t="shared" si="5"/>
        <v xml:space="preserve"> </v>
      </c>
    </row>
    <row r="7" spans="1:33" ht="15.75" customHeight="1" x14ac:dyDescent="0.25">
      <c r="A7" s="29" t="s">
        <v>40</v>
      </c>
      <c r="B7" s="31">
        <v>8</v>
      </c>
      <c r="C7" s="32" t="s">
        <v>44</v>
      </c>
      <c r="D7" s="34">
        <v>2017</v>
      </c>
      <c r="E7" s="36">
        <v>693</v>
      </c>
      <c r="F7" s="36">
        <v>447</v>
      </c>
      <c r="G7" s="36">
        <v>69</v>
      </c>
      <c r="H7" s="38">
        <v>8220</v>
      </c>
      <c r="I7" s="36">
        <v>9429</v>
      </c>
      <c r="J7" s="9"/>
      <c r="K7" s="39">
        <f t="shared" ref="K7:M7" si="10">K5*3</f>
        <v>6195</v>
      </c>
      <c r="L7" s="40">
        <f t="shared" si="10"/>
        <v>7350</v>
      </c>
      <c r="M7" s="39">
        <f t="shared" si="10"/>
        <v>16515</v>
      </c>
      <c r="N7" s="9"/>
      <c r="O7" s="39">
        <f t="shared" si="7"/>
        <v>2152</v>
      </c>
      <c r="P7" s="40">
        <f t="shared" ref="P7:Q7" si="11">H7+P6</f>
        <v>16568</v>
      </c>
      <c r="Q7" s="39">
        <f t="shared" si="11"/>
        <v>19436</v>
      </c>
      <c r="R7" s="257"/>
      <c r="S7" s="266">
        <f t="shared" ref="S7:U7" si="12">O7/K7</f>
        <v>0.3473769168684423</v>
      </c>
      <c r="T7" s="264">
        <f t="shared" si="12"/>
        <v>2.2541496598639457</v>
      </c>
      <c r="U7" s="264">
        <f t="shared" si="12"/>
        <v>1.1768695125643354</v>
      </c>
      <c r="X7" s="14"/>
      <c r="Y7" s="14"/>
      <c r="AA7" s="13"/>
      <c r="AB7" s="258" t="s">
        <v>1356</v>
      </c>
      <c r="AD7" s="258" t="str">
        <f t="shared" si="2"/>
        <v xml:space="preserve"> </v>
      </c>
      <c r="AE7" s="258" t="str">
        <f t="shared" si="3"/>
        <v xml:space="preserve"> </v>
      </c>
      <c r="AF7" s="258">
        <f t="shared" si="4"/>
        <v>9429</v>
      </c>
      <c r="AG7" s="258" t="str">
        <f t="shared" si="5"/>
        <v xml:space="preserve"> </v>
      </c>
    </row>
    <row r="8" spans="1:33" ht="15.75" customHeight="1" x14ac:dyDescent="0.25">
      <c r="A8" s="29" t="s">
        <v>40</v>
      </c>
      <c r="B8" s="31">
        <v>8</v>
      </c>
      <c r="C8" s="32" t="s">
        <v>44</v>
      </c>
      <c r="D8" s="34">
        <v>2018</v>
      </c>
      <c r="E8" s="36">
        <v>466</v>
      </c>
      <c r="F8" s="36">
        <v>527</v>
      </c>
      <c r="G8" s="36">
        <v>163</v>
      </c>
      <c r="H8" s="38">
        <v>13127</v>
      </c>
      <c r="I8" s="36">
        <v>14283</v>
      </c>
      <c r="J8" s="9"/>
      <c r="K8" s="39">
        <f t="shared" ref="K8:M8" si="13">K5*4</f>
        <v>8260</v>
      </c>
      <c r="L8" s="40">
        <f t="shared" si="13"/>
        <v>9800</v>
      </c>
      <c r="M8" s="39">
        <f t="shared" si="13"/>
        <v>22020</v>
      </c>
      <c r="N8" s="43"/>
      <c r="O8" s="39">
        <f t="shared" si="7"/>
        <v>3145</v>
      </c>
      <c r="P8" s="40">
        <f t="shared" ref="P8:Q8" si="14">H8+P7</f>
        <v>29695</v>
      </c>
      <c r="Q8" s="39">
        <f t="shared" si="14"/>
        <v>33719</v>
      </c>
      <c r="R8" s="10"/>
      <c r="S8" s="266">
        <f t="shared" ref="S8:U8" si="15">O8/K8</f>
        <v>0.38075060532687649</v>
      </c>
      <c r="T8" s="264">
        <f t="shared" si="15"/>
        <v>3.0301020408163266</v>
      </c>
      <c r="U8" s="264">
        <f t="shared" si="15"/>
        <v>1.5312897366030882</v>
      </c>
      <c r="V8" s="261" t="s">
        <v>40</v>
      </c>
      <c r="X8" s="14">
        <v>44036</v>
      </c>
      <c r="Y8" s="14">
        <v>22020</v>
      </c>
      <c r="Z8" s="258">
        <v>33719</v>
      </c>
      <c r="AA8" s="13"/>
      <c r="AB8" s="258" t="s">
        <v>1356</v>
      </c>
      <c r="AD8" s="258" t="str">
        <f t="shared" si="2"/>
        <v xml:space="preserve"> </v>
      </c>
      <c r="AE8" s="258" t="str">
        <f t="shared" si="3"/>
        <v xml:space="preserve"> </v>
      </c>
      <c r="AF8" s="258" t="str">
        <f t="shared" si="4"/>
        <v xml:space="preserve"> </v>
      </c>
      <c r="AG8" s="258">
        <f t="shared" si="5"/>
        <v>14283</v>
      </c>
    </row>
    <row r="9" spans="1:33" ht="15.75" customHeight="1" x14ac:dyDescent="0.25">
      <c r="A9" s="29"/>
      <c r="B9" s="31"/>
      <c r="C9" s="34"/>
      <c r="D9" s="34"/>
      <c r="E9" s="36"/>
      <c r="F9" s="36"/>
      <c r="G9" s="36"/>
      <c r="H9" s="38"/>
      <c r="I9" s="36"/>
      <c r="J9" s="9"/>
      <c r="K9" s="39"/>
      <c r="L9" s="40"/>
      <c r="M9" s="39"/>
      <c r="N9" s="43"/>
      <c r="O9" s="39"/>
      <c r="P9" s="40"/>
      <c r="Q9" s="39"/>
      <c r="R9" s="10"/>
      <c r="X9" s="14"/>
      <c r="Y9" s="14" t="s">
        <v>1356</v>
      </c>
      <c r="Z9" s="258" t="s">
        <v>1356</v>
      </c>
      <c r="AA9" s="13"/>
      <c r="AB9" s="258" t="s">
        <v>1356</v>
      </c>
      <c r="AD9" s="258" t="str">
        <f t="shared" si="2"/>
        <v xml:space="preserve"> </v>
      </c>
      <c r="AE9" s="258" t="str">
        <f t="shared" si="3"/>
        <v xml:space="preserve"> </v>
      </c>
      <c r="AF9" s="258" t="str">
        <f t="shared" si="4"/>
        <v xml:space="preserve"> </v>
      </c>
      <c r="AG9" s="258" t="str">
        <f t="shared" si="5"/>
        <v xml:space="preserve"> </v>
      </c>
    </row>
    <row r="10" spans="1:33" ht="15.75" customHeight="1" x14ac:dyDescent="0.25">
      <c r="A10" s="29" t="s">
        <v>68</v>
      </c>
      <c r="B10" s="31">
        <v>5</v>
      </c>
      <c r="C10" s="34" t="s">
        <v>69</v>
      </c>
      <c r="D10" s="34">
        <v>2014</v>
      </c>
      <c r="E10" s="36">
        <v>0</v>
      </c>
      <c r="F10" s="36">
        <v>0</v>
      </c>
      <c r="G10" s="36">
        <v>1</v>
      </c>
      <c r="H10" s="38">
        <v>1</v>
      </c>
      <c r="I10" s="36">
        <v>2</v>
      </c>
      <c r="J10" s="9"/>
      <c r="K10" s="39">
        <f>ROUND((7+6)/5,0)</f>
        <v>3</v>
      </c>
      <c r="L10" s="40">
        <f>ROUND(11/5,0)</f>
        <v>2</v>
      </c>
      <c r="M10" s="39">
        <f>ROUND(30/5,0)</f>
        <v>6</v>
      </c>
      <c r="N10" s="43"/>
      <c r="O10" s="39">
        <f>E10+F10</f>
        <v>0</v>
      </c>
      <c r="P10" s="40">
        <f t="shared" ref="P10:Q10" si="16">H10</f>
        <v>1</v>
      </c>
      <c r="Q10" s="39">
        <f t="shared" si="16"/>
        <v>2</v>
      </c>
      <c r="R10" s="10"/>
      <c r="S10" s="266">
        <f t="shared" ref="S10:U10" si="17">O10/K10</f>
        <v>0</v>
      </c>
      <c r="T10" s="264">
        <f t="shared" si="17"/>
        <v>0.5</v>
      </c>
      <c r="U10" s="264">
        <f t="shared" si="17"/>
        <v>0.33333333333333331</v>
      </c>
      <c r="X10" s="14"/>
      <c r="Y10" s="14" t="s">
        <v>1356</v>
      </c>
      <c r="Z10" s="258" t="s">
        <v>1356</v>
      </c>
      <c r="AA10" s="13"/>
      <c r="AB10" s="258">
        <v>6</v>
      </c>
      <c r="AD10" s="258" t="str">
        <f t="shared" si="2"/>
        <v xml:space="preserve"> </v>
      </c>
      <c r="AE10" s="258" t="str">
        <f t="shared" si="3"/>
        <v xml:space="preserve"> </v>
      </c>
      <c r="AF10" s="258" t="str">
        <f t="shared" si="4"/>
        <v xml:space="preserve"> </v>
      </c>
      <c r="AG10" s="258" t="str">
        <f t="shared" si="5"/>
        <v xml:space="preserve"> </v>
      </c>
    </row>
    <row r="11" spans="1:33" ht="15.75" customHeight="1" x14ac:dyDescent="0.25">
      <c r="A11" s="29" t="s">
        <v>68</v>
      </c>
      <c r="B11" s="31">
        <v>5</v>
      </c>
      <c r="C11" s="34" t="s">
        <v>69</v>
      </c>
      <c r="D11" s="34">
        <v>2015</v>
      </c>
      <c r="E11" s="36">
        <v>0</v>
      </c>
      <c r="F11" s="36">
        <v>0</v>
      </c>
      <c r="G11" s="36">
        <v>0</v>
      </c>
      <c r="H11" s="38">
        <v>4</v>
      </c>
      <c r="I11" s="36">
        <v>4</v>
      </c>
      <c r="J11" s="9"/>
      <c r="K11" s="39">
        <f t="shared" ref="K11:M11" si="18">K10*2</f>
        <v>6</v>
      </c>
      <c r="L11" s="40">
        <f t="shared" si="18"/>
        <v>4</v>
      </c>
      <c r="M11" s="39">
        <f t="shared" si="18"/>
        <v>12</v>
      </c>
      <c r="N11" s="43"/>
      <c r="O11" s="39">
        <f t="shared" ref="O11:O14" si="19">E11+F11+O10</f>
        <v>0</v>
      </c>
      <c r="P11" s="40">
        <f t="shared" ref="P11:Q11" si="20">H11+P10</f>
        <v>5</v>
      </c>
      <c r="Q11" s="39">
        <f t="shared" si="20"/>
        <v>6</v>
      </c>
      <c r="R11" s="10"/>
      <c r="S11" s="266">
        <f t="shared" ref="S11:U11" si="21">O11/K11</f>
        <v>0</v>
      </c>
      <c r="T11" s="264">
        <f t="shared" si="21"/>
        <v>1.25</v>
      </c>
      <c r="U11" s="264">
        <f t="shared" si="21"/>
        <v>0.5</v>
      </c>
      <c r="X11" s="14"/>
      <c r="Y11" s="14" t="s">
        <v>1356</v>
      </c>
      <c r="Z11" s="258" t="s">
        <v>1356</v>
      </c>
      <c r="AA11" s="13"/>
      <c r="AD11" s="258">
        <f t="shared" si="2"/>
        <v>4</v>
      </c>
      <c r="AE11" s="258" t="str">
        <f t="shared" si="3"/>
        <v xml:space="preserve"> </v>
      </c>
      <c r="AF11" s="258" t="str">
        <f t="shared" si="4"/>
        <v xml:space="preserve"> </v>
      </c>
      <c r="AG11" s="258" t="str">
        <f t="shared" si="5"/>
        <v xml:space="preserve"> </v>
      </c>
    </row>
    <row r="12" spans="1:33" ht="15.75" customHeight="1" x14ac:dyDescent="0.25">
      <c r="A12" s="29" t="s">
        <v>68</v>
      </c>
      <c r="B12" s="31">
        <v>5</v>
      </c>
      <c r="C12" s="34" t="s">
        <v>69</v>
      </c>
      <c r="D12" s="34">
        <v>2016</v>
      </c>
      <c r="E12" s="36">
        <v>0</v>
      </c>
      <c r="F12" s="36">
        <v>0</v>
      </c>
      <c r="G12" s="36">
        <v>0</v>
      </c>
      <c r="H12" s="38">
        <v>2</v>
      </c>
      <c r="I12" s="36">
        <v>2</v>
      </c>
      <c r="J12" s="9"/>
      <c r="K12" s="39">
        <f t="shared" ref="K12:M12" si="22">K10*3</f>
        <v>9</v>
      </c>
      <c r="L12" s="40">
        <f t="shared" si="22"/>
        <v>6</v>
      </c>
      <c r="M12" s="39">
        <f t="shared" si="22"/>
        <v>18</v>
      </c>
      <c r="N12" s="43"/>
      <c r="O12" s="39">
        <f t="shared" si="19"/>
        <v>0</v>
      </c>
      <c r="P12" s="40">
        <f t="shared" ref="P12:Q12" si="23">H12+P11</f>
        <v>7</v>
      </c>
      <c r="Q12" s="39">
        <f t="shared" si="23"/>
        <v>8</v>
      </c>
      <c r="R12" s="10"/>
      <c r="S12" s="266">
        <f t="shared" ref="S12:U12" si="24">O12/K12</f>
        <v>0</v>
      </c>
      <c r="T12" s="264">
        <f t="shared" si="24"/>
        <v>1.1666666666666667</v>
      </c>
      <c r="U12" s="264">
        <f t="shared" si="24"/>
        <v>0.44444444444444442</v>
      </c>
      <c r="X12" s="14"/>
      <c r="Y12" s="14" t="s">
        <v>1356</v>
      </c>
      <c r="Z12" s="258" t="s">
        <v>1356</v>
      </c>
      <c r="AA12" s="13"/>
      <c r="AB12" s="258" t="s">
        <v>1356</v>
      </c>
      <c r="AD12" s="258" t="str">
        <f t="shared" si="2"/>
        <v xml:space="preserve"> </v>
      </c>
      <c r="AE12" s="258">
        <f t="shared" si="3"/>
        <v>2</v>
      </c>
      <c r="AF12" s="258" t="str">
        <f t="shared" si="4"/>
        <v xml:space="preserve"> </v>
      </c>
      <c r="AG12" s="258" t="str">
        <f t="shared" si="5"/>
        <v xml:space="preserve"> </v>
      </c>
    </row>
    <row r="13" spans="1:33" ht="15.75" customHeight="1" x14ac:dyDescent="0.25">
      <c r="A13" s="29" t="s">
        <v>68</v>
      </c>
      <c r="B13" s="31">
        <v>5</v>
      </c>
      <c r="C13" s="34" t="s">
        <v>69</v>
      </c>
      <c r="D13" s="34">
        <v>2017</v>
      </c>
      <c r="E13" s="36">
        <v>0</v>
      </c>
      <c r="F13" s="36">
        <v>2</v>
      </c>
      <c r="G13" s="36">
        <v>3</v>
      </c>
      <c r="H13" s="38">
        <v>3</v>
      </c>
      <c r="I13" s="36">
        <v>8</v>
      </c>
      <c r="J13" s="9"/>
      <c r="K13" s="39">
        <f t="shared" ref="K13:M13" si="25">$K$10*4</f>
        <v>12</v>
      </c>
      <c r="L13" s="40">
        <f t="shared" si="25"/>
        <v>12</v>
      </c>
      <c r="M13" s="39">
        <f t="shared" si="25"/>
        <v>12</v>
      </c>
      <c r="N13" s="43"/>
      <c r="O13" s="39">
        <f t="shared" si="19"/>
        <v>2</v>
      </c>
      <c r="P13" s="40">
        <f t="shared" ref="P13:Q13" si="26">H13+P12</f>
        <v>10</v>
      </c>
      <c r="Q13" s="39">
        <f t="shared" si="26"/>
        <v>16</v>
      </c>
      <c r="R13" s="10"/>
      <c r="S13" s="266">
        <f t="shared" ref="S13:U13" si="27">O13/K13</f>
        <v>0.16666666666666666</v>
      </c>
      <c r="T13" s="264">
        <f t="shared" si="27"/>
        <v>0.83333333333333337</v>
      </c>
      <c r="U13" s="264">
        <f t="shared" si="27"/>
        <v>1.3333333333333333</v>
      </c>
      <c r="X13" s="14"/>
      <c r="Y13" s="14" t="s">
        <v>1356</v>
      </c>
      <c r="Z13" s="258" t="s">
        <v>1356</v>
      </c>
      <c r="AA13" s="13"/>
      <c r="AB13" s="258" t="s">
        <v>1356</v>
      </c>
      <c r="AD13" s="258" t="str">
        <f t="shared" si="2"/>
        <v xml:space="preserve"> </v>
      </c>
      <c r="AE13" s="258" t="str">
        <f t="shared" si="3"/>
        <v xml:space="preserve"> </v>
      </c>
      <c r="AF13" s="258">
        <f t="shared" si="4"/>
        <v>8</v>
      </c>
      <c r="AG13" s="258" t="str">
        <f t="shared" si="5"/>
        <v xml:space="preserve"> </v>
      </c>
    </row>
    <row r="14" spans="1:33" ht="15.75" customHeight="1" x14ac:dyDescent="0.25">
      <c r="A14" s="29" t="s">
        <v>68</v>
      </c>
      <c r="B14" s="31">
        <v>5</v>
      </c>
      <c r="C14" s="34" t="s">
        <v>69</v>
      </c>
      <c r="D14" s="34">
        <v>2018</v>
      </c>
      <c r="E14" s="36">
        <v>0</v>
      </c>
      <c r="F14" s="36">
        <v>1</v>
      </c>
      <c r="G14" s="36">
        <v>0</v>
      </c>
      <c r="H14" s="38">
        <v>0</v>
      </c>
      <c r="I14" s="36">
        <v>1</v>
      </c>
      <c r="J14" s="9"/>
      <c r="K14" s="39">
        <f t="shared" ref="K14:M14" si="28">K10*5</f>
        <v>15</v>
      </c>
      <c r="L14" s="40">
        <f t="shared" si="28"/>
        <v>10</v>
      </c>
      <c r="M14" s="39">
        <f t="shared" si="28"/>
        <v>30</v>
      </c>
      <c r="N14" s="43"/>
      <c r="O14" s="39">
        <f t="shared" si="19"/>
        <v>3</v>
      </c>
      <c r="P14" s="40">
        <f t="shared" ref="P14:Q14" si="29">H14+P13</f>
        <v>10</v>
      </c>
      <c r="Q14" s="39">
        <f t="shared" si="29"/>
        <v>17</v>
      </c>
      <c r="R14" s="10"/>
      <c r="S14" s="266">
        <f t="shared" ref="S14:U14" si="30">O14/K14</f>
        <v>0.2</v>
      </c>
      <c r="T14" s="264">
        <f t="shared" si="30"/>
        <v>1</v>
      </c>
      <c r="U14" s="264">
        <f t="shared" si="30"/>
        <v>0.56666666666666665</v>
      </c>
      <c r="V14" s="261" t="s">
        <v>68</v>
      </c>
      <c r="X14" s="14">
        <v>30</v>
      </c>
      <c r="Y14" s="14">
        <v>30</v>
      </c>
      <c r="Z14" s="258">
        <v>17</v>
      </c>
      <c r="AA14" s="13"/>
      <c r="AB14" s="258" t="s">
        <v>1356</v>
      </c>
      <c r="AD14" s="258" t="str">
        <f t="shared" si="2"/>
        <v xml:space="preserve"> </v>
      </c>
      <c r="AE14" s="258" t="str">
        <f t="shared" si="3"/>
        <v xml:space="preserve"> </v>
      </c>
      <c r="AF14" s="258" t="str">
        <f t="shared" si="4"/>
        <v xml:space="preserve"> </v>
      </c>
      <c r="AG14" s="258">
        <f t="shared" si="5"/>
        <v>1</v>
      </c>
    </row>
    <row r="15" spans="1:33" ht="15.75" customHeight="1" x14ac:dyDescent="0.25">
      <c r="A15" s="29"/>
      <c r="B15" s="31"/>
      <c r="C15" s="34"/>
      <c r="D15" s="34"/>
      <c r="E15" s="36"/>
      <c r="F15" s="36"/>
      <c r="G15" s="36"/>
      <c r="H15" s="38"/>
      <c r="I15" s="36"/>
      <c r="J15" s="9"/>
      <c r="K15" s="39"/>
      <c r="L15" s="40"/>
      <c r="M15" s="39"/>
      <c r="N15" s="43"/>
      <c r="O15" s="39"/>
      <c r="P15" s="40"/>
      <c r="Q15" s="39"/>
      <c r="R15" s="10"/>
      <c r="X15" s="14"/>
      <c r="Y15" s="14" t="s">
        <v>1356</v>
      </c>
      <c r="Z15" s="258" t="s">
        <v>1356</v>
      </c>
      <c r="AA15" s="13"/>
      <c r="AB15" s="258" t="s">
        <v>1356</v>
      </c>
      <c r="AD15" s="258" t="str">
        <f t="shared" si="2"/>
        <v xml:space="preserve"> </v>
      </c>
      <c r="AE15" s="258" t="str">
        <f t="shared" si="3"/>
        <v xml:space="preserve"> </v>
      </c>
      <c r="AF15" s="258" t="str">
        <f t="shared" si="4"/>
        <v xml:space="preserve"> </v>
      </c>
      <c r="AG15" s="258" t="str">
        <f t="shared" si="5"/>
        <v xml:space="preserve"> </v>
      </c>
    </row>
    <row r="16" spans="1:33" ht="15.75" customHeight="1" x14ac:dyDescent="0.25">
      <c r="A16" s="29" t="s">
        <v>90</v>
      </c>
      <c r="B16" s="31">
        <v>5</v>
      </c>
      <c r="C16" s="34" t="s">
        <v>69</v>
      </c>
      <c r="D16" s="34">
        <v>2014</v>
      </c>
      <c r="E16" s="36">
        <v>0</v>
      </c>
      <c r="F16" s="36">
        <v>0</v>
      </c>
      <c r="G16" s="36">
        <v>2</v>
      </c>
      <c r="H16" s="38">
        <v>0</v>
      </c>
      <c r="I16" s="36">
        <v>2</v>
      </c>
      <c r="J16" s="9"/>
      <c r="K16" s="39">
        <f>ROUND((21+17)/5,0)</f>
        <v>8</v>
      </c>
      <c r="L16" s="40">
        <f>ROUND(43/5,0)</f>
        <v>9</v>
      </c>
      <c r="M16" s="39">
        <f>ROUND(100/5,0)</f>
        <v>20</v>
      </c>
      <c r="N16" s="43"/>
      <c r="O16" s="39">
        <f>E16+F16</f>
        <v>0</v>
      </c>
      <c r="P16" s="40">
        <f t="shared" ref="P16:Q16" si="31">H16</f>
        <v>0</v>
      </c>
      <c r="Q16" s="39">
        <f t="shared" si="31"/>
        <v>2</v>
      </c>
      <c r="R16" s="10"/>
      <c r="S16" s="266">
        <f t="shared" ref="S16:U16" si="32">O16/K16</f>
        <v>0</v>
      </c>
      <c r="T16" s="264">
        <f t="shared" si="32"/>
        <v>0</v>
      </c>
      <c r="U16" s="264">
        <f t="shared" si="32"/>
        <v>0.1</v>
      </c>
      <c r="X16" s="14"/>
      <c r="Y16" s="14" t="s">
        <v>1356</v>
      </c>
      <c r="Z16" s="258" t="s">
        <v>1356</v>
      </c>
      <c r="AA16" s="13"/>
      <c r="AB16" s="258">
        <v>20</v>
      </c>
      <c r="AD16" s="258" t="str">
        <f t="shared" si="2"/>
        <v xml:space="preserve"> </v>
      </c>
      <c r="AE16" s="258" t="str">
        <f t="shared" si="3"/>
        <v xml:space="preserve"> </v>
      </c>
      <c r="AF16" s="258" t="str">
        <f t="shared" si="4"/>
        <v xml:space="preserve"> </v>
      </c>
      <c r="AG16" s="258" t="str">
        <f t="shared" si="5"/>
        <v xml:space="preserve"> </v>
      </c>
    </row>
    <row r="17" spans="1:33" ht="15.75" customHeight="1" x14ac:dyDescent="0.25">
      <c r="A17" s="29" t="s">
        <v>90</v>
      </c>
      <c r="B17" s="31">
        <v>5</v>
      </c>
      <c r="C17" s="34" t="s">
        <v>69</v>
      </c>
      <c r="D17" s="34">
        <v>2015</v>
      </c>
      <c r="E17" s="36">
        <v>0</v>
      </c>
      <c r="F17" s="36">
        <v>0</v>
      </c>
      <c r="G17" s="36">
        <v>12</v>
      </c>
      <c r="H17" s="38">
        <v>0</v>
      </c>
      <c r="I17" s="36">
        <v>12</v>
      </c>
      <c r="J17" s="9"/>
      <c r="K17" s="39">
        <f t="shared" ref="K17:M17" si="33">K16*2</f>
        <v>16</v>
      </c>
      <c r="L17" s="40">
        <f t="shared" si="33"/>
        <v>18</v>
      </c>
      <c r="M17" s="39">
        <f t="shared" si="33"/>
        <v>40</v>
      </c>
      <c r="N17" s="43"/>
      <c r="O17" s="39">
        <f t="shared" ref="O17:O20" si="34">E17+F17+O16</f>
        <v>0</v>
      </c>
      <c r="P17" s="40">
        <f t="shared" ref="P17:Q17" si="35">H17+P16</f>
        <v>0</v>
      </c>
      <c r="Q17" s="39">
        <f t="shared" si="35"/>
        <v>14</v>
      </c>
      <c r="R17" s="10"/>
      <c r="S17" s="266">
        <f t="shared" ref="S17:U17" si="36">O17/K17</f>
        <v>0</v>
      </c>
      <c r="T17" s="264">
        <f t="shared" si="36"/>
        <v>0</v>
      </c>
      <c r="U17" s="264">
        <f t="shared" si="36"/>
        <v>0.35</v>
      </c>
      <c r="X17" s="14"/>
      <c r="Y17" s="14" t="s">
        <v>1356</v>
      </c>
      <c r="Z17" s="258" t="s">
        <v>1356</v>
      </c>
      <c r="AA17" s="13"/>
      <c r="AD17" s="258">
        <f t="shared" si="2"/>
        <v>12</v>
      </c>
      <c r="AE17" s="258" t="str">
        <f t="shared" si="3"/>
        <v xml:space="preserve"> </v>
      </c>
      <c r="AF17" s="258" t="str">
        <f t="shared" si="4"/>
        <v xml:space="preserve"> </v>
      </c>
      <c r="AG17" s="258" t="str">
        <f t="shared" si="5"/>
        <v xml:space="preserve"> </v>
      </c>
    </row>
    <row r="18" spans="1:33" ht="15.75" customHeight="1" x14ac:dyDescent="0.25">
      <c r="A18" s="29" t="s">
        <v>90</v>
      </c>
      <c r="B18" s="31">
        <v>5</v>
      </c>
      <c r="C18" s="34" t="s">
        <v>69</v>
      </c>
      <c r="D18" s="34">
        <v>2016</v>
      </c>
      <c r="E18" s="36">
        <v>0</v>
      </c>
      <c r="F18" s="36">
        <v>0</v>
      </c>
      <c r="G18" s="36">
        <v>5</v>
      </c>
      <c r="H18" s="38">
        <v>13</v>
      </c>
      <c r="I18" s="36">
        <v>18</v>
      </c>
      <c r="J18" s="9"/>
      <c r="K18" s="39">
        <f t="shared" ref="K18:M18" si="37">K16*3</f>
        <v>24</v>
      </c>
      <c r="L18" s="40">
        <f t="shared" si="37"/>
        <v>27</v>
      </c>
      <c r="M18" s="39">
        <f t="shared" si="37"/>
        <v>60</v>
      </c>
      <c r="N18" s="43"/>
      <c r="O18" s="39">
        <f t="shared" si="34"/>
        <v>0</v>
      </c>
      <c r="P18" s="40">
        <f t="shared" ref="P18:Q18" si="38">H18+P17</f>
        <v>13</v>
      </c>
      <c r="Q18" s="39">
        <f t="shared" si="38"/>
        <v>32</v>
      </c>
      <c r="R18" s="257"/>
      <c r="S18" s="266">
        <f t="shared" ref="S18:U18" si="39">O18/K18</f>
        <v>0</v>
      </c>
      <c r="T18" s="264">
        <f t="shared" si="39"/>
        <v>0.48148148148148145</v>
      </c>
      <c r="U18" s="264">
        <f t="shared" si="39"/>
        <v>0.53333333333333333</v>
      </c>
      <c r="X18" s="14"/>
      <c r="Y18" s="14" t="s">
        <v>1356</v>
      </c>
      <c r="Z18" s="258" t="s">
        <v>1356</v>
      </c>
      <c r="AA18" s="13"/>
      <c r="AB18" s="258" t="s">
        <v>1356</v>
      </c>
      <c r="AD18" s="258" t="str">
        <f t="shared" si="2"/>
        <v xml:space="preserve"> </v>
      </c>
      <c r="AE18" s="258">
        <f t="shared" si="3"/>
        <v>18</v>
      </c>
      <c r="AF18" s="258" t="str">
        <f t="shared" si="4"/>
        <v xml:space="preserve"> </v>
      </c>
      <c r="AG18" s="258" t="str">
        <f t="shared" si="5"/>
        <v xml:space="preserve"> </v>
      </c>
    </row>
    <row r="19" spans="1:33" ht="15.75" customHeight="1" x14ac:dyDescent="0.25">
      <c r="A19" s="29" t="s">
        <v>90</v>
      </c>
      <c r="B19" s="31">
        <v>5</v>
      </c>
      <c r="C19" s="34" t="s">
        <v>69</v>
      </c>
      <c r="D19" s="34">
        <v>2017</v>
      </c>
      <c r="E19" s="36">
        <v>0</v>
      </c>
      <c r="F19" s="36">
        <v>2</v>
      </c>
      <c r="G19" s="36">
        <v>44</v>
      </c>
      <c r="H19" s="38">
        <v>68</v>
      </c>
      <c r="I19" s="36">
        <v>114</v>
      </c>
      <c r="J19" s="9"/>
      <c r="K19" s="39">
        <f t="shared" ref="K19:M19" si="40">K16*4</f>
        <v>32</v>
      </c>
      <c r="L19" s="40">
        <f t="shared" si="40"/>
        <v>36</v>
      </c>
      <c r="M19" s="39">
        <f t="shared" si="40"/>
        <v>80</v>
      </c>
      <c r="N19" s="43"/>
      <c r="O19" s="39">
        <f t="shared" si="34"/>
        <v>2</v>
      </c>
      <c r="P19" s="40">
        <f t="shared" ref="P19:Q19" si="41">H19+P18</f>
        <v>81</v>
      </c>
      <c r="Q19" s="39">
        <f t="shared" si="41"/>
        <v>146</v>
      </c>
      <c r="R19" s="10"/>
      <c r="S19" s="266">
        <f t="shared" ref="S19:U19" si="42">O19/K19</f>
        <v>6.25E-2</v>
      </c>
      <c r="T19" s="264">
        <f t="shared" si="42"/>
        <v>2.25</v>
      </c>
      <c r="U19" s="264">
        <f t="shared" si="42"/>
        <v>1.825</v>
      </c>
      <c r="X19" s="14"/>
      <c r="Y19" s="14" t="s">
        <v>1356</v>
      </c>
      <c r="Z19" s="258" t="s">
        <v>1356</v>
      </c>
      <c r="AA19" s="13"/>
      <c r="AB19" s="258" t="s">
        <v>1356</v>
      </c>
      <c r="AD19" s="258" t="str">
        <f t="shared" si="2"/>
        <v xml:space="preserve"> </v>
      </c>
      <c r="AE19" s="258" t="str">
        <f t="shared" si="3"/>
        <v xml:space="preserve"> </v>
      </c>
      <c r="AF19" s="258">
        <f t="shared" si="4"/>
        <v>114</v>
      </c>
      <c r="AG19" s="258" t="str">
        <f t="shared" si="5"/>
        <v xml:space="preserve"> </v>
      </c>
    </row>
    <row r="20" spans="1:33" ht="15.75" customHeight="1" x14ac:dyDescent="0.25">
      <c r="A20" s="29" t="s">
        <v>90</v>
      </c>
      <c r="B20" s="31">
        <v>5</v>
      </c>
      <c r="C20" s="34" t="s">
        <v>69</v>
      </c>
      <c r="D20" s="34">
        <v>2018</v>
      </c>
      <c r="E20" s="36">
        <v>1</v>
      </c>
      <c r="F20" s="36">
        <v>4</v>
      </c>
      <c r="G20" s="36">
        <v>86</v>
      </c>
      <c r="H20" s="38">
        <v>66</v>
      </c>
      <c r="I20" s="36">
        <v>157</v>
      </c>
      <c r="J20" s="9"/>
      <c r="K20" s="39">
        <f t="shared" ref="K20:M20" si="43">K16*5</f>
        <v>40</v>
      </c>
      <c r="L20" s="40">
        <f t="shared" si="43"/>
        <v>45</v>
      </c>
      <c r="M20" s="39">
        <f t="shared" si="43"/>
        <v>100</v>
      </c>
      <c r="N20" s="43"/>
      <c r="O20" s="39">
        <f t="shared" si="34"/>
        <v>7</v>
      </c>
      <c r="P20" s="40">
        <f t="shared" ref="P20:Q20" si="44">H20+P19</f>
        <v>147</v>
      </c>
      <c r="Q20" s="39">
        <f t="shared" si="44"/>
        <v>303</v>
      </c>
      <c r="R20" s="10"/>
      <c r="S20" s="266">
        <f t="shared" ref="S20:U20" si="45">O20/K20</f>
        <v>0.17499999999999999</v>
      </c>
      <c r="T20" s="264">
        <f t="shared" si="45"/>
        <v>3.2666666666666666</v>
      </c>
      <c r="U20" s="264">
        <f t="shared" si="45"/>
        <v>3.03</v>
      </c>
      <c r="V20" s="261" t="s">
        <v>90</v>
      </c>
      <c r="X20" s="14">
        <v>100</v>
      </c>
      <c r="Y20" s="14">
        <v>100</v>
      </c>
      <c r="Z20" s="258">
        <v>303</v>
      </c>
      <c r="AA20" s="13"/>
      <c r="AB20" s="258" t="s">
        <v>1356</v>
      </c>
      <c r="AD20" s="258" t="str">
        <f t="shared" si="2"/>
        <v xml:space="preserve"> </v>
      </c>
      <c r="AE20" s="258" t="str">
        <f t="shared" si="3"/>
        <v xml:space="preserve"> </v>
      </c>
      <c r="AF20" s="258" t="str">
        <f t="shared" si="4"/>
        <v xml:space="preserve"> </v>
      </c>
      <c r="AG20" s="258">
        <f t="shared" si="5"/>
        <v>157</v>
      </c>
    </row>
    <row r="21" spans="1:33" ht="15.75" customHeight="1" x14ac:dyDescent="0.25">
      <c r="A21" s="29"/>
      <c r="B21" s="31"/>
      <c r="C21" s="34"/>
      <c r="D21" s="34"/>
      <c r="E21" s="36"/>
      <c r="F21" s="36"/>
      <c r="G21" s="36"/>
      <c r="H21" s="38"/>
      <c r="I21" s="36"/>
      <c r="J21" s="9"/>
      <c r="K21" s="39"/>
      <c r="L21" s="40"/>
      <c r="M21" s="39"/>
      <c r="N21" s="43"/>
      <c r="O21" s="39"/>
      <c r="P21" s="40"/>
      <c r="Q21" s="39"/>
      <c r="R21" s="10"/>
      <c r="X21" s="14"/>
      <c r="Y21" s="14" t="s">
        <v>1356</v>
      </c>
      <c r="Z21" s="258" t="s">
        <v>1356</v>
      </c>
      <c r="AA21" s="13"/>
      <c r="AB21" s="258" t="s">
        <v>1356</v>
      </c>
      <c r="AD21" s="258" t="str">
        <f t="shared" si="2"/>
        <v xml:space="preserve"> </v>
      </c>
      <c r="AE21" s="258" t="str">
        <f t="shared" si="3"/>
        <v xml:space="preserve"> </v>
      </c>
      <c r="AF21" s="258" t="str">
        <f t="shared" si="4"/>
        <v xml:space="preserve"> </v>
      </c>
      <c r="AG21" s="258" t="str">
        <f t="shared" si="5"/>
        <v xml:space="preserve"> </v>
      </c>
    </row>
    <row r="22" spans="1:33" ht="15.75" customHeight="1" x14ac:dyDescent="0.25">
      <c r="A22" s="29" t="s">
        <v>109</v>
      </c>
      <c r="B22" s="31">
        <v>8</v>
      </c>
      <c r="C22" s="34" t="s">
        <v>110</v>
      </c>
      <c r="D22" s="34">
        <v>2014</v>
      </c>
      <c r="E22" s="36">
        <v>0</v>
      </c>
      <c r="F22" s="36">
        <v>58</v>
      </c>
      <c r="G22" s="36">
        <v>4</v>
      </c>
      <c r="H22" s="38">
        <v>31</v>
      </c>
      <c r="I22" s="36">
        <v>93</v>
      </c>
      <c r="J22" s="9"/>
      <c r="K22" s="39">
        <f>ROUND((2495+1720)/8,0)</f>
        <v>527</v>
      </c>
      <c r="L22" s="40">
        <f>ROUND(4395/8,0)</f>
        <v>549</v>
      </c>
      <c r="M22" s="39">
        <f>ROUND(10320/8,0)</f>
        <v>1290</v>
      </c>
      <c r="N22" s="43"/>
      <c r="O22" s="39">
        <f>E22+F22</f>
        <v>58</v>
      </c>
      <c r="P22" s="40">
        <f t="shared" ref="P22:Q22" si="46">H22</f>
        <v>31</v>
      </c>
      <c r="Q22" s="39">
        <f t="shared" si="46"/>
        <v>93</v>
      </c>
      <c r="R22" s="10"/>
      <c r="S22" s="266">
        <f t="shared" ref="S22:U22" si="47">O22/K22</f>
        <v>0.11005692599620494</v>
      </c>
      <c r="T22" s="264">
        <f t="shared" si="47"/>
        <v>5.6466302367941715E-2</v>
      </c>
      <c r="U22" s="264">
        <f t="shared" si="47"/>
        <v>7.2093023255813959E-2</v>
      </c>
      <c r="X22" s="14"/>
      <c r="Y22" s="14" t="s">
        <v>1356</v>
      </c>
      <c r="Z22" s="258" t="s">
        <v>1356</v>
      </c>
      <c r="AA22" s="13"/>
      <c r="AB22" s="258">
        <v>1290</v>
      </c>
      <c r="AD22" s="258" t="str">
        <f t="shared" si="2"/>
        <v xml:space="preserve"> </v>
      </c>
      <c r="AE22" s="258" t="str">
        <f t="shared" si="3"/>
        <v xml:space="preserve"> </v>
      </c>
      <c r="AF22" s="258" t="str">
        <f t="shared" si="4"/>
        <v xml:space="preserve"> </v>
      </c>
      <c r="AG22" s="258" t="str">
        <f t="shared" si="5"/>
        <v xml:space="preserve"> </v>
      </c>
    </row>
    <row r="23" spans="1:33" ht="15.75" customHeight="1" x14ac:dyDescent="0.25">
      <c r="A23" s="29" t="s">
        <v>109</v>
      </c>
      <c r="B23" s="31">
        <v>8</v>
      </c>
      <c r="C23" s="34" t="s">
        <v>110</v>
      </c>
      <c r="D23" s="34">
        <v>2015</v>
      </c>
      <c r="E23" s="36">
        <v>28</v>
      </c>
      <c r="F23" s="36">
        <v>36</v>
      </c>
      <c r="G23" s="36">
        <v>0</v>
      </c>
      <c r="H23" s="38">
        <v>536</v>
      </c>
      <c r="I23" s="36">
        <v>600</v>
      </c>
      <c r="J23" s="9"/>
      <c r="K23" s="39">
        <f t="shared" ref="K23:M23" si="48">K22*2</f>
        <v>1054</v>
      </c>
      <c r="L23" s="40">
        <f t="shared" si="48"/>
        <v>1098</v>
      </c>
      <c r="M23" s="39">
        <f t="shared" si="48"/>
        <v>2580</v>
      </c>
      <c r="N23" s="43"/>
      <c r="O23" s="39">
        <f t="shared" ref="O23:O26" si="49">E23+F23+O22</f>
        <v>122</v>
      </c>
      <c r="P23" s="40">
        <f t="shared" ref="P23:Q23" si="50">H23+P22</f>
        <v>567</v>
      </c>
      <c r="Q23" s="39">
        <f t="shared" si="50"/>
        <v>693</v>
      </c>
      <c r="R23" s="10"/>
      <c r="S23" s="266">
        <f t="shared" ref="S23:U23" si="51">O23/K23</f>
        <v>0.1157495256166983</v>
      </c>
      <c r="T23" s="264">
        <f t="shared" si="51"/>
        <v>0.51639344262295084</v>
      </c>
      <c r="U23" s="264">
        <f t="shared" si="51"/>
        <v>0.2686046511627907</v>
      </c>
      <c r="X23" s="14"/>
      <c r="Y23" s="14" t="s">
        <v>1356</v>
      </c>
      <c r="Z23" s="258" t="s">
        <v>1356</v>
      </c>
      <c r="AA23" s="13"/>
      <c r="AD23" s="258">
        <f t="shared" si="2"/>
        <v>600</v>
      </c>
      <c r="AE23" s="258" t="str">
        <f t="shared" si="3"/>
        <v xml:space="preserve"> </v>
      </c>
      <c r="AF23" s="258" t="str">
        <f t="shared" si="4"/>
        <v xml:space="preserve"> </v>
      </c>
      <c r="AG23" s="258" t="str">
        <f t="shared" si="5"/>
        <v xml:space="preserve"> </v>
      </c>
    </row>
    <row r="24" spans="1:33" ht="15.75" customHeight="1" x14ac:dyDescent="0.25">
      <c r="A24" s="29" t="s">
        <v>109</v>
      </c>
      <c r="B24" s="31">
        <v>8</v>
      </c>
      <c r="C24" s="34" t="s">
        <v>110</v>
      </c>
      <c r="D24" s="34">
        <v>2016</v>
      </c>
      <c r="E24" s="36">
        <v>23</v>
      </c>
      <c r="F24" s="36">
        <v>14</v>
      </c>
      <c r="G24" s="36">
        <v>75</v>
      </c>
      <c r="H24" s="38">
        <v>559</v>
      </c>
      <c r="I24" s="36">
        <v>671</v>
      </c>
      <c r="J24" s="9"/>
      <c r="K24" s="39">
        <f t="shared" ref="K24:M24" si="52">K22*3</f>
        <v>1581</v>
      </c>
      <c r="L24" s="40">
        <f t="shared" si="52"/>
        <v>1647</v>
      </c>
      <c r="M24" s="39">
        <f t="shared" si="52"/>
        <v>3870</v>
      </c>
      <c r="N24" s="43"/>
      <c r="O24" s="39">
        <f t="shared" si="49"/>
        <v>159</v>
      </c>
      <c r="P24" s="40">
        <f t="shared" ref="P24:Q24" si="53">H24+P23</f>
        <v>1126</v>
      </c>
      <c r="Q24" s="39">
        <f t="shared" si="53"/>
        <v>1364</v>
      </c>
      <c r="R24" s="10"/>
      <c r="S24" s="266">
        <f t="shared" ref="S24:U24" si="54">O24/K24</f>
        <v>0.10056925996204934</v>
      </c>
      <c r="T24" s="264">
        <f t="shared" si="54"/>
        <v>0.68366727383120829</v>
      </c>
      <c r="U24" s="264">
        <f t="shared" si="54"/>
        <v>0.35245478036175709</v>
      </c>
      <c r="X24" s="14"/>
      <c r="Y24" s="14" t="s">
        <v>1356</v>
      </c>
      <c r="Z24" s="258" t="s">
        <v>1356</v>
      </c>
      <c r="AA24" s="13"/>
      <c r="AB24" s="258" t="s">
        <v>1356</v>
      </c>
      <c r="AD24" s="258" t="str">
        <f t="shared" si="2"/>
        <v xml:space="preserve"> </v>
      </c>
      <c r="AE24" s="258">
        <f t="shared" si="3"/>
        <v>671</v>
      </c>
      <c r="AF24" s="258" t="str">
        <f t="shared" si="4"/>
        <v xml:space="preserve"> </v>
      </c>
      <c r="AG24" s="258" t="str">
        <f t="shared" si="5"/>
        <v xml:space="preserve"> </v>
      </c>
    </row>
    <row r="25" spans="1:33" ht="15.75" customHeight="1" x14ac:dyDescent="0.25">
      <c r="A25" s="29" t="s">
        <v>109</v>
      </c>
      <c r="B25" s="31">
        <v>8</v>
      </c>
      <c r="C25" s="34" t="s">
        <v>110</v>
      </c>
      <c r="D25" s="34">
        <v>2017</v>
      </c>
      <c r="E25" s="36">
        <v>0</v>
      </c>
      <c r="F25" s="36">
        <v>12</v>
      </c>
      <c r="G25" s="36">
        <v>287</v>
      </c>
      <c r="H25" s="38">
        <v>531</v>
      </c>
      <c r="I25" s="36">
        <v>830</v>
      </c>
      <c r="J25" s="9"/>
      <c r="K25" s="39">
        <f t="shared" ref="K25:M25" si="55">K22*4</f>
        <v>2108</v>
      </c>
      <c r="L25" s="40">
        <f t="shared" si="55"/>
        <v>2196</v>
      </c>
      <c r="M25" s="39">
        <f t="shared" si="55"/>
        <v>5160</v>
      </c>
      <c r="N25" s="43"/>
      <c r="O25" s="39">
        <f t="shared" si="49"/>
        <v>171</v>
      </c>
      <c r="P25" s="40">
        <f t="shared" ref="P25:Q25" si="56">H25+P24</f>
        <v>1657</v>
      </c>
      <c r="Q25" s="39">
        <f t="shared" si="56"/>
        <v>2194</v>
      </c>
      <c r="R25" s="10"/>
      <c r="S25" s="266">
        <f t="shared" ref="S25:U25" si="57">O25/K25</f>
        <v>8.1119544592030357E-2</v>
      </c>
      <c r="T25" s="264">
        <f t="shared" si="57"/>
        <v>0.75455373406193083</v>
      </c>
      <c r="U25" s="264">
        <f t="shared" si="57"/>
        <v>0.42519379844961241</v>
      </c>
      <c r="X25" s="14"/>
      <c r="Y25" s="14" t="s">
        <v>1356</v>
      </c>
      <c r="Z25" s="258" t="s">
        <v>1356</v>
      </c>
      <c r="AA25" s="13"/>
      <c r="AB25" s="258" t="s">
        <v>1356</v>
      </c>
      <c r="AD25" s="258" t="str">
        <f t="shared" si="2"/>
        <v xml:space="preserve"> </v>
      </c>
      <c r="AE25" s="258" t="str">
        <f t="shared" si="3"/>
        <v xml:space="preserve"> </v>
      </c>
      <c r="AF25" s="258">
        <f t="shared" si="4"/>
        <v>830</v>
      </c>
      <c r="AG25" s="258" t="str">
        <f t="shared" si="5"/>
        <v xml:space="preserve"> </v>
      </c>
    </row>
    <row r="26" spans="1:33" ht="15.75" customHeight="1" x14ac:dyDescent="0.25">
      <c r="A26" s="29" t="s">
        <v>109</v>
      </c>
      <c r="B26" s="31">
        <v>8</v>
      </c>
      <c r="C26" s="34" t="s">
        <v>110</v>
      </c>
      <c r="D26" s="34">
        <v>2018</v>
      </c>
      <c r="E26" s="36">
        <v>0</v>
      </c>
      <c r="F26" s="36">
        <v>11</v>
      </c>
      <c r="G26" s="36">
        <v>72</v>
      </c>
      <c r="H26" s="38">
        <v>197</v>
      </c>
      <c r="I26" s="36">
        <v>280</v>
      </c>
      <c r="J26" s="9"/>
      <c r="K26" s="39">
        <f t="shared" ref="K26:M26" si="58">K22*5</f>
        <v>2635</v>
      </c>
      <c r="L26" s="40">
        <f t="shared" si="58"/>
        <v>2745</v>
      </c>
      <c r="M26" s="39">
        <f t="shared" si="58"/>
        <v>6450</v>
      </c>
      <c r="N26" s="43"/>
      <c r="O26" s="39">
        <f t="shared" si="49"/>
        <v>182</v>
      </c>
      <c r="P26" s="40">
        <f t="shared" ref="P26:Q26" si="59">H26+P25</f>
        <v>1854</v>
      </c>
      <c r="Q26" s="39">
        <f t="shared" si="59"/>
        <v>2474</v>
      </c>
      <c r="R26" s="10"/>
      <c r="S26" s="266">
        <f t="shared" ref="S26:U26" si="60">O26/K26</f>
        <v>6.9070208728652757E-2</v>
      </c>
      <c r="T26" s="264">
        <f t="shared" si="60"/>
        <v>0.67540983606557381</v>
      </c>
      <c r="U26" s="264">
        <f t="shared" si="60"/>
        <v>0.38356589147286824</v>
      </c>
      <c r="V26" s="261" t="s">
        <v>109</v>
      </c>
      <c r="X26" s="14">
        <v>10320</v>
      </c>
      <c r="Y26" s="14">
        <v>6450</v>
      </c>
      <c r="Z26" s="258">
        <v>2474</v>
      </c>
      <c r="AA26" s="13"/>
      <c r="AB26" s="258" t="s">
        <v>1356</v>
      </c>
      <c r="AD26" s="258" t="str">
        <f t="shared" si="2"/>
        <v xml:space="preserve"> </v>
      </c>
      <c r="AE26" s="258" t="str">
        <f t="shared" si="3"/>
        <v xml:space="preserve"> </v>
      </c>
      <c r="AF26" s="258" t="str">
        <f t="shared" si="4"/>
        <v xml:space="preserve"> </v>
      </c>
      <c r="AG26" s="258">
        <f t="shared" si="5"/>
        <v>280</v>
      </c>
    </row>
    <row r="27" spans="1:33" ht="15.75" customHeight="1" x14ac:dyDescent="0.25">
      <c r="A27" s="29"/>
      <c r="B27" s="31"/>
      <c r="C27" s="34"/>
      <c r="D27" s="34"/>
      <c r="E27" s="36"/>
      <c r="F27" s="36"/>
      <c r="G27" s="36"/>
      <c r="H27" s="38"/>
      <c r="I27" s="36"/>
      <c r="J27" s="9"/>
      <c r="K27" s="39"/>
      <c r="L27" s="40"/>
      <c r="M27" s="39"/>
      <c r="N27" s="43"/>
      <c r="O27" s="39"/>
      <c r="P27" s="40"/>
      <c r="Q27" s="39"/>
      <c r="R27" s="10"/>
      <c r="X27" s="14"/>
      <c r="Y27" s="14" t="s">
        <v>1356</v>
      </c>
      <c r="Z27" s="258" t="s">
        <v>1356</v>
      </c>
      <c r="AA27" s="13"/>
      <c r="AB27" s="258" t="s">
        <v>1356</v>
      </c>
      <c r="AD27" s="258" t="str">
        <f t="shared" si="2"/>
        <v xml:space="preserve"> </v>
      </c>
      <c r="AE27" s="258" t="str">
        <f t="shared" si="3"/>
        <v xml:space="preserve"> </v>
      </c>
      <c r="AF27" s="258" t="str">
        <f t="shared" si="4"/>
        <v xml:space="preserve"> </v>
      </c>
      <c r="AG27" s="258" t="str">
        <f t="shared" si="5"/>
        <v xml:space="preserve"> </v>
      </c>
    </row>
    <row r="28" spans="1:33" ht="15.75" customHeight="1" x14ac:dyDescent="0.25">
      <c r="A28" s="29" t="s">
        <v>118</v>
      </c>
      <c r="B28" s="31">
        <v>5</v>
      </c>
      <c r="C28" s="34" t="s">
        <v>69</v>
      </c>
      <c r="D28" s="34">
        <v>2014</v>
      </c>
      <c r="E28" s="36">
        <v>6</v>
      </c>
      <c r="F28" s="36">
        <v>13</v>
      </c>
      <c r="G28" s="36">
        <v>17</v>
      </c>
      <c r="H28" s="38">
        <v>38</v>
      </c>
      <c r="I28" s="36">
        <v>74</v>
      </c>
      <c r="J28" s="9"/>
      <c r="K28" s="39">
        <f>ROUND((280+200)/5,0)</f>
        <v>96</v>
      </c>
      <c r="L28" s="40">
        <f>ROUND(540/5,0)</f>
        <v>108</v>
      </c>
      <c r="M28" s="39">
        <f>ROUND(1240/5,0)</f>
        <v>248</v>
      </c>
      <c r="N28" s="43"/>
      <c r="O28" s="39">
        <f>E28+F28</f>
        <v>19</v>
      </c>
      <c r="P28" s="40">
        <f t="shared" ref="P28:Q28" si="61">H28</f>
        <v>38</v>
      </c>
      <c r="Q28" s="39">
        <f t="shared" si="61"/>
        <v>74</v>
      </c>
      <c r="R28" s="10"/>
      <c r="S28" s="266">
        <f t="shared" ref="S28:U28" si="62">O28/K28</f>
        <v>0.19791666666666666</v>
      </c>
      <c r="T28" s="264">
        <f t="shared" si="62"/>
        <v>0.35185185185185186</v>
      </c>
      <c r="U28" s="264">
        <f t="shared" si="62"/>
        <v>0.29838709677419356</v>
      </c>
      <c r="X28" s="14"/>
      <c r="Y28" s="14" t="s">
        <v>1356</v>
      </c>
      <c r="Z28" s="258" t="s">
        <v>1356</v>
      </c>
      <c r="AA28" s="13"/>
      <c r="AB28" s="258">
        <v>248</v>
      </c>
      <c r="AD28" s="258" t="str">
        <f t="shared" si="2"/>
        <v xml:space="preserve"> </v>
      </c>
      <c r="AE28" s="258" t="str">
        <f t="shared" si="3"/>
        <v xml:space="preserve"> </v>
      </c>
      <c r="AF28" s="258" t="str">
        <f t="shared" si="4"/>
        <v xml:space="preserve"> </v>
      </c>
      <c r="AG28" s="258" t="str">
        <f t="shared" si="5"/>
        <v xml:space="preserve"> </v>
      </c>
    </row>
    <row r="29" spans="1:33" ht="15.75" customHeight="1" x14ac:dyDescent="0.25">
      <c r="A29" s="29" t="s">
        <v>118</v>
      </c>
      <c r="B29" s="31">
        <v>5</v>
      </c>
      <c r="C29" s="34" t="s">
        <v>69</v>
      </c>
      <c r="D29" s="34">
        <v>2015</v>
      </c>
      <c r="E29" s="36">
        <v>8</v>
      </c>
      <c r="F29" s="36">
        <v>15</v>
      </c>
      <c r="G29" s="36">
        <v>45</v>
      </c>
      <c r="H29" s="38">
        <v>49</v>
      </c>
      <c r="I29" s="36">
        <v>117</v>
      </c>
      <c r="J29" s="9"/>
      <c r="K29" s="39">
        <f t="shared" ref="K29:M29" si="63">K28*2</f>
        <v>192</v>
      </c>
      <c r="L29" s="40">
        <f t="shared" si="63"/>
        <v>216</v>
      </c>
      <c r="M29" s="39">
        <f t="shared" si="63"/>
        <v>496</v>
      </c>
      <c r="N29" s="43"/>
      <c r="O29" s="39">
        <f t="shared" ref="O29:O32" si="64">E29+F29+O28</f>
        <v>42</v>
      </c>
      <c r="P29" s="40">
        <f t="shared" ref="P29:Q29" si="65">H29+P28</f>
        <v>87</v>
      </c>
      <c r="Q29" s="39">
        <f t="shared" si="65"/>
        <v>191</v>
      </c>
      <c r="R29" s="10"/>
      <c r="S29" s="266">
        <f t="shared" ref="S29:U29" si="66">O29/K29</f>
        <v>0.21875</v>
      </c>
      <c r="T29" s="264">
        <f t="shared" si="66"/>
        <v>0.40277777777777779</v>
      </c>
      <c r="U29" s="264">
        <f t="shared" si="66"/>
        <v>0.38508064516129031</v>
      </c>
      <c r="X29" s="14"/>
      <c r="Y29" s="14" t="s">
        <v>1356</v>
      </c>
      <c r="Z29" s="258" t="s">
        <v>1356</v>
      </c>
      <c r="AA29" s="13"/>
      <c r="AD29" s="258">
        <f t="shared" si="2"/>
        <v>117</v>
      </c>
      <c r="AE29" s="258" t="str">
        <f t="shared" si="3"/>
        <v xml:space="preserve"> </v>
      </c>
      <c r="AF29" s="258" t="str">
        <f t="shared" si="4"/>
        <v xml:space="preserve"> </v>
      </c>
      <c r="AG29" s="258" t="str">
        <f t="shared" si="5"/>
        <v xml:space="preserve"> </v>
      </c>
    </row>
    <row r="30" spans="1:33" ht="15.75" customHeight="1" x14ac:dyDescent="0.25">
      <c r="A30" s="29" t="s">
        <v>118</v>
      </c>
      <c r="B30" s="31">
        <v>5</v>
      </c>
      <c r="C30" s="34" t="s">
        <v>69</v>
      </c>
      <c r="D30" s="34">
        <v>2016</v>
      </c>
      <c r="E30" s="36">
        <v>60</v>
      </c>
      <c r="F30" s="36">
        <v>36</v>
      </c>
      <c r="G30" s="36">
        <v>104</v>
      </c>
      <c r="H30" s="38">
        <v>48</v>
      </c>
      <c r="I30" s="36">
        <v>248</v>
      </c>
      <c r="J30" s="9"/>
      <c r="K30" s="39">
        <f t="shared" ref="K30:M30" si="67">K28*3</f>
        <v>288</v>
      </c>
      <c r="L30" s="40">
        <f t="shared" si="67"/>
        <v>324</v>
      </c>
      <c r="M30" s="39">
        <f t="shared" si="67"/>
        <v>744</v>
      </c>
      <c r="N30" s="43"/>
      <c r="O30" s="39">
        <f t="shared" si="64"/>
        <v>138</v>
      </c>
      <c r="P30" s="40">
        <f t="shared" ref="P30:Q30" si="68">H30+P29</f>
        <v>135</v>
      </c>
      <c r="Q30" s="39">
        <f t="shared" si="68"/>
        <v>439</v>
      </c>
      <c r="R30" s="10"/>
      <c r="S30" s="266">
        <f t="shared" ref="S30:U30" si="69">O30/K30</f>
        <v>0.47916666666666669</v>
      </c>
      <c r="T30" s="264">
        <f t="shared" si="69"/>
        <v>0.41666666666666669</v>
      </c>
      <c r="U30" s="264">
        <f t="shared" si="69"/>
        <v>0.59005376344086025</v>
      </c>
      <c r="X30" s="14"/>
      <c r="Y30" s="14" t="s">
        <v>1356</v>
      </c>
      <c r="Z30" s="258" t="s">
        <v>1356</v>
      </c>
      <c r="AA30" s="13"/>
      <c r="AB30" s="258" t="s">
        <v>1356</v>
      </c>
      <c r="AD30" s="258" t="str">
        <f t="shared" si="2"/>
        <v xml:space="preserve"> </v>
      </c>
      <c r="AE30" s="258">
        <f t="shared" si="3"/>
        <v>248</v>
      </c>
      <c r="AF30" s="258" t="str">
        <f t="shared" si="4"/>
        <v xml:space="preserve"> </v>
      </c>
      <c r="AG30" s="258" t="str">
        <f t="shared" si="5"/>
        <v xml:space="preserve"> </v>
      </c>
    </row>
    <row r="31" spans="1:33" ht="15.75" customHeight="1" x14ac:dyDescent="0.25">
      <c r="A31" s="29" t="s">
        <v>118</v>
      </c>
      <c r="B31" s="31">
        <v>5</v>
      </c>
      <c r="C31" s="34" t="s">
        <v>69</v>
      </c>
      <c r="D31" s="34">
        <v>2017</v>
      </c>
      <c r="E31" s="36">
        <v>25</v>
      </c>
      <c r="F31" s="36">
        <v>27</v>
      </c>
      <c r="G31" s="36">
        <v>29</v>
      </c>
      <c r="H31" s="38">
        <v>77</v>
      </c>
      <c r="I31" s="36">
        <v>158</v>
      </c>
      <c r="J31" s="9"/>
      <c r="K31" s="39">
        <f t="shared" ref="K31:M31" si="70">K28*4</f>
        <v>384</v>
      </c>
      <c r="L31" s="40">
        <f t="shared" si="70"/>
        <v>432</v>
      </c>
      <c r="M31" s="39">
        <f t="shared" si="70"/>
        <v>992</v>
      </c>
      <c r="N31" s="43"/>
      <c r="O31" s="39">
        <f t="shared" si="64"/>
        <v>190</v>
      </c>
      <c r="P31" s="40">
        <f t="shared" ref="P31:Q31" si="71">H31+P30</f>
        <v>212</v>
      </c>
      <c r="Q31" s="39">
        <f t="shared" si="71"/>
        <v>597</v>
      </c>
      <c r="R31" s="10"/>
      <c r="S31" s="266">
        <f t="shared" ref="S31:U31" si="72">O31/K31</f>
        <v>0.49479166666666669</v>
      </c>
      <c r="T31" s="264">
        <f t="shared" si="72"/>
        <v>0.49074074074074076</v>
      </c>
      <c r="U31" s="264">
        <f t="shared" si="72"/>
        <v>0.60181451612903225</v>
      </c>
      <c r="X31" s="14"/>
      <c r="Y31" s="14" t="s">
        <v>1356</v>
      </c>
      <c r="Z31" s="258" t="s">
        <v>1356</v>
      </c>
      <c r="AA31" s="13"/>
      <c r="AB31" s="258" t="s">
        <v>1356</v>
      </c>
      <c r="AD31" s="258" t="str">
        <f t="shared" si="2"/>
        <v xml:space="preserve"> </v>
      </c>
      <c r="AE31" s="258" t="str">
        <f t="shared" si="3"/>
        <v xml:space="preserve"> </v>
      </c>
      <c r="AF31" s="258">
        <f t="shared" si="4"/>
        <v>158</v>
      </c>
      <c r="AG31" s="258" t="str">
        <f t="shared" si="5"/>
        <v xml:space="preserve"> </v>
      </c>
    </row>
    <row r="32" spans="1:33" ht="15.75" customHeight="1" x14ac:dyDescent="0.25">
      <c r="A32" s="29" t="s">
        <v>118</v>
      </c>
      <c r="B32" s="31">
        <v>5</v>
      </c>
      <c r="C32" s="34" t="s">
        <v>69</v>
      </c>
      <c r="D32" s="34">
        <v>2018</v>
      </c>
      <c r="E32" s="36">
        <v>2</v>
      </c>
      <c r="F32" s="36">
        <v>0</v>
      </c>
      <c r="G32" s="36">
        <v>24</v>
      </c>
      <c r="H32" s="38">
        <v>39</v>
      </c>
      <c r="I32" s="36">
        <v>65</v>
      </c>
      <c r="J32" s="9"/>
      <c r="K32" s="39">
        <f t="shared" ref="K32:M32" si="73">K28*5</f>
        <v>480</v>
      </c>
      <c r="L32" s="40">
        <f t="shared" si="73"/>
        <v>540</v>
      </c>
      <c r="M32" s="39">
        <f t="shared" si="73"/>
        <v>1240</v>
      </c>
      <c r="N32" s="43"/>
      <c r="O32" s="39">
        <f t="shared" si="64"/>
        <v>192</v>
      </c>
      <c r="P32" s="40">
        <f t="shared" ref="P32:Q32" si="74">H32+P31</f>
        <v>251</v>
      </c>
      <c r="Q32" s="39">
        <f t="shared" si="74"/>
        <v>662</v>
      </c>
      <c r="R32" s="10"/>
      <c r="S32" s="266">
        <f t="shared" ref="S32:U32" si="75">O32/K32</f>
        <v>0.4</v>
      </c>
      <c r="T32" s="264">
        <f t="shared" si="75"/>
        <v>0.46481481481481479</v>
      </c>
      <c r="U32" s="264">
        <f t="shared" si="75"/>
        <v>0.53387096774193543</v>
      </c>
      <c r="V32" s="261" t="s">
        <v>118</v>
      </c>
      <c r="X32" s="14">
        <v>1240</v>
      </c>
      <c r="Y32" s="14">
        <v>1240</v>
      </c>
      <c r="Z32" s="258">
        <v>662</v>
      </c>
      <c r="AA32" s="13"/>
      <c r="AB32" s="258" t="s">
        <v>1356</v>
      </c>
      <c r="AD32" s="258" t="str">
        <f t="shared" si="2"/>
        <v xml:space="preserve"> </v>
      </c>
      <c r="AE32" s="258" t="str">
        <f t="shared" si="3"/>
        <v xml:space="preserve"> </v>
      </c>
      <c r="AF32" s="258" t="str">
        <f t="shared" si="4"/>
        <v xml:space="preserve"> </v>
      </c>
      <c r="AG32" s="258">
        <f t="shared" si="5"/>
        <v>65</v>
      </c>
    </row>
    <row r="33" spans="1:33" ht="15.75" customHeight="1" x14ac:dyDescent="0.25">
      <c r="A33" s="29"/>
      <c r="B33" s="31"/>
      <c r="C33" s="34"/>
      <c r="D33" s="34"/>
      <c r="E33" s="36"/>
      <c r="F33" s="36"/>
      <c r="G33" s="36"/>
      <c r="H33" s="38"/>
      <c r="I33" s="36"/>
      <c r="J33" s="9"/>
      <c r="K33" s="39"/>
      <c r="L33" s="40"/>
      <c r="M33" s="39"/>
      <c r="N33" s="43"/>
      <c r="O33" s="39"/>
      <c r="P33" s="40"/>
      <c r="Q33" s="39"/>
      <c r="R33" s="10"/>
      <c r="X33" s="14"/>
      <c r="Y33" s="14" t="s">
        <v>1356</v>
      </c>
      <c r="Z33" s="258" t="s">
        <v>1356</v>
      </c>
      <c r="AA33" s="13"/>
      <c r="AB33" s="258" t="s">
        <v>1356</v>
      </c>
      <c r="AD33" s="258" t="str">
        <f t="shared" si="2"/>
        <v xml:space="preserve"> </v>
      </c>
      <c r="AE33" s="258" t="str">
        <f t="shared" si="3"/>
        <v xml:space="preserve"> </v>
      </c>
      <c r="AF33" s="258" t="str">
        <f t="shared" si="4"/>
        <v xml:space="preserve"> </v>
      </c>
      <c r="AG33" s="258" t="str">
        <f t="shared" si="5"/>
        <v xml:space="preserve"> </v>
      </c>
    </row>
    <row r="34" spans="1:33" ht="15.75" customHeight="1" x14ac:dyDescent="0.25">
      <c r="A34" s="29" t="s">
        <v>119</v>
      </c>
      <c r="B34" s="31">
        <v>5</v>
      </c>
      <c r="C34" s="34" t="s">
        <v>69</v>
      </c>
      <c r="D34" s="34">
        <v>2014</v>
      </c>
      <c r="E34" s="36">
        <v>2</v>
      </c>
      <c r="F34" s="36">
        <v>1</v>
      </c>
      <c r="G34" s="36">
        <v>32</v>
      </c>
      <c r="H34" s="38">
        <v>25</v>
      </c>
      <c r="I34" s="36">
        <v>60</v>
      </c>
      <c r="J34" s="9"/>
      <c r="K34" s="39">
        <f>ROUND((255+205)/5,0)</f>
        <v>92</v>
      </c>
      <c r="L34" s="40">
        <f>ROUND(490/5,0)</f>
        <v>98</v>
      </c>
      <c r="M34" s="39">
        <f>ROUND(1160/5,0)</f>
        <v>232</v>
      </c>
      <c r="N34" s="43"/>
      <c r="O34" s="39">
        <f>E34+F34</f>
        <v>3</v>
      </c>
      <c r="P34" s="40">
        <f t="shared" ref="P34:Q34" si="76">H34</f>
        <v>25</v>
      </c>
      <c r="Q34" s="39">
        <f t="shared" si="76"/>
        <v>60</v>
      </c>
      <c r="R34" s="10"/>
      <c r="S34" s="266">
        <f t="shared" ref="S34:U34" si="77">O34/K34</f>
        <v>3.2608695652173912E-2</v>
      </c>
      <c r="T34" s="264">
        <f t="shared" si="77"/>
        <v>0.25510204081632654</v>
      </c>
      <c r="U34" s="264">
        <f t="shared" si="77"/>
        <v>0.25862068965517243</v>
      </c>
      <c r="X34" s="14"/>
      <c r="Y34" s="14" t="s">
        <v>1356</v>
      </c>
      <c r="Z34" s="258" t="s">
        <v>1356</v>
      </c>
      <c r="AA34" s="13"/>
      <c r="AB34" s="258">
        <v>232</v>
      </c>
      <c r="AD34" s="258" t="str">
        <f t="shared" si="2"/>
        <v xml:space="preserve"> </v>
      </c>
      <c r="AE34" s="258" t="str">
        <f t="shared" si="3"/>
        <v xml:space="preserve"> </v>
      </c>
      <c r="AF34" s="258" t="str">
        <f t="shared" si="4"/>
        <v xml:space="preserve"> </v>
      </c>
      <c r="AG34" s="258" t="str">
        <f t="shared" si="5"/>
        <v xml:space="preserve"> </v>
      </c>
    </row>
    <row r="35" spans="1:33" ht="15.75" customHeight="1" x14ac:dyDescent="0.25">
      <c r="A35" s="29" t="s">
        <v>119</v>
      </c>
      <c r="B35" s="31">
        <v>5</v>
      </c>
      <c r="C35" s="34" t="s">
        <v>69</v>
      </c>
      <c r="D35" s="34">
        <v>2015</v>
      </c>
      <c r="E35" s="36">
        <v>1</v>
      </c>
      <c r="F35" s="36">
        <v>1</v>
      </c>
      <c r="G35" s="36">
        <v>30</v>
      </c>
      <c r="H35" s="38">
        <v>13</v>
      </c>
      <c r="I35" s="36">
        <v>45</v>
      </c>
      <c r="J35" s="9"/>
      <c r="K35" s="39">
        <f t="shared" ref="K35:M35" si="78">K34*2</f>
        <v>184</v>
      </c>
      <c r="L35" s="40">
        <f t="shared" si="78"/>
        <v>196</v>
      </c>
      <c r="M35" s="39">
        <f t="shared" si="78"/>
        <v>464</v>
      </c>
      <c r="N35" s="43"/>
      <c r="O35" s="39">
        <f t="shared" ref="O35:O38" si="79">E35+F35+O34</f>
        <v>5</v>
      </c>
      <c r="P35" s="40">
        <f t="shared" ref="P35:Q35" si="80">H35+P34</f>
        <v>38</v>
      </c>
      <c r="Q35" s="39">
        <f t="shared" si="80"/>
        <v>105</v>
      </c>
      <c r="R35" s="10"/>
      <c r="S35" s="266">
        <f t="shared" ref="S35:U35" si="81">O35/K35</f>
        <v>2.717391304347826E-2</v>
      </c>
      <c r="T35" s="264">
        <f t="shared" si="81"/>
        <v>0.19387755102040816</v>
      </c>
      <c r="U35" s="264">
        <f t="shared" si="81"/>
        <v>0.22629310344827586</v>
      </c>
      <c r="X35" s="14"/>
      <c r="Y35" s="14" t="s">
        <v>1356</v>
      </c>
      <c r="Z35" s="258" t="s">
        <v>1356</v>
      </c>
      <c r="AA35" s="13"/>
      <c r="AD35" s="258">
        <f t="shared" si="2"/>
        <v>45</v>
      </c>
      <c r="AE35" s="258" t="str">
        <f t="shared" si="3"/>
        <v xml:space="preserve"> </v>
      </c>
      <c r="AF35" s="258" t="str">
        <f t="shared" si="4"/>
        <v xml:space="preserve"> </v>
      </c>
      <c r="AG35" s="258" t="str">
        <f t="shared" si="5"/>
        <v xml:space="preserve"> </v>
      </c>
    </row>
    <row r="36" spans="1:33" ht="15.75" customHeight="1" x14ac:dyDescent="0.25">
      <c r="A36" s="29" t="s">
        <v>119</v>
      </c>
      <c r="B36" s="31">
        <v>5</v>
      </c>
      <c r="C36" s="34" t="s">
        <v>69</v>
      </c>
      <c r="D36" s="34">
        <v>2016</v>
      </c>
      <c r="E36" s="36">
        <v>0</v>
      </c>
      <c r="F36" s="36">
        <v>2</v>
      </c>
      <c r="G36" s="36">
        <v>7</v>
      </c>
      <c r="H36" s="38">
        <v>2</v>
      </c>
      <c r="I36" s="36">
        <v>11</v>
      </c>
      <c r="J36" s="9"/>
      <c r="K36" s="39">
        <f t="shared" ref="K36:M36" si="82">K34*3</f>
        <v>276</v>
      </c>
      <c r="L36" s="40">
        <f t="shared" si="82"/>
        <v>294</v>
      </c>
      <c r="M36" s="39">
        <f t="shared" si="82"/>
        <v>696</v>
      </c>
      <c r="N36" s="43"/>
      <c r="O36" s="39">
        <f t="shared" si="79"/>
        <v>7</v>
      </c>
      <c r="P36" s="40">
        <f t="shared" ref="P36:Q36" si="83">H36+P35</f>
        <v>40</v>
      </c>
      <c r="Q36" s="39">
        <f t="shared" si="83"/>
        <v>116</v>
      </c>
      <c r="R36" s="10"/>
      <c r="S36" s="266">
        <f t="shared" ref="S36:U36" si="84">O36/K36</f>
        <v>2.5362318840579712E-2</v>
      </c>
      <c r="T36" s="264">
        <f t="shared" si="84"/>
        <v>0.1360544217687075</v>
      </c>
      <c r="U36" s="264">
        <f t="shared" si="84"/>
        <v>0.16666666666666666</v>
      </c>
      <c r="X36" s="14"/>
      <c r="Y36" s="14" t="s">
        <v>1356</v>
      </c>
      <c r="Z36" s="258" t="s">
        <v>1356</v>
      </c>
      <c r="AA36" s="13"/>
      <c r="AB36" s="258" t="s">
        <v>1356</v>
      </c>
      <c r="AD36" s="258" t="str">
        <f t="shared" si="2"/>
        <v xml:space="preserve"> </v>
      </c>
      <c r="AE36" s="258">
        <f t="shared" si="3"/>
        <v>11</v>
      </c>
      <c r="AF36" s="258" t="str">
        <f t="shared" si="4"/>
        <v xml:space="preserve"> </v>
      </c>
      <c r="AG36" s="258" t="str">
        <f t="shared" si="5"/>
        <v xml:space="preserve"> </v>
      </c>
    </row>
    <row r="37" spans="1:33" ht="15.75" customHeight="1" x14ac:dyDescent="0.25">
      <c r="A37" s="29" t="s">
        <v>119</v>
      </c>
      <c r="B37" s="31">
        <v>5</v>
      </c>
      <c r="C37" s="34" t="s">
        <v>69</v>
      </c>
      <c r="D37" s="34">
        <v>2017</v>
      </c>
      <c r="E37" s="36">
        <v>2</v>
      </c>
      <c r="F37" s="36">
        <v>1</v>
      </c>
      <c r="G37" s="36">
        <v>0</v>
      </c>
      <c r="H37" s="38">
        <v>6</v>
      </c>
      <c r="I37" s="36">
        <v>9</v>
      </c>
      <c r="J37" s="9"/>
      <c r="K37" s="39">
        <f t="shared" ref="K37:M37" si="85">K34*4</f>
        <v>368</v>
      </c>
      <c r="L37" s="40">
        <f t="shared" si="85"/>
        <v>392</v>
      </c>
      <c r="M37" s="39">
        <f t="shared" si="85"/>
        <v>928</v>
      </c>
      <c r="N37" s="43"/>
      <c r="O37" s="39">
        <f t="shared" si="79"/>
        <v>10</v>
      </c>
      <c r="P37" s="40">
        <f t="shared" ref="P37:Q37" si="86">H37+P36</f>
        <v>46</v>
      </c>
      <c r="Q37" s="39">
        <f t="shared" si="86"/>
        <v>125</v>
      </c>
      <c r="R37" s="10"/>
      <c r="S37" s="266">
        <f t="shared" ref="S37:U37" si="87">O37/K37</f>
        <v>2.717391304347826E-2</v>
      </c>
      <c r="T37" s="264">
        <f t="shared" si="87"/>
        <v>0.11734693877551021</v>
      </c>
      <c r="U37" s="264">
        <f t="shared" si="87"/>
        <v>0.13469827586206898</v>
      </c>
      <c r="X37" s="14"/>
      <c r="Y37" s="14" t="s">
        <v>1356</v>
      </c>
      <c r="Z37" s="258" t="s">
        <v>1356</v>
      </c>
      <c r="AA37" s="13"/>
      <c r="AB37" s="258" t="s">
        <v>1356</v>
      </c>
      <c r="AD37" s="258" t="str">
        <f t="shared" si="2"/>
        <v xml:space="preserve"> </v>
      </c>
      <c r="AE37" s="258" t="str">
        <f t="shared" si="3"/>
        <v xml:space="preserve"> </v>
      </c>
      <c r="AF37" s="258">
        <f t="shared" si="4"/>
        <v>9</v>
      </c>
      <c r="AG37" s="258" t="str">
        <f t="shared" si="5"/>
        <v xml:space="preserve"> </v>
      </c>
    </row>
    <row r="38" spans="1:33" ht="15.75" customHeight="1" x14ac:dyDescent="0.25">
      <c r="A38" s="29" t="s">
        <v>119</v>
      </c>
      <c r="B38" s="31">
        <v>5</v>
      </c>
      <c r="C38" s="34" t="s">
        <v>69</v>
      </c>
      <c r="D38" s="34">
        <v>2018</v>
      </c>
      <c r="E38" s="36">
        <v>3</v>
      </c>
      <c r="F38" s="36">
        <v>0</v>
      </c>
      <c r="G38" s="36">
        <v>2</v>
      </c>
      <c r="H38" s="38">
        <v>6</v>
      </c>
      <c r="I38" s="36">
        <v>11</v>
      </c>
      <c r="J38" s="9"/>
      <c r="K38" s="39">
        <f t="shared" ref="K38:M38" si="88">K34*5</f>
        <v>460</v>
      </c>
      <c r="L38" s="40">
        <f t="shared" si="88"/>
        <v>490</v>
      </c>
      <c r="M38" s="39">
        <f t="shared" si="88"/>
        <v>1160</v>
      </c>
      <c r="N38" s="43"/>
      <c r="O38" s="39">
        <f t="shared" si="79"/>
        <v>13</v>
      </c>
      <c r="P38" s="40">
        <f t="shared" ref="P38:Q38" si="89">H38+P37</f>
        <v>52</v>
      </c>
      <c r="Q38" s="39">
        <f t="shared" si="89"/>
        <v>136</v>
      </c>
      <c r="R38" s="10"/>
      <c r="S38" s="266">
        <f t="shared" ref="S38:U38" si="90">O38/K38</f>
        <v>2.8260869565217391E-2</v>
      </c>
      <c r="T38" s="264">
        <f t="shared" si="90"/>
        <v>0.10612244897959183</v>
      </c>
      <c r="U38" s="264">
        <f t="shared" si="90"/>
        <v>0.11724137931034483</v>
      </c>
      <c r="V38" s="261" t="s">
        <v>119</v>
      </c>
      <c r="X38" s="14">
        <v>1160</v>
      </c>
      <c r="Y38" s="14">
        <v>1160</v>
      </c>
      <c r="Z38" s="258">
        <v>136</v>
      </c>
      <c r="AA38" s="13"/>
      <c r="AB38" s="258" t="s">
        <v>1356</v>
      </c>
      <c r="AD38" s="258" t="str">
        <f t="shared" si="2"/>
        <v xml:space="preserve"> </v>
      </c>
      <c r="AE38" s="258" t="str">
        <f t="shared" si="3"/>
        <v xml:space="preserve"> </v>
      </c>
      <c r="AF38" s="258" t="str">
        <f t="shared" si="4"/>
        <v xml:space="preserve"> </v>
      </c>
      <c r="AG38" s="258">
        <f t="shared" si="5"/>
        <v>11</v>
      </c>
    </row>
    <row r="39" spans="1:33" ht="15.75" customHeight="1" x14ac:dyDescent="0.25">
      <c r="A39" s="46"/>
      <c r="B39" s="47"/>
      <c r="C39" s="32"/>
      <c r="D39" s="32"/>
      <c r="E39" s="48"/>
      <c r="F39" s="48"/>
      <c r="G39" s="48"/>
      <c r="H39" s="49"/>
      <c r="I39" s="48"/>
      <c r="J39" s="50"/>
      <c r="K39" s="51"/>
      <c r="L39" s="52"/>
      <c r="M39" s="51"/>
      <c r="N39" s="43"/>
      <c r="O39" s="51"/>
      <c r="P39" s="52"/>
      <c r="Q39" s="51"/>
      <c r="R39" s="53"/>
      <c r="W39" s="1"/>
      <c r="X39" s="14"/>
      <c r="Y39" s="14" t="s">
        <v>1356</v>
      </c>
      <c r="Z39" s="258" t="s">
        <v>1356</v>
      </c>
      <c r="AA39" s="54"/>
      <c r="AB39" s="258" t="s">
        <v>1356</v>
      </c>
      <c r="AD39" s="258" t="str">
        <f t="shared" si="2"/>
        <v xml:space="preserve"> </v>
      </c>
      <c r="AE39" s="258" t="str">
        <f t="shared" si="3"/>
        <v xml:space="preserve"> </v>
      </c>
      <c r="AF39" s="258" t="str">
        <f t="shared" si="4"/>
        <v xml:space="preserve"> </v>
      </c>
      <c r="AG39" s="258" t="str">
        <f t="shared" si="5"/>
        <v xml:space="preserve"> </v>
      </c>
    </row>
    <row r="40" spans="1:33" ht="15.75" customHeight="1" x14ac:dyDescent="0.25">
      <c r="A40" s="29" t="s">
        <v>120</v>
      </c>
      <c r="B40" s="31">
        <v>8</v>
      </c>
      <c r="C40" s="34" t="s">
        <v>121</v>
      </c>
      <c r="D40" s="34">
        <v>2015</v>
      </c>
      <c r="E40" s="36">
        <v>1</v>
      </c>
      <c r="F40" s="36">
        <v>101</v>
      </c>
      <c r="G40" s="36">
        <v>355</v>
      </c>
      <c r="H40" s="38">
        <v>2325</v>
      </c>
      <c r="I40" s="36">
        <v>2782</v>
      </c>
      <c r="J40" s="9"/>
      <c r="K40" s="39">
        <f>ROUND((5264+3086)/8,0)</f>
        <v>1044</v>
      </c>
      <c r="L40" s="40">
        <f>ROUND(8784/8,0)</f>
        <v>1098</v>
      </c>
      <c r="M40" s="39">
        <f>ROUND(20630/8,0)</f>
        <v>2579</v>
      </c>
      <c r="N40" s="43"/>
      <c r="O40" s="39">
        <f>E40+F40</f>
        <v>102</v>
      </c>
      <c r="P40" s="40">
        <f t="shared" ref="P40:Q40" si="91">H40</f>
        <v>2325</v>
      </c>
      <c r="Q40" s="39">
        <f t="shared" si="91"/>
        <v>2782</v>
      </c>
      <c r="R40" s="10"/>
      <c r="S40" s="266">
        <f t="shared" ref="S40:U40" si="92">O40/K40</f>
        <v>9.7701149425287362E-2</v>
      </c>
      <c r="T40" s="264">
        <f t="shared" si="92"/>
        <v>2.1174863387978142</v>
      </c>
      <c r="U40" s="264">
        <f t="shared" si="92"/>
        <v>1.0787126793330748</v>
      </c>
      <c r="X40" s="14"/>
      <c r="Y40" s="14" t="s">
        <v>1356</v>
      </c>
      <c r="Z40" s="258" t="s">
        <v>1356</v>
      </c>
      <c r="AA40" s="13"/>
      <c r="AB40" s="258">
        <v>2579</v>
      </c>
      <c r="AD40" s="258">
        <f t="shared" si="2"/>
        <v>2782</v>
      </c>
      <c r="AE40" s="258" t="str">
        <f t="shared" si="3"/>
        <v xml:space="preserve"> </v>
      </c>
      <c r="AF40" s="258" t="str">
        <f t="shared" si="4"/>
        <v xml:space="preserve"> </v>
      </c>
      <c r="AG40" s="258" t="str">
        <f t="shared" si="5"/>
        <v xml:space="preserve"> </v>
      </c>
    </row>
    <row r="41" spans="1:33" ht="15.75" customHeight="1" x14ac:dyDescent="0.25">
      <c r="A41" s="29" t="s">
        <v>120</v>
      </c>
      <c r="B41" s="31">
        <v>8</v>
      </c>
      <c r="C41" s="34" t="s">
        <v>121</v>
      </c>
      <c r="D41" s="34">
        <v>2016</v>
      </c>
      <c r="E41" s="36">
        <v>190</v>
      </c>
      <c r="F41" s="36">
        <v>321</v>
      </c>
      <c r="G41" s="36">
        <v>314</v>
      </c>
      <c r="H41" s="38">
        <v>2568</v>
      </c>
      <c r="I41" s="36">
        <v>3393</v>
      </c>
      <c r="J41" s="9"/>
      <c r="K41" s="39">
        <f t="shared" ref="K41:M41" si="93">K40*2</f>
        <v>2088</v>
      </c>
      <c r="L41" s="40">
        <f t="shared" si="93"/>
        <v>2196</v>
      </c>
      <c r="M41" s="39">
        <f t="shared" si="93"/>
        <v>5158</v>
      </c>
      <c r="N41" s="43"/>
      <c r="O41" s="39">
        <f t="shared" ref="O41:O43" si="94">E41+F41+O40</f>
        <v>613</v>
      </c>
      <c r="P41" s="40">
        <f t="shared" ref="P41:Q41" si="95">H41+P40</f>
        <v>4893</v>
      </c>
      <c r="Q41" s="39">
        <f t="shared" si="95"/>
        <v>6175</v>
      </c>
      <c r="R41" s="10"/>
      <c r="S41" s="266">
        <f t="shared" ref="S41:U41" si="96">O41/K41</f>
        <v>0.29358237547892718</v>
      </c>
      <c r="T41" s="264">
        <f t="shared" si="96"/>
        <v>2.2281420765027322</v>
      </c>
      <c r="U41" s="264">
        <f t="shared" si="96"/>
        <v>1.19716944552152</v>
      </c>
      <c r="X41" s="14"/>
      <c r="Y41" s="14" t="s">
        <v>1356</v>
      </c>
      <c r="Z41" s="258" t="s">
        <v>1356</v>
      </c>
      <c r="AA41" s="13"/>
      <c r="AB41" s="258" t="s">
        <v>1356</v>
      </c>
      <c r="AD41" s="258" t="str">
        <f t="shared" si="2"/>
        <v xml:space="preserve"> </v>
      </c>
      <c r="AE41" s="258">
        <f t="shared" si="3"/>
        <v>3393</v>
      </c>
      <c r="AF41" s="258" t="str">
        <f t="shared" si="4"/>
        <v xml:space="preserve"> </v>
      </c>
      <c r="AG41" s="258" t="str">
        <f t="shared" si="5"/>
        <v xml:space="preserve"> </v>
      </c>
    </row>
    <row r="42" spans="1:33" ht="15.75" customHeight="1" x14ac:dyDescent="0.25">
      <c r="A42" s="29" t="s">
        <v>120</v>
      </c>
      <c r="B42" s="31">
        <v>8</v>
      </c>
      <c r="C42" s="34" t="s">
        <v>121</v>
      </c>
      <c r="D42" s="34">
        <v>2017</v>
      </c>
      <c r="E42" s="36">
        <v>153</v>
      </c>
      <c r="F42" s="36">
        <v>82</v>
      </c>
      <c r="G42" s="36">
        <v>121</v>
      </c>
      <c r="H42" s="38">
        <v>1667</v>
      </c>
      <c r="I42" s="36">
        <v>2023</v>
      </c>
      <c r="J42" s="9"/>
      <c r="K42" s="39">
        <f t="shared" ref="K42:M42" si="97">K40*3</f>
        <v>3132</v>
      </c>
      <c r="L42" s="40">
        <f t="shared" si="97"/>
        <v>3294</v>
      </c>
      <c r="M42" s="39">
        <f t="shared" si="97"/>
        <v>7737</v>
      </c>
      <c r="N42" s="43"/>
      <c r="O42" s="39">
        <f t="shared" si="94"/>
        <v>848</v>
      </c>
      <c r="P42" s="40">
        <f t="shared" ref="P42:Q42" si="98">H42+P41</f>
        <v>6560</v>
      </c>
      <c r="Q42" s="39">
        <f t="shared" si="98"/>
        <v>8198</v>
      </c>
      <c r="R42" s="10"/>
      <c r="S42" s="266">
        <f t="shared" ref="S42:U42" si="99">O42/K42</f>
        <v>0.2707535121328225</v>
      </c>
      <c r="T42" s="264">
        <f t="shared" si="99"/>
        <v>1.9914996964177292</v>
      </c>
      <c r="U42" s="264">
        <f t="shared" si="99"/>
        <v>1.0595838180173194</v>
      </c>
      <c r="X42" s="14"/>
      <c r="Y42" s="14" t="s">
        <v>1356</v>
      </c>
      <c r="Z42" s="258" t="s">
        <v>1356</v>
      </c>
      <c r="AA42" s="13"/>
      <c r="AB42" s="258" t="s">
        <v>1356</v>
      </c>
      <c r="AD42" s="258" t="str">
        <f t="shared" si="2"/>
        <v xml:space="preserve"> </v>
      </c>
      <c r="AE42" s="258" t="str">
        <f t="shared" si="3"/>
        <v xml:space="preserve"> </v>
      </c>
      <c r="AF42" s="258">
        <f t="shared" si="4"/>
        <v>2023</v>
      </c>
      <c r="AG42" s="258" t="str">
        <f t="shared" si="5"/>
        <v xml:space="preserve"> </v>
      </c>
    </row>
    <row r="43" spans="1:33" ht="15.75" customHeight="1" x14ac:dyDescent="0.25">
      <c r="A43" s="29" t="s">
        <v>120</v>
      </c>
      <c r="B43" s="31">
        <v>8</v>
      </c>
      <c r="C43" s="34" t="s">
        <v>121</v>
      </c>
      <c r="D43" s="34">
        <v>2018</v>
      </c>
      <c r="E43" s="36">
        <v>87</v>
      </c>
      <c r="F43" s="36">
        <v>384</v>
      </c>
      <c r="G43" s="36">
        <v>75</v>
      </c>
      <c r="H43" s="38">
        <v>1551</v>
      </c>
      <c r="I43" s="36">
        <v>2097</v>
      </c>
      <c r="J43" s="9"/>
      <c r="K43" s="39">
        <f t="shared" ref="K43:M43" si="100">K40*4</f>
        <v>4176</v>
      </c>
      <c r="L43" s="40">
        <f t="shared" si="100"/>
        <v>4392</v>
      </c>
      <c r="M43" s="39">
        <f t="shared" si="100"/>
        <v>10316</v>
      </c>
      <c r="N43" s="43"/>
      <c r="O43" s="39">
        <f t="shared" si="94"/>
        <v>1319</v>
      </c>
      <c r="P43" s="40">
        <f t="shared" ref="P43:Q43" si="101">H43+P42</f>
        <v>8111</v>
      </c>
      <c r="Q43" s="39">
        <f t="shared" si="101"/>
        <v>10295</v>
      </c>
      <c r="R43" s="10"/>
      <c r="S43" s="266">
        <f t="shared" ref="S43:U43" si="102">O43/K43</f>
        <v>0.31585249042145591</v>
      </c>
      <c r="T43" s="264">
        <f t="shared" si="102"/>
        <v>1.8467668488160291</v>
      </c>
      <c r="U43" s="264">
        <f t="shared" si="102"/>
        <v>0.99796432725862738</v>
      </c>
      <c r="V43" s="261" t="s">
        <v>120</v>
      </c>
      <c r="X43" s="14">
        <v>20630</v>
      </c>
      <c r="Y43" s="14">
        <v>10316</v>
      </c>
      <c r="Z43" s="258">
        <v>10295</v>
      </c>
      <c r="AA43" s="13"/>
      <c r="AB43" s="258" t="s">
        <v>1356</v>
      </c>
      <c r="AD43" s="258" t="str">
        <f t="shared" si="2"/>
        <v xml:space="preserve"> </v>
      </c>
      <c r="AE43" s="258" t="str">
        <f t="shared" si="3"/>
        <v xml:space="preserve"> </v>
      </c>
      <c r="AF43" s="258" t="str">
        <f t="shared" si="4"/>
        <v xml:space="preserve"> </v>
      </c>
      <c r="AG43" s="258">
        <f t="shared" si="5"/>
        <v>2097</v>
      </c>
    </row>
    <row r="44" spans="1:33" ht="15.75" customHeight="1" x14ac:dyDescent="0.25">
      <c r="A44" s="29"/>
      <c r="B44" s="31"/>
      <c r="C44" s="34"/>
      <c r="D44" s="34"/>
      <c r="E44" s="36"/>
      <c r="F44" s="36"/>
      <c r="G44" s="36"/>
      <c r="H44" s="38"/>
      <c r="I44" s="36"/>
      <c r="J44" s="9"/>
      <c r="K44" s="39"/>
      <c r="L44" s="40"/>
      <c r="M44" s="39"/>
      <c r="N44" s="43"/>
      <c r="O44" s="39"/>
      <c r="P44" s="40"/>
      <c r="Q44" s="39"/>
      <c r="R44" s="10"/>
      <c r="X44" s="14"/>
      <c r="Y44" s="14" t="s">
        <v>1356</v>
      </c>
      <c r="Z44" s="258" t="s">
        <v>1356</v>
      </c>
      <c r="AA44" s="13"/>
      <c r="AB44" s="258" t="s">
        <v>1356</v>
      </c>
      <c r="AD44" s="258" t="str">
        <f t="shared" si="2"/>
        <v xml:space="preserve"> </v>
      </c>
      <c r="AE44" s="258" t="str">
        <f t="shared" si="3"/>
        <v xml:space="preserve"> </v>
      </c>
      <c r="AF44" s="258" t="str">
        <f t="shared" si="4"/>
        <v xml:space="preserve"> </v>
      </c>
      <c r="AG44" s="258" t="str">
        <f t="shared" si="5"/>
        <v xml:space="preserve"> </v>
      </c>
    </row>
    <row r="45" spans="1:33" ht="15.75" customHeight="1" x14ac:dyDescent="0.25">
      <c r="A45" s="29" t="s">
        <v>122</v>
      </c>
      <c r="B45" s="31">
        <v>5</v>
      </c>
      <c r="C45" s="34" t="s">
        <v>69</v>
      </c>
      <c r="D45" s="34">
        <v>2014</v>
      </c>
      <c r="E45" s="36">
        <v>3</v>
      </c>
      <c r="F45" s="36">
        <v>1</v>
      </c>
      <c r="G45" s="36">
        <v>3</v>
      </c>
      <c r="H45" s="38">
        <v>4</v>
      </c>
      <c r="I45" s="36">
        <v>11</v>
      </c>
      <c r="J45" s="9"/>
      <c r="K45" s="39">
        <f>ROUND((80+50)/5,0)</f>
        <v>26</v>
      </c>
      <c r="L45" s="40">
        <f>ROUND(140/5,0)</f>
        <v>28</v>
      </c>
      <c r="M45" s="39">
        <f>ROUND(310/5,0)</f>
        <v>62</v>
      </c>
      <c r="N45" s="43"/>
      <c r="O45" s="39">
        <f>E45+F45</f>
        <v>4</v>
      </c>
      <c r="P45" s="40">
        <f t="shared" ref="P45:Q45" si="103">H45</f>
        <v>4</v>
      </c>
      <c r="Q45" s="39">
        <f t="shared" si="103"/>
        <v>11</v>
      </c>
      <c r="R45" s="10"/>
      <c r="S45" s="266">
        <f t="shared" ref="S45:U45" si="104">O45/K45</f>
        <v>0.15384615384615385</v>
      </c>
      <c r="T45" s="264">
        <f t="shared" si="104"/>
        <v>0.14285714285714285</v>
      </c>
      <c r="U45" s="264">
        <f t="shared" si="104"/>
        <v>0.17741935483870969</v>
      </c>
      <c r="X45" s="14"/>
      <c r="Y45" s="14" t="s">
        <v>1356</v>
      </c>
      <c r="Z45" s="258" t="s">
        <v>1356</v>
      </c>
      <c r="AA45" s="13"/>
      <c r="AB45" s="258">
        <v>62</v>
      </c>
      <c r="AD45" s="258" t="str">
        <f t="shared" si="2"/>
        <v xml:space="preserve"> </v>
      </c>
      <c r="AE45" s="258" t="str">
        <f t="shared" si="3"/>
        <v xml:space="preserve"> </v>
      </c>
      <c r="AF45" s="258" t="str">
        <f t="shared" si="4"/>
        <v xml:space="preserve"> </v>
      </c>
      <c r="AG45" s="258" t="str">
        <f t="shared" si="5"/>
        <v xml:space="preserve"> </v>
      </c>
    </row>
    <row r="46" spans="1:33" ht="15.75" customHeight="1" x14ac:dyDescent="0.25">
      <c r="A46" s="29" t="s">
        <v>122</v>
      </c>
      <c r="B46" s="31">
        <v>5</v>
      </c>
      <c r="C46" s="34" t="s">
        <v>69</v>
      </c>
      <c r="D46" s="34">
        <v>2015</v>
      </c>
      <c r="E46" s="36">
        <v>4</v>
      </c>
      <c r="F46" s="36">
        <v>4</v>
      </c>
      <c r="G46" s="36">
        <v>4</v>
      </c>
      <c r="H46" s="38">
        <v>17</v>
      </c>
      <c r="I46" s="36">
        <v>29</v>
      </c>
      <c r="J46" s="9"/>
      <c r="K46" s="39">
        <f t="shared" ref="K46:M46" si="105">K45*2</f>
        <v>52</v>
      </c>
      <c r="L46" s="40">
        <f t="shared" si="105"/>
        <v>56</v>
      </c>
      <c r="M46" s="39">
        <f t="shared" si="105"/>
        <v>124</v>
      </c>
      <c r="N46" s="43"/>
      <c r="O46" s="39">
        <f t="shared" ref="O46:O49" si="106">E46+F46+O45</f>
        <v>12</v>
      </c>
      <c r="P46" s="40">
        <f t="shared" ref="P46:Q46" si="107">H46+P45</f>
        <v>21</v>
      </c>
      <c r="Q46" s="39">
        <f t="shared" si="107"/>
        <v>40</v>
      </c>
      <c r="R46" s="10"/>
      <c r="S46" s="266">
        <f t="shared" ref="S46:U46" si="108">O46/K46</f>
        <v>0.23076923076923078</v>
      </c>
      <c r="T46" s="264">
        <f t="shared" si="108"/>
        <v>0.375</v>
      </c>
      <c r="U46" s="264">
        <f t="shared" si="108"/>
        <v>0.32258064516129031</v>
      </c>
      <c r="X46" s="14"/>
      <c r="Y46" s="14" t="s">
        <v>1356</v>
      </c>
      <c r="Z46" s="258" t="s">
        <v>1356</v>
      </c>
      <c r="AA46" s="13"/>
      <c r="AD46" s="258">
        <f t="shared" si="2"/>
        <v>29</v>
      </c>
      <c r="AE46" s="258" t="str">
        <f t="shared" si="3"/>
        <v xml:space="preserve"> </v>
      </c>
      <c r="AF46" s="258" t="str">
        <f t="shared" si="4"/>
        <v xml:space="preserve"> </v>
      </c>
      <c r="AG46" s="258" t="str">
        <f t="shared" si="5"/>
        <v xml:space="preserve"> </v>
      </c>
    </row>
    <row r="47" spans="1:33" ht="15.75" customHeight="1" x14ac:dyDescent="0.25">
      <c r="A47" s="29" t="s">
        <v>122</v>
      </c>
      <c r="B47" s="31">
        <v>5</v>
      </c>
      <c r="C47" s="34" t="s">
        <v>69</v>
      </c>
      <c r="D47" s="34">
        <v>2016</v>
      </c>
      <c r="E47" s="36">
        <v>3</v>
      </c>
      <c r="F47" s="36">
        <v>0</v>
      </c>
      <c r="G47" s="36">
        <v>4</v>
      </c>
      <c r="H47" s="38">
        <v>17</v>
      </c>
      <c r="I47" s="36">
        <v>24</v>
      </c>
      <c r="J47" s="9"/>
      <c r="K47" s="39">
        <f t="shared" ref="K47:M47" si="109">K45*3</f>
        <v>78</v>
      </c>
      <c r="L47" s="40">
        <f t="shared" si="109"/>
        <v>84</v>
      </c>
      <c r="M47" s="39">
        <f t="shared" si="109"/>
        <v>186</v>
      </c>
      <c r="N47" s="43"/>
      <c r="O47" s="39">
        <f t="shared" si="106"/>
        <v>15</v>
      </c>
      <c r="P47" s="40">
        <f t="shared" ref="P47:Q47" si="110">H47+P46</f>
        <v>38</v>
      </c>
      <c r="Q47" s="39">
        <f t="shared" si="110"/>
        <v>64</v>
      </c>
      <c r="R47" s="10"/>
      <c r="S47" s="266">
        <f t="shared" ref="S47:U47" si="111">O47/K47</f>
        <v>0.19230769230769232</v>
      </c>
      <c r="T47" s="264">
        <f t="shared" si="111"/>
        <v>0.45238095238095238</v>
      </c>
      <c r="U47" s="264">
        <f t="shared" si="111"/>
        <v>0.34408602150537637</v>
      </c>
      <c r="X47" s="14"/>
      <c r="Y47" s="14" t="s">
        <v>1356</v>
      </c>
      <c r="Z47" s="258" t="s">
        <v>1356</v>
      </c>
      <c r="AA47" s="13"/>
      <c r="AB47" s="258" t="s">
        <v>1356</v>
      </c>
      <c r="AD47" s="258" t="str">
        <f t="shared" si="2"/>
        <v xml:space="preserve"> </v>
      </c>
      <c r="AE47" s="258">
        <f t="shared" si="3"/>
        <v>24</v>
      </c>
      <c r="AF47" s="258" t="str">
        <f t="shared" si="4"/>
        <v xml:space="preserve"> </v>
      </c>
      <c r="AG47" s="258" t="str">
        <f t="shared" si="5"/>
        <v xml:space="preserve"> </v>
      </c>
    </row>
    <row r="48" spans="1:33" ht="15.75" customHeight="1" x14ac:dyDescent="0.25">
      <c r="A48" s="29" t="s">
        <v>122</v>
      </c>
      <c r="B48" s="31">
        <v>5</v>
      </c>
      <c r="C48" s="34" t="s">
        <v>69</v>
      </c>
      <c r="D48" s="34">
        <v>2017</v>
      </c>
      <c r="E48" s="36">
        <v>9</v>
      </c>
      <c r="F48" s="36">
        <v>8</v>
      </c>
      <c r="G48" s="36">
        <v>3</v>
      </c>
      <c r="H48" s="38">
        <v>14</v>
      </c>
      <c r="I48" s="36">
        <v>34</v>
      </c>
      <c r="J48" s="9"/>
      <c r="K48" s="39">
        <f t="shared" ref="K48:M48" si="112">K45*4</f>
        <v>104</v>
      </c>
      <c r="L48" s="40">
        <f t="shared" si="112"/>
        <v>112</v>
      </c>
      <c r="M48" s="39">
        <f t="shared" si="112"/>
        <v>248</v>
      </c>
      <c r="N48" s="43"/>
      <c r="O48" s="39">
        <f t="shared" si="106"/>
        <v>32</v>
      </c>
      <c r="P48" s="40">
        <f t="shared" ref="P48:Q48" si="113">H48+P47</f>
        <v>52</v>
      </c>
      <c r="Q48" s="39">
        <f t="shared" si="113"/>
        <v>98</v>
      </c>
      <c r="R48" s="10"/>
      <c r="S48" s="266">
        <f t="shared" ref="S48:U48" si="114">O48/K48</f>
        <v>0.30769230769230771</v>
      </c>
      <c r="T48" s="264">
        <f t="shared" si="114"/>
        <v>0.4642857142857143</v>
      </c>
      <c r="U48" s="264">
        <f t="shared" si="114"/>
        <v>0.39516129032258063</v>
      </c>
      <c r="X48" s="14"/>
      <c r="Y48" s="14" t="s">
        <v>1356</v>
      </c>
      <c r="Z48" s="258" t="s">
        <v>1356</v>
      </c>
      <c r="AA48" s="13"/>
      <c r="AB48" s="258" t="s">
        <v>1356</v>
      </c>
      <c r="AD48" s="258" t="str">
        <f t="shared" si="2"/>
        <v xml:space="preserve"> </v>
      </c>
      <c r="AE48" s="258" t="str">
        <f t="shared" si="3"/>
        <v xml:space="preserve"> </v>
      </c>
      <c r="AF48" s="258">
        <f t="shared" si="4"/>
        <v>34</v>
      </c>
      <c r="AG48" s="258" t="str">
        <f t="shared" si="5"/>
        <v xml:space="preserve"> </v>
      </c>
    </row>
    <row r="49" spans="1:33" ht="15.75" customHeight="1" x14ac:dyDescent="0.25">
      <c r="A49" s="29" t="s">
        <v>122</v>
      </c>
      <c r="B49" s="31">
        <v>5</v>
      </c>
      <c r="C49" s="34" t="s">
        <v>69</v>
      </c>
      <c r="D49" s="34">
        <v>2018</v>
      </c>
      <c r="E49" s="36">
        <v>3</v>
      </c>
      <c r="F49" s="36">
        <v>9</v>
      </c>
      <c r="G49" s="36">
        <v>8</v>
      </c>
      <c r="H49" s="38">
        <v>24</v>
      </c>
      <c r="I49" s="36">
        <v>44</v>
      </c>
      <c r="J49" s="9"/>
      <c r="K49" s="39">
        <f t="shared" ref="K49:M49" si="115">K45*5</f>
        <v>130</v>
      </c>
      <c r="L49" s="40">
        <f t="shared" si="115"/>
        <v>140</v>
      </c>
      <c r="M49" s="39">
        <f t="shared" si="115"/>
        <v>310</v>
      </c>
      <c r="N49" s="43"/>
      <c r="O49" s="39">
        <f t="shared" si="106"/>
        <v>44</v>
      </c>
      <c r="P49" s="40">
        <f t="shared" ref="P49:Q49" si="116">H49+P48</f>
        <v>76</v>
      </c>
      <c r="Q49" s="39">
        <f t="shared" si="116"/>
        <v>142</v>
      </c>
      <c r="R49" s="10"/>
      <c r="S49" s="266">
        <f t="shared" ref="S49:U49" si="117">O49/K49</f>
        <v>0.33846153846153848</v>
      </c>
      <c r="T49" s="264">
        <f t="shared" si="117"/>
        <v>0.54285714285714282</v>
      </c>
      <c r="U49" s="264">
        <f t="shared" si="117"/>
        <v>0.45806451612903226</v>
      </c>
      <c r="V49" s="261" t="s">
        <v>122</v>
      </c>
      <c r="X49" s="14">
        <v>310</v>
      </c>
      <c r="Y49" s="14">
        <v>310</v>
      </c>
      <c r="Z49" s="258">
        <v>142</v>
      </c>
      <c r="AA49" s="13"/>
      <c r="AB49" s="258" t="s">
        <v>1356</v>
      </c>
      <c r="AD49" s="258" t="str">
        <f t="shared" si="2"/>
        <v xml:space="preserve"> </v>
      </c>
      <c r="AE49" s="258" t="str">
        <f t="shared" si="3"/>
        <v xml:space="preserve"> </v>
      </c>
      <c r="AF49" s="258" t="str">
        <f t="shared" si="4"/>
        <v xml:space="preserve"> </v>
      </c>
      <c r="AG49" s="258">
        <f t="shared" si="5"/>
        <v>44</v>
      </c>
    </row>
    <row r="50" spans="1:33" x14ac:dyDescent="0.25">
      <c r="A50" s="46"/>
      <c r="B50" s="47"/>
      <c r="C50" s="32"/>
      <c r="D50" s="32"/>
      <c r="E50" s="48"/>
      <c r="F50" s="48"/>
      <c r="G50" s="48"/>
      <c r="H50" s="49"/>
      <c r="I50" s="48"/>
      <c r="J50" s="50"/>
      <c r="K50" s="51"/>
      <c r="L50" s="52"/>
      <c r="M50" s="51"/>
      <c r="N50" s="43"/>
      <c r="O50" s="51"/>
      <c r="P50" s="52"/>
      <c r="Q50" s="51"/>
      <c r="R50" s="53"/>
      <c r="W50" s="1"/>
      <c r="X50" s="14"/>
      <c r="Y50" s="14" t="s">
        <v>1356</v>
      </c>
      <c r="Z50" s="258" t="s">
        <v>1356</v>
      </c>
      <c r="AA50" s="54"/>
      <c r="AB50" s="258" t="s">
        <v>1356</v>
      </c>
      <c r="AD50" s="258" t="str">
        <f t="shared" si="2"/>
        <v xml:space="preserve"> </v>
      </c>
      <c r="AE50" s="258" t="str">
        <f t="shared" si="3"/>
        <v xml:space="preserve"> </v>
      </c>
      <c r="AF50" s="258" t="str">
        <f t="shared" si="4"/>
        <v xml:space="preserve"> </v>
      </c>
      <c r="AG50" s="258" t="str">
        <f t="shared" si="5"/>
        <v xml:space="preserve"> </v>
      </c>
    </row>
    <row r="51" spans="1:33" x14ac:dyDescent="0.25">
      <c r="A51" s="29" t="s">
        <v>123</v>
      </c>
      <c r="B51" s="31">
        <v>8</v>
      </c>
      <c r="C51" s="34" t="s">
        <v>124</v>
      </c>
      <c r="D51" s="34">
        <v>2014</v>
      </c>
      <c r="E51" s="36">
        <v>1</v>
      </c>
      <c r="F51" s="36">
        <v>55</v>
      </c>
      <c r="G51" s="36">
        <v>22</v>
      </c>
      <c r="H51" s="38">
        <v>344</v>
      </c>
      <c r="I51" s="36">
        <v>422</v>
      </c>
      <c r="J51" s="9"/>
      <c r="K51" s="39">
        <f>ROUND((1218+855)/8,0)</f>
        <v>259</v>
      </c>
      <c r="L51" s="40">
        <f>ROUND(2108/8,0)</f>
        <v>264</v>
      </c>
      <c r="M51" s="39">
        <f>ROUND(5136/8,0)</f>
        <v>642</v>
      </c>
      <c r="N51" s="43"/>
      <c r="O51" s="39">
        <f>E51+F51</f>
        <v>56</v>
      </c>
      <c r="P51" s="40">
        <f t="shared" ref="P51:Q51" si="118">H51</f>
        <v>344</v>
      </c>
      <c r="Q51" s="39">
        <f t="shared" si="118"/>
        <v>422</v>
      </c>
      <c r="R51" s="10"/>
      <c r="S51" s="266">
        <f t="shared" ref="S51:U51" si="119">O51/K51</f>
        <v>0.21621621621621623</v>
      </c>
      <c r="T51" s="264">
        <f t="shared" si="119"/>
        <v>1.303030303030303</v>
      </c>
      <c r="U51" s="264">
        <f t="shared" si="119"/>
        <v>0.65732087227414326</v>
      </c>
      <c r="X51" s="14"/>
      <c r="Y51" s="14" t="s">
        <v>1356</v>
      </c>
      <c r="Z51" s="258" t="s">
        <v>1356</v>
      </c>
      <c r="AA51" s="13"/>
      <c r="AB51" s="258">
        <v>642</v>
      </c>
      <c r="AD51" s="258" t="str">
        <f t="shared" si="2"/>
        <v xml:space="preserve"> </v>
      </c>
      <c r="AE51" s="258" t="str">
        <f t="shared" si="3"/>
        <v xml:space="preserve"> </v>
      </c>
      <c r="AF51" s="258" t="str">
        <f t="shared" si="4"/>
        <v xml:space="preserve"> </v>
      </c>
      <c r="AG51" s="258" t="str">
        <f t="shared" si="5"/>
        <v xml:space="preserve"> </v>
      </c>
    </row>
    <row r="52" spans="1:33" x14ac:dyDescent="0.25">
      <c r="A52" s="29" t="s">
        <v>123</v>
      </c>
      <c r="B52" s="31">
        <v>8</v>
      </c>
      <c r="C52" s="34" t="s">
        <v>124</v>
      </c>
      <c r="D52" s="34">
        <v>2015</v>
      </c>
      <c r="E52" s="36">
        <v>0</v>
      </c>
      <c r="F52" s="36">
        <v>53</v>
      </c>
      <c r="G52" s="36">
        <v>4</v>
      </c>
      <c r="H52" s="38">
        <v>532</v>
      </c>
      <c r="I52" s="36">
        <v>589</v>
      </c>
      <c r="J52" s="9"/>
      <c r="K52" s="39">
        <f t="shared" ref="K52:M52" si="120">K51*2</f>
        <v>518</v>
      </c>
      <c r="L52" s="40">
        <f t="shared" si="120"/>
        <v>528</v>
      </c>
      <c r="M52" s="39">
        <f t="shared" si="120"/>
        <v>1284</v>
      </c>
      <c r="N52" s="43"/>
      <c r="O52" s="39">
        <f t="shared" ref="O52:O55" si="121">E52+F52+O51</f>
        <v>109</v>
      </c>
      <c r="P52" s="40">
        <f t="shared" ref="P52:Q52" si="122">H52+P51</f>
        <v>876</v>
      </c>
      <c r="Q52" s="39">
        <f t="shared" si="122"/>
        <v>1011</v>
      </c>
      <c r="R52" s="10"/>
      <c r="S52" s="266">
        <f t="shared" ref="S52:U52" si="123">O52/K52</f>
        <v>0.21042471042471042</v>
      </c>
      <c r="T52" s="264">
        <f t="shared" si="123"/>
        <v>1.6590909090909092</v>
      </c>
      <c r="U52" s="264">
        <f t="shared" si="123"/>
        <v>0.78738317757009346</v>
      </c>
      <c r="X52" s="14"/>
      <c r="Y52" s="14" t="s">
        <v>1356</v>
      </c>
      <c r="Z52" s="258" t="s">
        <v>1356</v>
      </c>
      <c r="AA52" s="13"/>
      <c r="AD52" s="258">
        <f t="shared" si="2"/>
        <v>589</v>
      </c>
      <c r="AE52" s="258" t="str">
        <f t="shared" si="3"/>
        <v xml:space="preserve"> </v>
      </c>
      <c r="AF52" s="258" t="str">
        <f t="shared" si="4"/>
        <v xml:space="preserve"> </v>
      </c>
      <c r="AG52" s="258" t="str">
        <f t="shared" si="5"/>
        <v xml:space="preserve"> </v>
      </c>
    </row>
    <row r="53" spans="1:33" x14ac:dyDescent="0.25">
      <c r="A53" s="29" t="s">
        <v>123</v>
      </c>
      <c r="B53" s="31">
        <v>8</v>
      </c>
      <c r="C53" s="34" t="s">
        <v>124</v>
      </c>
      <c r="D53" s="34">
        <v>2016</v>
      </c>
      <c r="E53" s="36">
        <v>0</v>
      </c>
      <c r="F53" s="36">
        <v>57</v>
      </c>
      <c r="G53" s="36">
        <v>27</v>
      </c>
      <c r="H53" s="38">
        <v>709</v>
      </c>
      <c r="I53" s="36">
        <v>793</v>
      </c>
      <c r="J53" s="9"/>
      <c r="K53" s="39">
        <f t="shared" ref="K53:M53" si="124">K51*3</f>
        <v>777</v>
      </c>
      <c r="L53" s="40">
        <f t="shared" si="124"/>
        <v>792</v>
      </c>
      <c r="M53" s="39">
        <f t="shared" si="124"/>
        <v>1926</v>
      </c>
      <c r="N53" s="43"/>
      <c r="O53" s="39">
        <f t="shared" si="121"/>
        <v>166</v>
      </c>
      <c r="P53" s="40">
        <f t="shared" ref="P53:Q53" si="125">H53+P52</f>
        <v>1585</v>
      </c>
      <c r="Q53" s="39">
        <f t="shared" si="125"/>
        <v>1804</v>
      </c>
      <c r="R53" s="10"/>
      <c r="S53" s="266">
        <f t="shared" ref="S53:U53" si="126">O53/K53</f>
        <v>0.21364221364221364</v>
      </c>
      <c r="T53" s="264">
        <f t="shared" si="126"/>
        <v>2.0012626262626263</v>
      </c>
      <c r="U53" s="264">
        <f t="shared" si="126"/>
        <v>0.936656282450675</v>
      </c>
      <c r="X53" s="14"/>
      <c r="Y53" s="14" t="s">
        <v>1356</v>
      </c>
      <c r="Z53" s="258" t="s">
        <v>1356</v>
      </c>
      <c r="AA53" s="13"/>
      <c r="AB53" s="258" t="s">
        <v>1356</v>
      </c>
      <c r="AD53" s="258" t="str">
        <f t="shared" si="2"/>
        <v xml:space="preserve"> </v>
      </c>
      <c r="AE53" s="258">
        <f t="shared" si="3"/>
        <v>793</v>
      </c>
      <c r="AF53" s="258" t="str">
        <f t="shared" si="4"/>
        <v xml:space="preserve"> </v>
      </c>
      <c r="AG53" s="258" t="str">
        <f t="shared" si="5"/>
        <v xml:space="preserve"> </v>
      </c>
    </row>
    <row r="54" spans="1:33" x14ac:dyDescent="0.25">
      <c r="A54" s="29" t="s">
        <v>123</v>
      </c>
      <c r="B54" s="31">
        <v>8</v>
      </c>
      <c r="C54" s="34" t="s">
        <v>124</v>
      </c>
      <c r="D54" s="34">
        <v>2017</v>
      </c>
      <c r="E54" s="36">
        <v>16</v>
      </c>
      <c r="F54" s="36">
        <v>59</v>
      </c>
      <c r="G54" s="36">
        <v>37</v>
      </c>
      <c r="H54" s="38">
        <v>733</v>
      </c>
      <c r="I54" s="36">
        <v>845</v>
      </c>
      <c r="J54" s="9"/>
      <c r="K54" s="39">
        <f t="shared" ref="K54:M54" si="127">K51*4</f>
        <v>1036</v>
      </c>
      <c r="L54" s="40">
        <f t="shared" si="127"/>
        <v>1056</v>
      </c>
      <c r="M54" s="39">
        <f t="shared" si="127"/>
        <v>2568</v>
      </c>
      <c r="N54" s="43"/>
      <c r="O54" s="39">
        <f t="shared" si="121"/>
        <v>241</v>
      </c>
      <c r="P54" s="40">
        <f t="shared" ref="P54:Q54" si="128">H54+P53</f>
        <v>2318</v>
      </c>
      <c r="Q54" s="39">
        <f t="shared" si="128"/>
        <v>2649</v>
      </c>
      <c r="R54" s="10"/>
      <c r="S54" s="266">
        <f t="shared" ref="S54:U54" si="129">O54/K54</f>
        <v>0.23262548262548263</v>
      </c>
      <c r="T54" s="264">
        <f t="shared" si="129"/>
        <v>2.1950757575757578</v>
      </c>
      <c r="U54" s="264">
        <f t="shared" si="129"/>
        <v>1.0315420560747663</v>
      </c>
      <c r="X54" s="14"/>
      <c r="Y54" s="14" t="s">
        <v>1356</v>
      </c>
      <c r="Z54" s="258" t="s">
        <v>1356</v>
      </c>
      <c r="AA54" s="13"/>
      <c r="AB54" s="258" t="s">
        <v>1356</v>
      </c>
      <c r="AD54" s="258" t="str">
        <f t="shared" si="2"/>
        <v xml:space="preserve"> </v>
      </c>
      <c r="AE54" s="258" t="str">
        <f t="shared" si="3"/>
        <v xml:space="preserve"> </v>
      </c>
      <c r="AF54" s="258">
        <f t="shared" si="4"/>
        <v>845</v>
      </c>
      <c r="AG54" s="258" t="str">
        <f t="shared" si="5"/>
        <v xml:space="preserve"> </v>
      </c>
    </row>
    <row r="55" spans="1:33" x14ac:dyDescent="0.25">
      <c r="A55" s="29" t="s">
        <v>123</v>
      </c>
      <c r="B55" s="31">
        <v>8</v>
      </c>
      <c r="C55" s="34" t="s">
        <v>124</v>
      </c>
      <c r="D55" s="34">
        <v>2018</v>
      </c>
      <c r="E55" s="36">
        <v>0</v>
      </c>
      <c r="F55" s="36">
        <v>0</v>
      </c>
      <c r="G55" s="36">
        <v>7</v>
      </c>
      <c r="H55" s="38">
        <v>525</v>
      </c>
      <c r="I55" s="36">
        <v>532</v>
      </c>
      <c r="J55" s="9"/>
      <c r="K55" s="39">
        <f t="shared" ref="K55:M55" si="130">K51*5</f>
        <v>1295</v>
      </c>
      <c r="L55" s="40">
        <f t="shared" si="130"/>
        <v>1320</v>
      </c>
      <c r="M55" s="39">
        <f t="shared" si="130"/>
        <v>3210</v>
      </c>
      <c r="N55" s="43"/>
      <c r="O55" s="39">
        <f t="shared" si="121"/>
        <v>241</v>
      </c>
      <c r="P55" s="40">
        <f t="shared" ref="P55:Q55" si="131">H55+P54</f>
        <v>2843</v>
      </c>
      <c r="Q55" s="39">
        <f t="shared" si="131"/>
        <v>3181</v>
      </c>
      <c r="R55" s="10"/>
      <c r="S55" s="266">
        <f t="shared" ref="S55:U55" si="132">O55/K55</f>
        <v>0.18610038610038609</v>
      </c>
      <c r="T55" s="264">
        <f t="shared" si="132"/>
        <v>2.1537878787878788</v>
      </c>
      <c r="U55" s="264">
        <f t="shared" si="132"/>
        <v>0.99096573208722738</v>
      </c>
      <c r="V55" s="261" t="s">
        <v>123</v>
      </c>
      <c r="X55" s="14">
        <v>5136</v>
      </c>
      <c r="Y55" s="14">
        <v>3210</v>
      </c>
      <c r="Z55" s="258">
        <v>3181</v>
      </c>
      <c r="AA55" s="13"/>
      <c r="AB55" s="258" t="s">
        <v>1356</v>
      </c>
      <c r="AD55" s="258" t="str">
        <f t="shared" si="2"/>
        <v xml:space="preserve"> </v>
      </c>
      <c r="AE55" s="258" t="str">
        <f t="shared" si="3"/>
        <v xml:space="preserve"> </v>
      </c>
      <c r="AF55" s="258" t="str">
        <f t="shared" si="4"/>
        <v xml:space="preserve"> </v>
      </c>
      <c r="AG55" s="258">
        <f t="shared" si="5"/>
        <v>532</v>
      </c>
    </row>
    <row r="56" spans="1:33" x14ac:dyDescent="0.25">
      <c r="A56" s="29"/>
      <c r="B56" s="31"/>
      <c r="C56" s="34"/>
      <c r="D56" s="34"/>
      <c r="E56" s="36"/>
      <c r="F56" s="36"/>
      <c r="G56" s="36"/>
      <c r="H56" s="38"/>
      <c r="I56" s="36"/>
      <c r="J56" s="9"/>
      <c r="K56" s="39"/>
      <c r="L56" s="40"/>
      <c r="M56" s="39"/>
      <c r="N56" s="43"/>
      <c r="O56" s="39"/>
      <c r="P56" s="40"/>
      <c r="Q56" s="39"/>
      <c r="R56" s="10"/>
      <c r="X56" s="14"/>
      <c r="Y56" s="14" t="s">
        <v>1356</v>
      </c>
      <c r="Z56" s="258" t="s">
        <v>1356</v>
      </c>
      <c r="AA56" s="13"/>
      <c r="AB56" s="258" t="s">
        <v>1356</v>
      </c>
      <c r="AD56" s="258" t="str">
        <f t="shared" si="2"/>
        <v xml:space="preserve"> </v>
      </c>
      <c r="AE56" s="258" t="str">
        <f t="shared" si="3"/>
        <v xml:space="preserve"> </v>
      </c>
      <c r="AF56" s="258" t="str">
        <f t="shared" si="4"/>
        <v xml:space="preserve"> </v>
      </c>
      <c r="AG56" s="258" t="str">
        <f t="shared" si="5"/>
        <v xml:space="preserve"> </v>
      </c>
    </row>
    <row r="57" spans="1:33" x14ac:dyDescent="0.25">
      <c r="A57" s="29" t="s">
        <v>125</v>
      </c>
      <c r="B57" s="31">
        <v>8</v>
      </c>
      <c r="C57" s="34" t="s">
        <v>126</v>
      </c>
      <c r="D57" s="34">
        <v>2015</v>
      </c>
      <c r="E57" s="36">
        <v>471</v>
      </c>
      <c r="F57" s="36">
        <v>312</v>
      </c>
      <c r="G57" s="36">
        <v>991</v>
      </c>
      <c r="H57" s="38">
        <v>3806</v>
      </c>
      <c r="I57" s="36">
        <v>5580</v>
      </c>
      <c r="J57" s="9"/>
      <c r="K57" s="39">
        <f>ROUND((10535+6470)/8,0)</f>
        <v>2126</v>
      </c>
      <c r="L57" s="40">
        <f>ROUND(17830/8,0)</f>
        <v>2229</v>
      </c>
      <c r="M57" s="39">
        <f>ROUND(41470/8,0)</f>
        <v>5184</v>
      </c>
      <c r="N57" s="43"/>
      <c r="O57" s="39">
        <f>E57+F57</f>
        <v>783</v>
      </c>
      <c r="P57" s="40">
        <f t="shared" ref="P57:Q57" si="133">H57</f>
        <v>3806</v>
      </c>
      <c r="Q57" s="39">
        <f t="shared" si="133"/>
        <v>5580</v>
      </c>
      <c r="R57" s="10"/>
      <c r="S57" s="266">
        <f t="shared" ref="S57:U57" si="134">O57/K57</f>
        <v>0.36829727187206018</v>
      </c>
      <c r="T57" s="264">
        <f t="shared" si="134"/>
        <v>1.7074921489457155</v>
      </c>
      <c r="U57" s="264">
        <f t="shared" si="134"/>
        <v>1.0763888888888888</v>
      </c>
      <c r="X57" s="14"/>
      <c r="Y57" s="14" t="s">
        <v>1356</v>
      </c>
      <c r="Z57" s="258" t="s">
        <v>1356</v>
      </c>
      <c r="AA57" s="13"/>
      <c r="AB57" s="258">
        <v>5184</v>
      </c>
      <c r="AD57" s="258">
        <f t="shared" si="2"/>
        <v>5580</v>
      </c>
      <c r="AE57" s="258" t="str">
        <f t="shared" si="3"/>
        <v xml:space="preserve"> </v>
      </c>
      <c r="AF57" s="258" t="str">
        <f t="shared" si="4"/>
        <v xml:space="preserve"> </v>
      </c>
      <c r="AG57" s="258" t="str">
        <f t="shared" si="5"/>
        <v xml:space="preserve"> </v>
      </c>
    </row>
    <row r="58" spans="1:33" x14ac:dyDescent="0.25">
      <c r="A58" s="29" t="s">
        <v>125</v>
      </c>
      <c r="B58" s="31">
        <v>8</v>
      </c>
      <c r="C58" s="34" t="s">
        <v>126</v>
      </c>
      <c r="D58" s="34">
        <v>2016</v>
      </c>
      <c r="E58" s="36">
        <v>97</v>
      </c>
      <c r="F58" s="36">
        <v>68</v>
      </c>
      <c r="G58" s="36">
        <v>838</v>
      </c>
      <c r="H58" s="38">
        <v>1650</v>
      </c>
      <c r="I58" s="36">
        <v>2653</v>
      </c>
      <c r="J58" s="9"/>
      <c r="K58" s="39">
        <f t="shared" ref="K58:M58" si="135">K57*2</f>
        <v>4252</v>
      </c>
      <c r="L58" s="40">
        <f t="shared" si="135"/>
        <v>4458</v>
      </c>
      <c r="M58" s="39">
        <f t="shared" si="135"/>
        <v>10368</v>
      </c>
      <c r="N58" s="43"/>
      <c r="O58" s="39">
        <f t="shared" ref="O58:O60" si="136">E58+F58+O57</f>
        <v>948</v>
      </c>
      <c r="P58" s="40">
        <f t="shared" ref="P58:Q58" si="137">H58+P57</f>
        <v>5456</v>
      </c>
      <c r="Q58" s="39">
        <f t="shared" si="137"/>
        <v>8233</v>
      </c>
      <c r="R58" s="10"/>
      <c r="S58" s="266">
        <f t="shared" ref="S58:U58" si="138">O58/K58</f>
        <v>0.22295390404515522</v>
      </c>
      <c r="T58" s="264">
        <f t="shared" si="138"/>
        <v>1.2238672050246748</v>
      </c>
      <c r="U58" s="264">
        <f t="shared" si="138"/>
        <v>0.79407793209876543</v>
      </c>
      <c r="X58" s="14"/>
      <c r="Y58" s="14" t="s">
        <v>1356</v>
      </c>
      <c r="Z58" s="258" t="s">
        <v>1356</v>
      </c>
      <c r="AA58" s="13"/>
      <c r="AB58" s="258" t="s">
        <v>1356</v>
      </c>
      <c r="AD58" s="258" t="str">
        <f t="shared" si="2"/>
        <v xml:space="preserve"> </v>
      </c>
      <c r="AE58" s="258">
        <f t="shared" si="3"/>
        <v>2653</v>
      </c>
      <c r="AF58" s="258" t="str">
        <f t="shared" si="4"/>
        <v xml:space="preserve"> </v>
      </c>
      <c r="AG58" s="258" t="str">
        <f t="shared" si="5"/>
        <v xml:space="preserve"> </v>
      </c>
    </row>
    <row r="59" spans="1:33" x14ac:dyDescent="0.25">
      <c r="A59" s="29" t="s">
        <v>125</v>
      </c>
      <c r="B59" s="31">
        <v>8</v>
      </c>
      <c r="C59" s="34" t="s">
        <v>126</v>
      </c>
      <c r="D59" s="34">
        <v>2017</v>
      </c>
      <c r="E59" s="36">
        <v>22</v>
      </c>
      <c r="F59" s="36">
        <v>71</v>
      </c>
      <c r="G59" s="36">
        <v>1385</v>
      </c>
      <c r="H59" s="38">
        <v>1340</v>
      </c>
      <c r="I59" s="36">
        <v>2818</v>
      </c>
      <c r="J59" s="9"/>
      <c r="K59" s="39">
        <f t="shared" ref="K59:M59" si="139">K57*3</f>
        <v>6378</v>
      </c>
      <c r="L59" s="40">
        <f t="shared" si="139"/>
        <v>6687</v>
      </c>
      <c r="M59" s="39">
        <f t="shared" si="139"/>
        <v>15552</v>
      </c>
      <c r="N59" s="43"/>
      <c r="O59" s="39">
        <f t="shared" si="136"/>
        <v>1041</v>
      </c>
      <c r="P59" s="40">
        <f t="shared" ref="P59:Q59" si="140">H59+P58</f>
        <v>6796</v>
      </c>
      <c r="Q59" s="39">
        <f t="shared" si="140"/>
        <v>11051</v>
      </c>
      <c r="R59" s="10"/>
      <c r="S59" s="266">
        <f t="shared" ref="S59:U59" si="141">O59/K59</f>
        <v>0.16321730950141111</v>
      </c>
      <c r="T59" s="264">
        <f t="shared" si="141"/>
        <v>1.0163002841333932</v>
      </c>
      <c r="U59" s="264">
        <f t="shared" si="141"/>
        <v>0.71058384773662553</v>
      </c>
      <c r="X59" s="14"/>
      <c r="Y59" s="14" t="s">
        <v>1356</v>
      </c>
      <c r="Z59" s="258" t="s">
        <v>1356</v>
      </c>
      <c r="AA59" s="13"/>
      <c r="AB59" s="258" t="s">
        <v>1356</v>
      </c>
      <c r="AD59" s="258" t="str">
        <f t="shared" si="2"/>
        <v xml:space="preserve"> </v>
      </c>
      <c r="AE59" s="258" t="str">
        <f t="shared" si="3"/>
        <v xml:space="preserve"> </v>
      </c>
      <c r="AF59" s="258">
        <f t="shared" si="4"/>
        <v>2818</v>
      </c>
      <c r="AG59" s="258" t="str">
        <f t="shared" si="5"/>
        <v xml:space="preserve"> </v>
      </c>
    </row>
    <row r="60" spans="1:33" x14ac:dyDescent="0.25">
      <c r="A60" s="29" t="s">
        <v>125</v>
      </c>
      <c r="B60" s="31">
        <v>8</v>
      </c>
      <c r="C60" s="34" t="s">
        <v>126</v>
      </c>
      <c r="D60" s="34">
        <v>2018</v>
      </c>
      <c r="E60" s="36">
        <v>163</v>
      </c>
      <c r="F60" s="36">
        <v>14</v>
      </c>
      <c r="G60" s="36">
        <v>502</v>
      </c>
      <c r="H60" s="38">
        <v>1985</v>
      </c>
      <c r="I60" s="36">
        <v>2664</v>
      </c>
      <c r="J60" s="9"/>
      <c r="K60" s="39">
        <f t="shared" ref="K60:M60" si="142">K57*4</f>
        <v>8504</v>
      </c>
      <c r="L60" s="40">
        <f t="shared" si="142"/>
        <v>8916</v>
      </c>
      <c r="M60" s="39">
        <f t="shared" si="142"/>
        <v>20736</v>
      </c>
      <c r="N60" s="43"/>
      <c r="O60" s="39">
        <f t="shared" si="136"/>
        <v>1218</v>
      </c>
      <c r="P60" s="40">
        <f t="shared" ref="P60:Q60" si="143">H60+P59</f>
        <v>8781</v>
      </c>
      <c r="Q60" s="39">
        <f t="shared" si="143"/>
        <v>13715</v>
      </c>
      <c r="R60" s="10"/>
      <c r="S60" s="266">
        <f t="shared" ref="S60:U60" si="144">O60/K60</f>
        <v>0.14322671683913452</v>
      </c>
      <c r="T60" s="264">
        <f t="shared" si="144"/>
        <v>0.98485868102288021</v>
      </c>
      <c r="U60" s="264">
        <f t="shared" si="144"/>
        <v>0.66141010802469136</v>
      </c>
      <c r="V60" s="261" t="s">
        <v>125</v>
      </c>
      <c r="X60" s="14">
        <v>41470</v>
      </c>
      <c r="Y60" s="14">
        <v>20736</v>
      </c>
      <c r="Z60" s="258">
        <v>13715</v>
      </c>
      <c r="AA60" s="13"/>
      <c r="AB60" s="258" t="s">
        <v>1356</v>
      </c>
      <c r="AD60" s="258" t="str">
        <f t="shared" si="2"/>
        <v xml:space="preserve"> </v>
      </c>
      <c r="AE60" s="258" t="str">
        <f t="shared" si="3"/>
        <v xml:space="preserve"> </v>
      </c>
      <c r="AF60" s="258" t="str">
        <f t="shared" si="4"/>
        <v xml:space="preserve"> </v>
      </c>
      <c r="AG60" s="258">
        <f t="shared" si="5"/>
        <v>2664</v>
      </c>
    </row>
    <row r="61" spans="1:33" x14ac:dyDescent="0.25">
      <c r="A61" s="29"/>
      <c r="B61" s="31"/>
      <c r="C61" s="34"/>
      <c r="D61" s="34"/>
      <c r="E61" s="36"/>
      <c r="F61" s="36"/>
      <c r="G61" s="36"/>
      <c r="H61" s="38"/>
      <c r="I61" s="36"/>
      <c r="J61" s="9"/>
      <c r="K61" s="39"/>
      <c r="L61" s="40"/>
      <c r="M61" s="39"/>
      <c r="N61" s="43"/>
      <c r="O61" s="39"/>
      <c r="P61" s="40"/>
      <c r="Q61" s="39"/>
      <c r="R61" s="10"/>
      <c r="X61" s="14"/>
      <c r="Y61" s="14" t="s">
        <v>1356</v>
      </c>
      <c r="Z61" s="258" t="s">
        <v>1356</v>
      </c>
      <c r="AA61" s="13"/>
      <c r="AB61" s="258" t="s">
        <v>1356</v>
      </c>
      <c r="AD61" s="258" t="str">
        <f t="shared" si="2"/>
        <v xml:space="preserve"> </v>
      </c>
      <c r="AE61" s="258" t="str">
        <f t="shared" si="3"/>
        <v xml:space="preserve"> </v>
      </c>
      <c r="AF61" s="258" t="str">
        <f t="shared" si="4"/>
        <v xml:space="preserve"> </v>
      </c>
      <c r="AG61" s="258" t="str">
        <f t="shared" si="5"/>
        <v xml:space="preserve"> </v>
      </c>
    </row>
    <row r="62" spans="1:33" x14ac:dyDescent="0.25">
      <c r="A62" s="29" t="s">
        <v>143</v>
      </c>
      <c r="B62" s="31">
        <v>5</v>
      </c>
      <c r="C62" s="34" t="s">
        <v>69</v>
      </c>
      <c r="D62" s="34">
        <v>2014</v>
      </c>
      <c r="E62" s="36">
        <v>1</v>
      </c>
      <c r="F62" s="36">
        <v>3</v>
      </c>
      <c r="G62" s="36">
        <v>1</v>
      </c>
      <c r="H62" s="38">
        <v>4</v>
      </c>
      <c r="I62" s="36">
        <v>9</v>
      </c>
      <c r="J62" s="9"/>
      <c r="K62" s="39">
        <f>ROUND((60+40)/5,0)</f>
        <v>20</v>
      </c>
      <c r="L62" s="40">
        <v>22</v>
      </c>
      <c r="M62" s="39">
        <f>ROUND(260/5,0)</f>
        <v>52</v>
      </c>
      <c r="N62" s="43"/>
      <c r="O62" s="39">
        <f>E62+F62</f>
        <v>4</v>
      </c>
      <c r="P62" s="40">
        <f t="shared" ref="P62:Q62" si="145">H62</f>
        <v>4</v>
      </c>
      <c r="Q62" s="39">
        <f t="shared" si="145"/>
        <v>9</v>
      </c>
      <c r="R62" s="10"/>
      <c r="S62" s="266">
        <f t="shared" ref="S62:U62" si="146">O62/K62</f>
        <v>0.2</v>
      </c>
      <c r="T62" s="264">
        <f t="shared" si="146"/>
        <v>0.18181818181818182</v>
      </c>
      <c r="U62" s="264">
        <f t="shared" si="146"/>
        <v>0.17307692307692307</v>
      </c>
      <c r="X62" s="14"/>
      <c r="Y62" s="14" t="s">
        <v>1356</v>
      </c>
      <c r="Z62" s="258" t="s">
        <v>1356</v>
      </c>
      <c r="AA62" s="13"/>
      <c r="AB62" s="258">
        <v>52</v>
      </c>
      <c r="AD62" s="258" t="str">
        <f t="shared" si="2"/>
        <v xml:space="preserve"> </v>
      </c>
      <c r="AE62" s="258" t="str">
        <f t="shared" si="3"/>
        <v xml:space="preserve"> </v>
      </c>
      <c r="AF62" s="258" t="str">
        <f t="shared" si="4"/>
        <v xml:space="preserve"> </v>
      </c>
      <c r="AG62" s="258" t="str">
        <f t="shared" si="5"/>
        <v xml:space="preserve"> </v>
      </c>
    </row>
    <row r="63" spans="1:33" x14ac:dyDescent="0.25">
      <c r="A63" s="29" t="s">
        <v>143</v>
      </c>
      <c r="B63" s="31">
        <v>5</v>
      </c>
      <c r="C63" s="34" t="s">
        <v>69</v>
      </c>
      <c r="D63" s="34">
        <v>2015</v>
      </c>
      <c r="E63" s="36">
        <v>53</v>
      </c>
      <c r="F63" s="36">
        <v>1</v>
      </c>
      <c r="G63" s="36">
        <v>11</v>
      </c>
      <c r="H63" s="38">
        <v>6</v>
      </c>
      <c r="I63" s="36">
        <v>71</v>
      </c>
      <c r="J63" s="9"/>
      <c r="K63" s="39">
        <f t="shared" ref="K63:M63" si="147">K62*2</f>
        <v>40</v>
      </c>
      <c r="L63" s="40">
        <f t="shared" si="147"/>
        <v>44</v>
      </c>
      <c r="M63" s="39">
        <f t="shared" si="147"/>
        <v>104</v>
      </c>
      <c r="N63" s="43"/>
      <c r="O63" s="39">
        <f t="shared" ref="O63:O66" si="148">E63+F63+O62</f>
        <v>58</v>
      </c>
      <c r="P63" s="40">
        <f t="shared" ref="P63:Q63" si="149">H63+P62</f>
        <v>10</v>
      </c>
      <c r="Q63" s="39">
        <f t="shared" si="149"/>
        <v>80</v>
      </c>
      <c r="R63" s="10"/>
      <c r="S63" s="266">
        <f t="shared" ref="S63:U63" si="150">O63/K63</f>
        <v>1.45</v>
      </c>
      <c r="T63" s="264">
        <f t="shared" si="150"/>
        <v>0.22727272727272727</v>
      </c>
      <c r="U63" s="264">
        <f t="shared" si="150"/>
        <v>0.76923076923076927</v>
      </c>
      <c r="X63" s="14"/>
      <c r="Y63" s="14" t="s">
        <v>1356</v>
      </c>
      <c r="Z63" s="258" t="s">
        <v>1356</v>
      </c>
      <c r="AA63" s="13"/>
      <c r="AD63" s="258">
        <f t="shared" si="2"/>
        <v>71</v>
      </c>
      <c r="AE63" s="258" t="str">
        <f t="shared" si="3"/>
        <v xml:space="preserve"> </v>
      </c>
      <c r="AF63" s="258" t="str">
        <f t="shared" si="4"/>
        <v xml:space="preserve"> </v>
      </c>
      <c r="AG63" s="258" t="str">
        <f t="shared" si="5"/>
        <v xml:space="preserve"> </v>
      </c>
    </row>
    <row r="64" spans="1:33" x14ac:dyDescent="0.25">
      <c r="A64" s="29" t="s">
        <v>143</v>
      </c>
      <c r="B64" s="31">
        <v>5</v>
      </c>
      <c r="C64" s="34" t="s">
        <v>69</v>
      </c>
      <c r="D64" s="34">
        <v>2016</v>
      </c>
      <c r="E64" s="36">
        <v>1</v>
      </c>
      <c r="F64" s="36">
        <v>44</v>
      </c>
      <c r="G64" s="36">
        <v>8</v>
      </c>
      <c r="H64" s="38">
        <v>7</v>
      </c>
      <c r="I64" s="36">
        <v>60</v>
      </c>
      <c r="J64" s="9"/>
      <c r="K64" s="39">
        <f t="shared" ref="K64:M64" si="151">K62*3</f>
        <v>60</v>
      </c>
      <c r="L64" s="40">
        <f t="shared" si="151"/>
        <v>66</v>
      </c>
      <c r="M64" s="39">
        <f t="shared" si="151"/>
        <v>156</v>
      </c>
      <c r="N64" s="43"/>
      <c r="O64" s="39">
        <f t="shared" si="148"/>
        <v>103</v>
      </c>
      <c r="P64" s="40">
        <f t="shared" ref="P64:Q64" si="152">H64+P63</f>
        <v>17</v>
      </c>
      <c r="Q64" s="39">
        <f t="shared" si="152"/>
        <v>140</v>
      </c>
      <c r="R64" s="10"/>
      <c r="S64" s="266">
        <f t="shared" ref="S64:U64" si="153">O64/K64</f>
        <v>1.7166666666666666</v>
      </c>
      <c r="T64" s="264">
        <f t="shared" si="153"/>
        <v>0.25757575757575757</v>
      </c>
      <c r="U64" s="264">
        <f t="shared" si="153"/>
        <v>0.89743589743589747</v>
      </c>
      <c r="X64" s="14"/>
      <c r="Y64" s="14" t="s">
        <v>1356</v>
      </c>
      <c r="Z64" s="258" t="s">
        <v>1356</v>
      </c>
      <c r="AA64" s="13"/>
      <c r="AB64" s="258" t="s">
        <v>1356</v>
      </c>
      <c r="AD64" s="258" t="str">
        <f t="shared" si="2"/>
        <v xml:space="preserve"> </v>
      </c>
      <c r="AE64" s="258">
        <f t="shared" si="3"/>
        <v>60</v>
      </c>
      <c r="AF64" s="258" t="str">
        <f t="shared" si="4"/>
        <v xml:space="preserve"> </v>
      </c>
      <c r="AG64" s="258" t="str">
        <f t="shared" si="5"/>
        <v xml:space="preserve"> </v>
      </c>
    </row>
    <row r="65" spans="1:33" x14ac:dyDescent="0.25">
      <c r="A65" s="29" t="s">
        <v>143</v>
      </c>
      <c r="B65" s="31">
        <v>5</v>
      </c>
      <c r="C65" s="34" t="s">
        <v>69</v>
      </c>
      <c r="D65" s="34">
        <v>2017</v>
      </c>
      <c r="E65" s="36">
        <v>4</v>
      </c>
      <c r="F65" s="36">
        <v>3</v>
      </c>
      <c r="G65" s="36">
        <v>12</v>
      </c>
      <c r="H65" s="38">
        <v>15</v>
      </c>
      <c r="I65" s="36">
        <v>34</v>
      </c>
      <c r="J65" s="9"/>
      <c r="K65" s="39">
        <f t="shared" ref="K65:M65" si="154">K62*4</f>
        <v>80</v>
      </c>
      <c r="L65" s="40">
        <f t="shared" si="154"/>
        <v>88</v>
      </c>
      <c r="M65" s="39">
        <f t="shared" si="154"/>
        <v>208</v>
      </c>
      <c r="N65" s="43"/>
      <c r="O65" s="39">
        <f t="shared" si="148"/>
        <v>110</v>
      </c>
      <c r="P65" s="40">
        <f t="shared" ref="P65:Q65" si="155">H65+P64</f>
        <v>32</v>
      </c>
      <c r="Q65" s="39">
        <f t="shared" si="155"/>
        <v>174</v>
      </c>
      <c r="R65" s="10"/>
      <c r="S65" s="266">
        <f t="shared" ref="S65:U65" si="156">O65/K65</f>
        <v>1.375</v>
      </c>
      <c r="T65" s="264">
        <f t="shared" si="156"/>
        <v>0.36363636363636365</v>
      </c>
      <c r="U65" s="264">
        <f t="shared" si="156"/>
        <v>0.83653846153846156</v>
      </c>
      <c r="X65" s="14"/>
      <c r="Y65" s="14" t="s">
        <v>1356</v>
      </c>
      <c r="Z65" s="258" t="s">
        <v>1356</v>
      </c>
      <c r="AA65" s="13"/>
      <c r="AB65" s="258" t="s">
        <v>1356</v>
      </c>
      <c r="AD65" s="258" t="str">
        <f t="shared" si="2"/>
        <v xml:space="preserve"> </v>
      </c>
      <c r="AE65" s="258" t="str">
        <f t="shared" si="3"/>
        <v xml:space="preserve"> </v>
      </c>
      <c r="AF65" s="258">
        <f t="shared" si="4"/>
        <v>34</v>
      </c>
      <c r="AG65" s="258" t="str">
        <f t="shared" si="5"/>
        <v xml:space="preserve"> </v>
      </c>
    </row>
    <row r="66" spans="1:33" x14ac:dyDescent="0.25">
      <c r="A66" s="29" t="s">
        <v>143</v>
      </c>
      <c r="B66" s="31">
        <v>5</v>
      </c>
      <c r="C66" s="34" t="s">
        <v>69</v>
      </c>
      <c r="D66" s="34">
        <v>2018</v>
      </c>
      <c r="E66" s="36">
        <v>0</v>
      </c>
      <c r="F66" s="36">
        <v>33</v>
      </c>
      <c r="G66" s="36">
        <v>13</v>
      </c>
      <c r="H66" s="38">
        <v>0</v>
      </c>
      <c r="I66" s="36">
        <v>46</v>
      </c>
      <c r="J66" s="9"/>
      <c r="K66" s="39">
        <f t="shared" ref="K66:M66" si="157">K62*5</f>
        <v>100</v>
      </c>
      <c r="L66" s="40">
        <f t="shared" si="157"/>
        <v>110</v>
      </c>
      <c r="M66" s="39">
        <f t="shared" si="157"/>
        <v>260</v>
      </c>
      <c r="N66" s="43"/>
      <c r="O66" s="39">
        <f t="shared" si="148"/>
        <v>143</v>
      </c>
      <c r="P66" s="40">
        <f t="shared" ref="P66:Q66" si="158">H66+P65</f>
        <v>32</v>
      </c>
      <c r="Q66" s="39">
        <f t="shared" si="158"/>
        <v>220</v>
      </c>
      <c r="R66" s="10"/>
      <c r="S66" s="266">
        <f t="shared" ref="S66:U66" si="159">O66/K66</f>
        <v>1.43</v>
      </c>
      <c r="T66" s="264">
        <f t="shared" si="159"/>
        <v>0.29090909090909089</v>
      </c>
      <c r="U66" s="264">
        <f t="shared" si="159"/>
        <v>0.84615384615384615</v>
      </c>
      <c r="V66" s="261" t="s">
        <v>143</v>
      </c>
      <c r="X66" s="14">
        <v>260</v>
      </c>
      <c r="Y66" s="14">
        <v>260</v>
      </c>
      <c r="Z66" s="258">
        <v>220</v>
      </c>
      <c r="AA66" s="13"/>
      <c r="AB66" s="258" t="s">
        <v>1356</v>
      </c>
      <c r="AD66" s="258" t="str">
        <f t="shared" si="2"/>
        <v xml:space="preserve"> </v>
      </c>
      <c r="AE66" s="258" t="str">
        <f t="shared" si="3"/>
        <v xml:space="preserve"> </v>
      </c>
      <c r="AF66" s="258" t="str">
        <f t="shared" si="4"/>
        <v xml:space="preserve"> </v>
      </c>
      <c r="AG66" s="258">
        <f t="shared" si="5"/>
        <v>46</v>
      </c>
    </row>
    <row r="67" spans="1:33" x14ac:dyDescent="0.25">
      <c r="A67" s="29"/>
      <c r="B67" s="31"/>
      <c r="C67" s="34"/>
      <c r="D67" s="34"/>
      <c r="E67" s="36"/>
      <c r="F67" s="36"/>
      <c r="G67" s="36"/>
      <c r="H67" s="38"/>
      <c r="I67" s="36"/>
      <c r="J67" s="9"/>
      <c r="K67" s="39"/>
      <c r="L67" s="40"/>
      <c r="M67" s="39"/>
      <c r="N67" s="43"/>
      <c r="O67" s="39"/>
      <c r="P67" s="40"/>
      <c r="Q67" s="39"/>
      <c r="R67" s="10"/>
      <c r="X67" s="14"/>
      <c r="Y67" s="14" t="s">
        <v>1356</v>
      </c>
      <c r="Z67" s="258" t="s">
        <v>1356</v>
      </c>
      <c r="AA67" s="13"/>
      <c r="AB67" s="258" t="s">
        <v>1356</v>
      </c>
      <c r="AD67" s="258" t="str">
        <f t="shared" si="2"/>
        <v xml:space="preserve"> </v>
      </c>
      <c r="AE67" s="258" t="str">
        <f t="shared" si="3"/>
        <v xml:space="preserve"> </v>
      </c>
      <c r="AF67" s="258" t="str">
        <f t="shared" si="4"/>
        <v xml:space="preserve"> </v>
      </c>
      <c r="AG67" s="258" t="str">
        <f t="shared" si="5"/>
        <v xml:space="preserve"> </v>
      </c>
    </row>
    <row r="68" spans="1:33" x14ac:dyDescent="0.25">
      <c r="A68" s="29" t="s">
        <v>171</v>
      </c>
      <c r="B68" s="31">
        <v>5</v>
      </c>
      <c r="C68" s="34" t="s">
        <v>69</v>
      </c>
      <c r="D68" s="34">
        <v>2014</v>
      </c>
      <c r="E68" s="36">
        <v>42</v>
      </c>
      <c r="F68" s="36">
        <v>18</v>
      </c>
      <c r="G68" s="36">
        <v>34</v>
      </c>
      <c r="H68" s="38">
        <v>97</v>
      </c>
      <c r="I68" s="36">
        <v>191</v>
      </c>
      <c r="J68" s="9"/>
      <c r="K68" s="39">
        <v>164</v>
      </c>
      <c r="L68" s="40">
        <f>ROUND(890/5,0)</f>
        <v>178</v>
      </c>
      <c r="M68" s="39">
        <v>412</v>
      </c>
      <c r="N68" s="43"/>
      <c r="O68" s="39">
        <f>E68+F68</f>
        <v>60</v>
      </c>
      <c r="P68" s="40">
        <f t="shared" ref="P68:Q68" si="160">H68</f>
        <v>97</v>
      </c>
      <c r="Q68" s="39">
        <f t="shared" si="160"/>
        <v>191</v>
      </c>
      <c r="R68" s="10"/>
      <c r="S68" s="266">
        <f t="shared" ref="S68:U68" si="161">O68/K68</f>
        <v>0.36585365853658536</v>
      </c>
      <c r="T68" s="264">
        <f t="shared" si="161"/>
        <v>0.5449438202247191</v>
      </c>
      <c r="U68" s="264">
        <f t="shared" si="161"/>
        <v>0.46359223300970875</v>
      </c>
      <c r="X68" s="14"/>
      <c r="Y68" s="14" t="s">
        <v>1356</v>
      </c>
      <c r="Z68" s="258" t="s">
        <v>1356</v>
      </c>
      <c r="AA68" s="13"/>
      <c r="AB68" s="258">
        <v>412</v>
      </c>
      <c r="AD68" s="258" t="str">
        <f t="shared" si="2"/>
        <v xml:space="preserve"> </v>
      </c>
      <c r="AE68" s="258" t="str">
        <f t="shared" si="3"/>
        <v xml:space="preserve"> </v>
      </c>
      <c r="AF68" s="258" t="str">
        <f t="shared" si="4"/>
        <v xml:space="preserve"> </v>
      </c>
      <c r="AG68" s="258" t="str">
        <f t="shared" si="5"/>
        <v xml:space="preserve"> </v>
      </c>
    </row>
    <row r="69" spans="1:33" x14ac:dyDescent="0.25">
      <c r="A69" s="29" t="s">
        <v>171</v>
      </c>
      <c r="B69" s="31">
        <v>5</v>
      </c>
      <c r="C69" s="34" t="s">
        <v>69</v>
      </c>
      <c r="D69" s="34">
        <v>2015</v>
      </c>
      <c r="E69" s="36">
        <v>22</v>
      </c>
      <c r="F69" s="36">
        <v>59</v>
      </c>
      <c r="G69" s="36">
        <v>64</v>
      </c>
      <c r="H69" s="38">
        <v>55</v>
      </c>
      <c r="I69" s="36">
        <v>200</v>
      </c>
      <c r="J69" s="9"/>
      <c r="K69" s="39">
        <f t="shared" ref="K69:M69" si="162">K68*2</f>
        <v>328</v>
      </c>
      <c r="L69" s="40">
        <f t="shared" si="162"/>
        <v>356</v>
      </c>
      <c r="M69" s="39">
        <f t="shared" si="162"/>
        <v>824</v>
      </c>
      <c r="N69" s="43"/>
      <c r="O69" s="39">
        <f t="shared" ref="O69:O72" si="163">E69+F69+O68</f>
        <v>141</v>
      </c>
      <c r="P69" s="40">
        <f t="shared" ref="P69:Q69" si="164">H69+P68</f>
        <v>152</v>
      </c>
      <c r="Q69" s="39">
        <f t="shared" si="164"/>
        <v>391</v>
      </c>
      <c r="R69" s="10"/>
      <c r="S69" s="266">
        <f t="shared" ref="S69:U69" si="165">O69/K69</f>
        <v>0.4298780487804878</v>
      </c>
      <c r="T69" s="264">
        <f t="shared" si="165"/>
        <v>0.42696629213483145</v>
      </c>
      <c r="U69" s="264">
        <f t="shared" si="165"/>
        <v>0.47451456310679613</v>
      </c>
      <c r="X69" s="14"/>
      <c r="Y69" s="14" t="s">
        <v>1356</v>
      </c>
      <c r="Z69" s="258" t="s">
        <v>1356</v>
      </c>
      <c r="AA69" s="13"/>
      <c r="AD69" s="258">
        <f t="shared" si="2"/>
        <v>200</v>
      </c>
      <c r="AE69" s="258" t="str">
        <f t="shared" si="3"/>
        <v xml:space="preserve"> </v>
      </c>
      <c r="AF69" s="258" t="str">
        <f t="shared" si="4"/>
        <v xml:space="preserve"> </v>
      </c>
      <c r="AG69" s="258" t="str">
        <f t="shared" si="5"/>
        <v xml:space="preserve"> </v>
      </c>
    </row>
    <row r="70" spans="1:33" x14ac:dyDescent="0.25">
      <c r="A70" s="29" t="s">
        <v>171</v>
      </c>
      <c r="B70" s="31">
        <v>5</v>
      </c>
      <c r="C70" s="34" t="s">
        <v>69</v>
      </c>
      <c r="D70" s="34">
        <v>2016</v>
      </c>
      <c r="E70" s="36">
        <v>3</v>
      </c>
      <c r="F70" s="36">
        <v>11</v>
      </c>
      <c r="G70" s="36">
        <v>73</v>
      </c>
      <c r="H70" s="38">
        <v>38</v>
      </c>
      <c r="I70" s="36">
        <v>125</v>
      </c>
      <c r="J70" s="9"/>
      <c r="K70" s="39">
        <f t="shared" ref="K70:M70" si="166">K68*3</f>
        <v>492</v>
      </c>
      <c r="L70" s="40">
        <f t="shared" si="166"/>
        <v>534</v>
      </c>
      <c r="M70" s="39">
        <f t="shared" si="166"/>
        <v>1236</v>
      </c>
      <c r="N70" s="43"/>
      <c r="O70" s="39">
        <f t="shared" si="163"/>
        <v>155</v>
      </c>
      <c r="P70" s="40">
        <f t="shared" ref="P70:Q70" si="167">H70+P69</f>
        <v>190</v>
      </c>
      <c r="Q70" s="39">
        <f t="shared" si="167"/>
        <v>516</v>
      </c>
      <c r="R70" s="10"/>
      <c r="S70" s="266">
        <f t="shared" ref="S70:U70" si="168">O70/K70</f>
        <v>0.31504065040650409</v>
      </c>
      <c r="T70" s="264">
        <f t="shared" si="168"/>
        <v>0.35580524344569286</v>
      </c>
      <c r="U70" s="264">
        <f t="shared" si="168"/>
        <v>0.41747572815533979</v>
      </c>
      <c r="X70" s="14"/>
      <c r="Y70" s="14" t="s">
        <v>1356</v>
      </c>
      <c r="Z70" s="258" t="s">
        <v>1356</v>
      </c>
      <c r="AA70" s="13"/>
      <c r="AB70" s="258" t="s">
        <v>1356</v>
      </c>
      <c r="AD70" s="258" t="str">
        <f t="shared" si="2"/>
        <v xml:space="preserve"> </v>
      </c>
      <c r="AE70" s="258">
        <f t="shared" si="3"/>
        <v>125</v>
      </c>
      <c r="AF70" s="258" t="str">
        <f t="shared" si="4"/>
        <v xml:space="preserve"> </v>
      </c>
      <c r="AG70" s="258" t="str">
        <f t="shared" si="5"/>
        <v xml:space="preserve"> </v>
      </c>
    </row>
    <row r="71" spans="1:33" x14ac:dyDescent="0.25">
      <c r="A71" s="29" t="s">
        <v>171</v>
      </c>
      <c r="B71" s="31">
        <v>5</v>
      </c>
      <c r="C71" s="34" t="s">
        <v>69</v>
      </c>
      <c r="D71" s="34">
        <v>2017</v>
      </c>
      <c r="E71" s="36">
        <v>7</v>
      </c>
      <c r="F71" s="36">
        <v>15</v>
      </c>
      <c r="G71" s="36">
        <v>254</v>
      </c>
      <c r="H71" s="38">
        <v>38</v>
      </c>
      <c r="I71" s="36">
        <v>314</v>
      </c>
      <c r="J71" s="9"/>
      <c r="K71" s="39">
        <f t="shared" ref="K71:M71" si="169">K68*4</f>
        <v>656</v>
      </c>
      <c r="L71" s="40">
        <f t="shared" si="169"/>
        <v>712</v>
      </c>
      <c r="M71" s="39">
        <f t="shared" si="169"/>
        <v>1648</v>
      </c>
      <c r="N71" s="43"/>
      <c r="O71" s="39">
        <f t="shared" si="163"/>
        <v>177</v>
      </c>
      <c r="P71" s="40">
        <f t="shared" ref="P71:Q71" si="170">H71+P70</f>
        <v>228</v>
      </c>
      <c r="Q71" s="39">
        <f t="shared" si="170"/>
        <v>830</v>
      </c>
      <c r="R71" s="10"/>
      <c r="S71" s="266">
        <f t="shared" ref="S71:U71" si="171">O71/K71</f>
        <v>0.26981707317073172</v>
      </c>
      <c r="T71" s="264">
        <f t="shared" si="171"/>
        <v>0.3202247191011236</v>
      </c>
      <c r="U71" s="264">
        <f t="shared" si="171"/>
        <v>0.50364077669902918</v>
      </c>
      <c r="X71" s="14"/>
      <c r="Y71" s="14" t="s">
        <v>1356</v>
      </c>
      <c r="Z71" s="258" t="s">
        <v>1356</v>
      </c>
      <c r="AA71" s="13"/>
      <c r="AB71" s="258" t="s">
        <v>1356</v>
      </c>
      <c r="AD71" s="258" t="str">
        <f t="shared" si="2"/>
        <v xml:space="preserve"> </v>
      </c>
      <c r="AE71" s="258" t="str">
        <f t="shared" si="3"/>
        <v xml:space="preserve"> </v>
      </c>
      <c r="AF71" s="258">
        <f t="shared" si="4"/>
        <v>314</v>
      </c>
      <c r="AG71" s="258" t="str">
        <f t="shared" si="5"/>
        <v xml:space="preserve"> </v>
      </c>
    </row>
    <row r="72" spans="1:33" x14ac:dyDescent="0.25">
      <c r="A72" s="29" t="s">
        <v>171</v>
      </c>
      <c r="B72" s="31">
        <v>5</v>
      </c>
      <c r="C72" s="34" t="s">
        <v>69</v>
      </c>
      <c r="D72" s="34">
        <v>2018</v>
      </c>
      <c r="E72" s="36">
        <v>40</v>
      </c>
      <c r="F72" s="36">
        <v>13</v>
      </c>
      <c r="G72" s="36">
        <v>87</v>
      </c>
      <c r="H72" s="38">
        <v>123</v>
      </c>
      <c r="I72" s="36">
        <v>263</v>
      </c>
      <c r="J72" s="9"/>
      <c r="K72" s="39">
        <f t="shared" ref="K72:M72" si="172">K68*5</f>
        <v>820</v>
      </c>
      <c r="L72" s="40">
        <f t="shared" si="172"/>
        <v>890</v>
      </c>
      <c r="M72" s="39">
        <f t="shared" si="172"/>
        <v>2060</v>
      </c>
      <c r="N72" s="43"/>
      <c r="O72" s="39">
        <f t="shared" si="163"/>
        <v>230</v>
      </c>
      <c r="P72" s="40">
        <f t="shared" ref="P72:Q72" si="173">H72+P71</f>
        <v>351</v>
      </c>
      <c r="Q72" s="39">
        <f t="shared" si="173"/>
        <v>1093</v>
      </c>
      <c r="R72" s="10"/>
      <c r="S72" s="266">
        <f t="shared" ref="S72:U72" si="174">O72/K72</f>
        <v>0.28048780487804881</v>
      </c>
      <c r="T72" s="264">
        <f t="shared" si="174"/>
        <v>0.39438202247191012</v>
      </c>
      <c r="U72" s="264">
        <f t="shared" si="174"/>
        <v>0.53058252427184471</v>
      </c>
      <c r="V72" s="261" t="s">
        <v>171</v>
      </c>
      <c r="X72" s="14">
        <v>2060</v>
      </c>
      <c r="Y72" s="14">
        <v>2060</v>
      </c>
      <c r="Z72" s="258">
        <v>1093</v>
      </c>
      <c r="AA72" s="13"/>
      <c r="AB72" s="258" t="s">
        <v>1356</v>
      </c>
      <c r="AD72" s="258" t="str">
        <f t="shared" si="2"/>
        <v xml:space="preserve"> </v>
      </c>
      <c r="AE72" s="258" t="str">
        <f t="shared" si="3"/>
        <v xml:space="preserve"> </v>
      </c>
      <c r="AF72" s="258" t="str">
        <f t="shared" si="4"/>
        <v xml:space="preserve"> </v>
      </c>
      <c r="AG72" s="258">
        <f t="shared" si="5"/>
        <v>263</v>
      </c>
    </row>
    <row r="73" spans="1:33" x14ac:dyDescent="0.25">
      <c r="A73" s="29"/>
      <c r="B73" s="31"/>
      <c r="C73" s="34"/>
      <c r="D73" s="34"/>
      <c r="E73" s="36"/>
      <c r="F73" s="36"/>
      <c r="G73" s="36"/>
      <c r="H73" s="38"/>
      <c r="I73" s="36"/>
      <c r="J73" s="9"/>
      <c r="K73" s="39"/>
      <c r="L73" s="40"/>
      <c r="M73" s="39"/>
      <c r="N73" s="43"/>
      <c r="O73" s="39"/>
      <c r="P73" s="40"/>
      <c r="Q73" s="39"/>
      <c r="R73" s="10"/>
      <c r="X73" s="14"/>
      <c r="Y73" s="14" t="s">
        <v>1356</v>
      </c>
      <c r="Z73" s="258" t="s">
        <v>1356</v>
      </c>
      <c r="AA73" s="13"/>
      <c r="AB73" s="258" t="s">
        <v>1356</v>
      </c>
      <c r="AD73" s="258" t="str">
        <f t="shared" si="2"/>
        <v xml:space="preserve"> </v>
      </c>
      <c r="AE73" s="258" t="str">
        <f t="shared" si="3"/>
        <v xml:space="preserve"> </v>
      </c>
      <c r="AF73" s="258" t="str">
        <f t="shared" si="4"/>
        <v xml:space="preserve"> </v>
      </c>
      <c r="AG73" s="258" t="str">
        <f t="shared" si="5"/>
        <v xml:space="preserve"> </v>
      </c>
    </row>
    <row r="74" spans="1:33" x14ac:dyDescent="0.25">
      <c r="A74" s="29" t="s">
        <v>189</v>
      </c>
      <c r="B74" s="31">
        <v>8</v>
      </c>
      <c r="C74" s="34" t="s">
        <v>124</v>
      </c>
      <c r="D74" s="34">
        <v>2014</v>
      </c>
      <c r="E74" s="36">
        <v>130</v>
      </c>
      <c r="F74" s="36">
        <v>18</v>
      </c>
      <c r="G74" s="36">
        <v>85</v>
      </c>
      <c r="H74" s="38">
        <v>65</v>
      </c>
      <c r="I74" s="36">
        <v>298</v>
      </c>
      <c r="J74" s="9"/>
      <c r="K74" s="39">
        <f>ROUND((2561+1552)/8,0)</f>
        <v>514</v>
      </c>
      <c r="L74" s="40">
        <f>ROUND(4419/8,0)</f>
        <v>552</v>
      </c>
      <c r="M74" s="39">
        <f>ROUND(10077/8,0)</f>
        <v>1260</v>
      </c>
      <c r="N74" s="43"/>
      <c r="O74" s="39">
        <f>E74+F74</f>
        <v>148</v>
      </c>
      <c r="P74" s="40">
        <f t="shared" ref="P74:Q74" si="175">H74</f>
        <v>65</v>
      </c>
      <c r="Q74" s="39">
        <f t="shared" si="175"/>
        <v>298</v>
      </c>
      <c r="R74" s="10"/>
      <c r="S74" s="266">
        <f t="shared" ref="S74:U74" si="176">O74/K74</f>
        <v>0.28793774319066145</v>
      </c>
      <c r="T74" s="264">
        <f t="shared" si="176"/>
        <v>0.11775362318840579</v>
      </c>
      <c r="U74" s="264">
        <f t="shared" si="176"/>
        <v>0.2365079365079365</v>
      </c>
      <c r="X74" s="14"/>
      <c r="Y74" s="14" t="s">
        <v>1356</v>
      </c>
      <c r="Z74" s="258" t="s">
        <v>1356</v>
      </c>
      <c r="AA74" s="13"/>
      <c r="AB74" s="258">
        <v>1260</v>
      </c>
      <c r="AD74" s="258" t="str">
        <f t="shared" si="2"/>
        <v xml:space="preserve"> </v>
      </c>
      <c r="AE74" s="258" t="str">
        <f t="shared" si="3"/>
        <v xml:space="preserve"> </v>
      </c>
      <c r="AF74" s="258" t="str">
        <f t="shared" si="4"/>
        <v xml:space="preserve"> </v>
      </c>
      <c r="AG74" s="258" t="str">
        <f t="shared" si="5"/>
        <v xml:space="preserve"> </v>
      </c>
    </row>
    <row r="75" spans="1:33" x14ac:dyDescent="0.25">
      <c r="A75" s="29" t="s">
        <v>189</v>
      </c>
      <c r="B75" s="31">
        <v>8</v>
      </c>
      <c r="C75" s="34" t="s">
        <v>124</v>
      </c>
      <c r="D75" s="34">
        <v>2015</v>
      </c>
      <c r="E75" s="36">
        <v>20</v>
      </c>
      <c r="F75" s="36">
        <v>42</v>
      </c>
      <c r="G75" s="36">
        <v>171</v>
      </c>
      <c r="H75" s="38">
        <v>30</v>
      </c>
      <c r="I75" s="36">
        <v>263</v>
      </c>
      <c r="J75" s="9"/>
      <c r="K75" s="39">
        <f t="shared" ref="K75:M75" si="177">K74*2</f>
        <v>1028</v>
      </c>
      <c r="L75" s="40">
        <f t="shared" si="177"/>
        <v>1104</v>
      </c>
      <c r="M75" s="39">
        <f t="shared" si="177"/>
        <v>2520</v>
      </c>
      <c r="N75" s="43"/>
      <c r="O75" s="39">
        <f t="shared" ref="O75:O78" si="178">E75+F75+O74</f>
        <v>210</v>
      </c>
      <c r="P75" s="40">
        <f t="shared" ref="P75:Q75" si="179">H75+P74</f>
        <v>95</v>
      </c>
      <c r="Q75" s="39">
        <f t="shared" si="179"/>
        <v>561</v>
      </c>
      <c r="R75" s="10"/>
      <c r="S75" s="266">
        <f t="shared" ref="S75:U75" si="180">O75/K75</f>
        <v>0.20428015564202334</v>
      </c>
      <c r="T75" s="264">
        <f t="shared" si="180"/>
        <v>8.6050724637681153E-2</v>
      </c>
      <c r="U75" s="264">
        <f t="shared" si="180"/>
        <v>0.22261904761904761</v>
      </c>
      <c r="X75" s="14"/>
      <c r="Y75" s="14" t="s">
        <v>1356</v>
      </c>
      <c r="Z75" s="258" t="s">
        <v>1356</v>
      </c>
      <c r="AA75" s="13"/>
      <c r="AD75" s="258">
        <f t="shared" si="2"/>
        <v>263</v>
      </c>
      <c r="AE75" s="258" t="str">
        <f t="shared" si="3"/>
        <v xml:space="preserve"> </v>
      </c>
      <c r="AF75" s="258" t="str">
        <f t="shared" si="4"/>
        <v xml:space="preserve"> </v>
      </c>
      <c r="AG75" s="258" t="str">
        <f t="shared" si="5"/>
        <v xml:space="preserve"> </v>
      </c>
    </row>
    <row r="76" spans="1:33" x14ac:dyDescent="0.25">
      <c r="A76" s="29" t="s">
        <v>189</v>
      </c>
      <c r="B76" s="31">
        <v>8</v>
      </c>
      <c r="C76" s="34" t="s">
        <v>124</v>
      </c>
      <c r="D76" s="34">
        <v>2016</v>
      </c>
      <c r="E76" s="36">
        <v>5</v>
      </c>
      <c r="F76" s="36">
        <v>13</v>
      </c>
      <c r="G76" s="36">
        <v>307</v>
      </c>
      <c r="H76" s="38">
        <v>44</v>
      </c>
      <c r="I76" s="36">
        <v>369</v>
      </c>
      <c r="J76" s="9"/>
      <c r="K76" s="39">
        <f t="shared" ref="K76:M76" si="181">K74*3</f>
        <v>1542</v>
      </c>
      <c r="L76" s="40">
        <f t="shared" si="181"/>
        <v>1656</v>
      </c>
      <c r="M76" s="39">
        <f t="shared" si="181"/>
        <v>3780</v>
      </c>
      <c r="N76" s="43"/>
      <c r="O76" s="39">
        <f t="shared" si="178"/>
        <v>228</v>
      </c>
      <c r="P76" s="40">
        <f t="shared" ref="P76:Q76" si="182">H76+P75</f>
        <v>139</v>
      </c>
      <c r="Q76" s="39">
        <f t="shared" si="182"/>
        <v>930</v>
      </c>
      <c r="R76" s="10"/>
      <c r="S76" s="266">
        <f t="shared" ref="S76:U76" si="183">O76/K76</f>
        <v>0.14785992217898833</v>
      </c>
      <c r="T76" s="264">
        <f t="shared" si="183"/>
        <v>8.3937198067632848E-2</v>
      </c>
      <c r="U76" s="264">
        <f t="shared" si="183"/>
        <v>0.24603174603174602</v>
      </c>
      <c r="X76" s="14"/>
      <c r="Y76" s="14" t="s">
        <v>1356</v>
      </c>
      <c r="Z76" s="258" t="s">
        <v>1356</v>
      </c>
      <c r="AA76" s="13"/>
      <c r="AB76" s="258" t="s">
        <v>1356</v>
      </c>
      <c r="AD76" s="258" t="str">
        <f t="shared" si="2"/>
        <v xml:space="preserve"> </v>
      </c>
      <c r="AE76" s="258">
        <f t="shared" si="3"/>
        <v>369</v>
      </c>
      <c r="AF76" s="258" t="str">
        <f t="shared" si="4"/>
        <v xml:space="preserve"> </v>
      </c>
      <c r="AG76" s="258" t="str">
        <f t="shared" si="5"/>
        <v xml:space="preserve"> </v>
      </c>
    </row>
    <row r="77" spans="1:33" x14ac:dyDescent="0.25">
      <c r="A77" s="29" t="s">
        <v>189</v>
      </c>
      <c r="B77" s="31">
        <v>8</v>
      </c>
      <c r="C77" s="34" t="s">
        <v>124</v>
      </c>
      <c r="D77" s="34">
        <v>2017</v>
      </c>
      <c r="E77" s="36">
        <v>6</v>
      </c>
      <c r="F77" s="36">
        <v>82</v>
      </c>
      <c r="G77" s="36">
        <v>150</v>
      </c>
      <c r="H77" s="38">
        <v>40</v>
      </c>
      <c r="I77" s="36">
        <v>278</v>
      </c>
      <c r="J77" s="9"/>
      <c r="K77" s="39">
        <f t="shared" ref="K77:M77" si="184">K74*4</f>
        <v>2056</v>
      </c>
      <c r="L77" s="40">
        <f t="shared" si="184"/>
        <v>2208</v>
      </c>
      <c r="M77" s="39">
        <f t="shared" si="184"/>
        <v>5040</v>
      </c>
      <c r="N77" s="43"/>
      <c r="O77" s="39">
        <f t="shared" si="178"/>
        <v>316</v>
      </c>
      <c r="P77" s="40">
        <f t="shared" ref="P77:Q77" si="185">H77+P76</f>
        <v>179</v>
      </c>
      <c r="Q77" s="39">
        <f t="shared" si="185"/>
        <v>1208</v>
      </c>
      <c r="R77" s="10"/>
      <c r="S77" s="266">
        <f t="shared" ref="S77:U77" si="186">O77/K77</f>
        <v>0.15369649805447472</v>
      </c>
      <c r="T77" s="264">
        <f t="shared" si="186"/>
        <v>8.1068840579710144E-2</v>
      </c>
      <c r="U77" s="264">
        <f t="shared" si="186"/>
        <v>0.23968253968253969</v>
      </c>
      <c r="X77" s="14"/>
      <c r="Y77" s="14" t="s">
        <v>1356</v>
      </c>
      <c r="Z77" s="258" t="s">
        <v>1356</v>
      </c>
      <c r="AA77" s="13"/>
      <c r="AB77" s="258" t="s">
        <v>1356</v>
      </c>
      <c r="AD77" s="258" t="str">
        <f t="shared" si="2"/>
        <v xml:space="preserve"> </v>
      </c>
      <c r="AE77" s="258" t="str">
        <f t="shared" si="3"/>
        <v xml:space="preserve"> </v>
      </c>
      <c r="AF77" s="258">
        <f t="shared" si="4"/>
        <v>278</v>
      </c>
      <c r="AG77" s="258" t="str">
        <f t="shared" si="5"/>
        <v xml:space="preserve"> </v>
      </c>
    </row>
    <row r="78" spans="1:33" x14ac:dyDescent="0.25">
      <c r="A78" s="29" t="s">
        <v>189</v>
      </c>
      <c r="B78" s="31">
        <v>8</v>
      </c>
      <c r="C78" s="34" t="s">
        <v>124</v>
      </c>
      <c r="D78" s="34">
        <v>2018</v>
      </c>
      <c r="E78" s="36">
        <v>101</v>
      </c>
      <c r="F78" s="36">
        <v>34</v>
      </c>
      <c r="G78" s="36">
        <v>197</v>
      </c>
      <c r="H78" s="38">
        <v>61</v>
      </c>
      <c r="I78" s="36">
        <v>393</v>
      </c>
      <c r="J78" s="9"/>
      <c r="K78" s="39">
        <f t="shared" ref="K78:M78" si="187">K74*5</f>
        <v>2570</v>
      </c>
      <c r="L78" s="40">
        <f t="shared" si="187"/>
        <v>2760</v>
      </c>
      <c r="M78" s="39">
        <f t="shared" si="187"/>
        <v>6300</v>
      </c>
      <c r="N78" s="43"/>
      <c r="O78" s="39">
        <f t="shared" si="178"/>
        <v>451</v>
      </c>
      <c r="P78" s="40">
        <f t="shared" ref="P78:Q78" si="188">H78+P77</f>
        <v>240</v>
      </c>
      <c r="Q78" s="39">
        <f t="shared" si="188"/>
        <v>1601</v>
      </c>
      <c r="R78" s="10"/>
      <c r="S78" s="266">
        <f t="shared" ref="S78:U78" si="189">O78/K78</f>
        <v>0.17548638132295719</v>
      </c>
      <c r="T78" s="264">
        <f t="shared" si="189"/>
        <v>8.6956521739130432E-2</v>
      </c>
      <c r="U78" s="264">
        <f t="shared" si="189"/>
        <v>0.25412698412698415</v>
      </c>
      <c r="V78" s="261" t="s">
        <v>189</v>
      </c>
      <c r="X78" s="14">
        <v>10077</v>
      </c>
      <c r="Y78" s="14">
        <v>6300</v>
      </c>
      <c r="Z78" s="258">
        <v>1601</v>
      </c>
      <c r="AA78" s="13"/>
      <c r="AB78" s="258" t="s">
        <v>1356</v>
      </c>
      <c r="AD78" s="258" t="str">
        <f t="shared" si="2"/>
        <v xml:space="preserve"> </v>
      </c>
      <c r="AE78" s="258" t="str">
        <f t="shared" si="3"/>
        <v xml:space="preserve"> </v>
      </c>
      <c r="AF78" s="258" t="str">
        <f t="shared" si="4"/>
        <v xml:space="preserve"> </v>
      </c>
      <c r="AG78" s="258">
        <f t="shared" si="5"/>
        <v>393</v>
      </c>
    </row>
    <row r="79" spans="1:33" x14ac:dyDescent="0.25">
      <c r="A79" s="29"/>
      <c r="B79" s="31"/>
      <c r="C79" s="34"/>
      <c r="D79" s="34"/>
      <c r="E79" s="36"/>
      <c r="F79" s="36"/>
      <c r="G79" s="36"/>
      <c r="H79" s="38"/>
      <c r="I79" s="36"/>
      <c r="J79" s="9"/>
      <c r="K79" s="39"/>
      <c r="L79" s="40"/>
      <c r="M79" s="39"/>
      <c r="N79" s="43"/>
      <c r="O79" s="39"/>
      <c r="P79" s="40"/>
      <c r="Q79" s="39"/>
      <c r="R79" s="10"/>
      <c r="X79" s="14"/>
      <c r="Y79" s="14" t="s">
        <v>1356</v>
      </c>
      <c r="Z79" s="258" t="s">
        <v>1356</v>
      </c>
      <c r="AA79" s="13"/>
      <c r="AB79" s="258" t="s">
        <v>1356</v>
      </c>
      <c r="AD79" s="258" t="str">
        <f t="shared" si="2"/>
        <v xml:space="preserve"> </v>
      </c>
      <c r="AE79" s="258" t="str">
        <f t="shared" si="3"/>
        <v xml:space="preserve"> </v>
      </c>
      <c r="AF79" s="258" t="str">
        <f t="shared" si="4"/>
        <v xml:space="preserve"> </v>
      </c>
      <c r="AG79" s="258" t="str">
        <f t="shared" si="5"/>
        <v xml:space="preserve"> </v>
      </c>
    </row>
    <row r="80" spans="1:33" x14ac:dyDescent="0.25">
      <c r="A80" s="29" t="s">
        <v>204</v>
      </c>
      <c r="B80" s="31">
        <v>5</v>
      </c>
      <c r="C80" s="34" t="s">
        <v>69</v>
      </c>
      <c r="D80" s="34">
        <v>2014</v>
      </c>
      <c r="E80" s="36">
        <v>0</v>
      </c>
      <c r="F80" s="36">
        <v>0</v>
      </c>
      <c r="G80" s="36">
        <v>0</v>
      </c>
      <c r="H80" s="38">
        <v>3</v>
      </c>
      <c r="I80" s="36">
        <v>3</v>
      </c>
      <c r="J80" s="9"/>
      <c r="K80" s="39">
        <f>ROUND((50+35)/5,0)</f>
        <v>17</v>
      </c>
      <c r="L80" s="40">
        <f>ROUND(100/5,0)</f>
        <v>20</v>
      </c>
      <c r="M80" s="39">
        <f>ROUND(225/5,0)</f>
        <v>45</v>
      </c>
      <c r="N80" s="43"/>
      <c r="O80" s="39">
        <f>E80+F80</f>
        <v>0</v>
      </c>
      <c r="P80" s="40">
        <f t="shared" ref="P80:Q80" si="190">H80</f>
        <v>3</v>
      </c>
      <c r="Q80" s="39">
        <f t="shared" si="190"/>
        <v>3</v>
      </c>
      <c r="R80" s="10"/>
      <c r="S80" s="266">
        <f t="shared" ref="S80:U80" si="191">O80/K80</f>
        <v>0</v>
      </c>
      <c r="T80" s="264">
        <f t="shared" si="191"/>
        <v>0.15</v>
      </c>
      <c r="U80" s="264">
        <f t="shared" si="191"/>
        <v>6.6666666666666666E-2</v>
      </c>
      <c r="X80" s="14"/>
      <c r="Y80" s="14" t="s">
        <v>1356</v>
      </c>
      <c r="Z80" s="258" t="s">
        <v>1356</v>
      </c>
      <c r="AA80" s="13"/>
      <c r="AB80" s="258">
        <v>45</v>
      </c>
      <c r="AD80" s="258" t="str">
        <f t="shared" si="2"/>
        <v xml:space="preserve"> </v>
      </c>
      <c r="AE80" s="258" t="str">
        <f t="shared" si="3"/>
        <v xml:space="preserve"> </v>
      </c>
      <c r="AF80" s="258" t="str">
        <f t="shared" si="4"/>
        <v xml:space="preserve"> </v>
      </c>
      <c r="AG80" s="258" t="str">
        <f t="shared" si="5"/>
        <v xml:space="preserve"> </v>
      </c>
    </row>
    <row r="81" spans="1:33" x14ac:dyDescent="0.25">
      <c r="A81" s="29" t="s">
        <v>204</v>
      </c>
      <c r="B81" s="31">
        <v>5</v>
      </c>
      <c r="C81" s="34" t="s">
        <v>69</v>
      </c>
      <c r="D81" s="34">
        <v>2015</v>
      </c>
      <c r="E81" s="36">
        <v>0</v>
      </c>
      <c r="F81" s="36">
        <v>1</v>
      </c>
      <c r="G81" s="36">
        <v>2</v>
      </c>
      <c r="H81" s="38">
        <v>2</v>
      </c>
      <c r="I81" s="36">
        <v>5</v>
      </c>
      <c r="J81" s="9"/>
      <c r="K81" s="39">
        <f t="shared" ref="K81:M81" si="192">K80*2</f>
        <v>34</v>
      </c>
      <c r="L81" s="40">
        <f t="shared" si="192"/>
        <v>40</v>
      </c>
      <c r="M81" s="39">
        <f t="shared" si="192"/>
        <v>90</v>
      </c>
      <c r="N81" s="43"/>
      <c r="O81" s="39">
        <f t="shared" ref="O81:O84" si="193">E81+F81+O80</f>
        <v>1</v>
      </c>
      <c r="P81" s="40">
        <f t="shared" ref="P81:Q81" si="194">H81+P80</f>
        <v>5</v>
      </c>
      <c r="Q81" s="39">
        <f t="shared" si="194"/>
        <v>8</v>
      </c>
      <c r="R81" s="10"/>
      <c r="S81" s="266">
        <f t="shared" ref="S81:U81" si="195">O81/K81</f>
        <v>2.9411764705882353E-2</v>
      </c>
      <c r="T81" s="264">
        <f t="shared" si="195"/>
        <v>0.125</v>
      </c>
      <c r="U81" s="264">
        <f t="shared" si="195"/>
        <v>8.8888888888888892E-2</v>
      </c>
      <c r="X81" s="14"/>
      <c r="Y81" s="14" t="s">
        <v>1356</v>
      </c>
      <c r="Z81" s="258" t="s">
        <v>1356</v>
      </c>
      <c r="AA81" s="13"/>
      <c r="AD81" s="258">
        <f t="shared" si="2"/>
        <v>5</v>
      </c>
      <c r="AE81" s="258" t="str">
        <f t="shared" si="3"/>
        <v xml:space="preserve"> </v>
      </c>
      <c r="AF81" s="258" t="str">
        <f t="shared" si="4"/>
        <v xml:space="preserve"> </v>
      </c>
      <c r="AG81" s="258" t="str">
        <f t="shared" si="5"/>
        <v xml:space="preserve"> </v>
      </c>
    </row>
    <row r="82" spans="1:33" x14ac:dyDescent="0.25">
      <c r="A82" s="29" t="s">
        <v>204</v>
      </c>
      <c r="B82" s="31">
        <v>5</v>
      </c>
      <c r="C82" s="34" t="s">
        <v>69</v>
      </c>
      <c r="D82" s="34">
        <v>2016</v>
      </c>
      <c r="E82" s="36">
        <v>0</v>
      </c>
      <c r="F82" s="36">
        <v>0</v>
      </c>
      <c r="G82" s="36">
        <v>6</v>
      </c>
      <c r="H82" s="38">
        <v>9</v>
      </c>
      <c r="I82" s="36">
        <v>15</v>
      </c>
      <c r="J82" s="9"/>
      <c r="K82" s="39">
        <f t="shared" ref="K82:M82" si="196">K80*3</f>
        <v>51</v>
      </c>
      <c r="L82" s="40">
        <f t="shared" si="196"/>
        <v>60</v>
      </c>
      <c r="M82" s="39">
        <f t="shared" si="196"/>
        <v>135</v>
      </c>
      <c r="N82" s="43"/>
      <c r="O82" s="39">
        <f t="shared" si="193"/>
        <v>1</v>
      </c>
      <c r="P82" s="40">
        <f t="shared" ref="P82:Q82" si="197">H82+P81</f>
        <v>14</v>
      </c>
      <c r="Q82" s="39">
        <f t="shared" si="197"/>
        <v>23</v>
      </c>
      <c r="R82" s="10"/>
      <c r="S82" s="266">
        <f t="shared" ref="S82:U82" si="198">O82/K82</f>
        <v>1.9607843137254902E-2</v>
      </c>
      <c r="T82" s="264">
        <f t="shared" si="198"/>
        <v>0.23333333333333334</v>
      </c>
      <c r="U82" s="264">
        <f t="shared" si="198"/>
        <v>0.17037037037037037</v>
      </c>
      <c r="X82" s="14"/>
      <c r="Y82" s="14" t="s">
        <v>1356</v>
      </c>
      <c r="Z82" s="258" t="s">
        <v>1356</v>
      </c>
      <c r="AA82" s="13"/>
      <c r="AB82" s="258" t="s">
        <v>1356</v>
      </c>
      <c r="AD82" s="258" t="str">
        <f t="shared" si="2"/>
        <v xml:space="preserve"> </v>
      </c>
      <c r="AE82" s="258">
        <f t="shared" si="3"/>
        <v>15</v>
      </c>
      <c r="AF82" s="258" t="str">
        <f t="shared" si="4"/>
        <v xml:space="preserve"> </v>
      </c>
      <c r="AG82" s="258" t="str">
        <f t="shared" si="5"/>
        <v xml:space="preserve"> </v>
      </c>
    </row>
    <row r="83" spans="1:33" x14ac:dyDescent="0.25">
      <c r="A83" s="29" t="s">
        <v>204</v>
      </c>
      <c r="B83" s="31">
        <v>5</v>
      </c>
      <c r="C83" s="34" t="s">
        <v>69</v>
      </c>
      <c r="D83" s="34">
        <v>2017</v>
      </c>
      <c r="E83" s="36">
        <v>0</v>
      </c>
      <c r="F83" s="36">
        <v>0</v>
      </c>
      <c r="G83" s="36">
        <v>0</v>
      </c>
      <c r="H83" s="38">
        <v>7</v>
      </c>
      <c r="I83" s="36">
        <v>7</v>
      </c>
      <c r="J83" s="9"/>
      <c r="K83" s="39">
        <f t="shared" ref="K83:M83" si="199">K80*4</f>
        <v>68</v>
      </c>
      <c r="L83" s="40">
        <f t="shared" si="199"/>
        <v>80</v>
      </c>
      <c r="M83" s="39">
        <f t="shared" si="199"/>
        <v>180</v>
      </c>
      <c r="N83" s="43"/>
      <c r="O83" s="39">
        <f t="shared" si="193"/>
        <v>1</v>
      </c>
      <c r="P83" s="40">
        <f t="shared" ref="P83:Q83" si="200">H83+P82</f>
        <v>21</v>
      </c>
      <c r="Q83" s="39">
        <f t="shared" si="200"/>
        <v>30</v>
      </c>
      <c r="R83" s="10"/>
      <c r="S83" s="266">
        <f t="shared" ref="S83:U83" si="201">O83/K83</f>
        <v>1.4705882352941176E-2</v>
      </c>
      <c r="T83" s="264">
        <f t="shared" si="201"/>
        <v>0.26250000000000001</v>
      </c>
      <c r="U83" s="264">
        <f t="shared" si="201"/>
        <v>0.16666666666666666</v>
      </c>
      <c r="X83" s="14"/>
      <c r="Y83" s="14" t="s">
        <v>1356</v>
      </c>
      <c r="Z83" s="258" t="s">
        <v>1356</v>
      </c>
      <c r="AA83" s="13"/>
      <c r="AB83" s="258" t="s">
        <v>1356</v>
      </c>
      <c r="AD83" s="258" t="str">
        <f t="shared" si="2"/>
        <v xml:space="preserve"> </v>
      </c>
      <c r="AE83" s="258" t="str">
        <f t="shared" si="3"/>
        <v xml:space="preserve"> </v>
      </c>
      <c r="AF83" s="258">
        <f t="shared" si="4"/>
        <v>7</v>
      </c>
      <c r="AG83" s="258" t="str">
        <f t="shared" si="5"/>
        <v xml:space="preserve"> </v>
      </c>
    </row>
    <row r="84" spans="1:33" x14ac:dyDescent="0.25">
      <c r="A84" s="29" t="s">
        <v>204</v>
      </c>
      <c r="B84" s="31">
        <v>5</v>
      </c>
      <c r="C84" s="34" t="s">
        <v>69</v>
      </c>
      <c r="D84" s="34">
        <v>2018</v>
      </c>
      <c r="E84" s="36">
        <v>0</v>
      </c>
      <c r="F84" s="36">
        <v>0</v>
      </c>
      <c r="G84" s="36">
        <v>0</v>
      </c>
      <c r="H84" s="38">
        <v>1</v>
      </c>
      <c r="I84" s="36">
        <v>1</v>
      </c>
      <c r="J84" s="9"/>
      <c r="K84" s="39">
        <f t="shared" ref="K84:M84" si="202">K80*5</f>
        <v>85</v>
      </c>
      <c r="L84" s="40">
        <f t="shared" si="202"/>
        <v>100</v>
      </c>
      <c r="M84" s="39">
        <f t="shared" si="202"/>
        <v>225</v>
      </c>
      <c r="N84" s="43"/>
      <c r="O84" s="39">
        <f t="shared" si="193"/>
        <v>1</v>
      </c>
      <c r="P84" s="40">
        <f t="shared" ref="P84:Q84" si="203">H84+P83</f>
        <v>22</v>
      </c>
      <c r="Q84" s="39">
        <f t="shared" si="203"/>
        <v>31</v>
      </c>
      <c r="R84" s="10"/>
      <c r="S84" s="266">
        <f t="shared" ref="S84:U84" si="204">O84/K84</f>
        <v>1.1764705882352941E-2</v>
      </c>
      <c r="T84" s="264">
        <f t="shared" si="204"/>
        <v>0.22</v>
      </c>
      <c r="U84" s="264">
        <f t="shared" si="204"/>
        <v>0.13777777777777778</v>
      </c>
      <c r="V84" s="261" t="s">
        <v>204</v>
      </c>
      <c r="X84" s="14">
        <v>225</v>
      </c>
      <c r="Y84" s="14">
        <v>225</v>
      </c>
      <c r="Z84" s="258">
        <v>31</v>
      </c>
      <c r="AA84" s="13"/>
      <c r="AB84" s="258" t="s">
        <v>1356</v>
      </c>
      <c r="AD84" s="258" t="str">
        <f t="shared" si="2"/>
        <v xml:space="preserve"> </v>
      </c>
      <c r="AE84" s="258" t="str">
        <f t="shared" si="3"/>
        <v xml:space="preserve"> </v>
      </c>
      <c r="AF84" s="258" t="str">
        <f t="shared" si="4"/>
        <v xml:space="preserve"> </v>
      </c>
      <c r="AG84" s="258">
        <f t="shared" si="5"/>
        <v>1</v>
      </c>
    </row>
    <row r="85" spans="1:33" x14ac:dyDescent="0.25">
      <c r="A85" s="46"/>
      <c r="B85" s="47"/>
      <c r="C85" s="32"/>
      <c r="D85" s="32"/>
      <c r="E85" s="48"/>
      <c r="F85" s="48"/>
      <c r="G85" s="48"/>
      <c r="H85" s="49"/>
      <c r="I85" s="48"/>
      <c r="J85" s="50"/>
      <c r="K85" s="51"/>
      <c r="L85" s="52"/>
      <c r="M85" s="51"/>
      <c r="N85" s="50"/>
      <c r="O85" s="51"/>
      <c r="P85" s="52"/>
      <c r="Q85" s="51"/>
      <c r="R85" s="53"/>
      <c r="W85" s="1"/>
      <c r="X85" s="14"/>
      <c r="Y85" s="14" t="s">
        <v>1356</v>
      </c>
      <c r="Z85" s="258" t="s">
        <v>1356</v>
      </c>
      <c r="AA85" s="54"/>
      <c r="AB85" s="258" t="s">
        <v>1356</v>
      </c>
      <c r="AD85" s="258" t="str">
        <f t="shared" si="2"/>
        <v xml:space="preserve"> </v>
      </c>
      <c r="AE85" s="258" t="str">
        <f t="shared" si="3"/>
        <v xml:space="preserve"> </v>
      </c>
      <c r="AF85" s="258" t="str">
        <f t="shared" si="4"/>
        <v xml:space="preserve"> </v>
      </c>
      <c r="AG85" s="258" t="str">
        <f t="shared" si="5"/>
        <v xml:space="preserve"> </v>
      </c>
    </row>
    <row r="86" spans="1:33" x14ac:dyDescent="0.25">
      <c r="A86" s="29" t="s">
        <v>220</v>
      </c>
      <c r="B86" s="31">
        <v>8</v>
      </c>
      <c r="C86" s="34" t="s">
        <v>126</v>
      </c>
      <c r="D86" s="34">
        <v>2016</v>
      </c>
      <c r="E86" s="36">
        <v>109</v>
      </c>
      <c r="F86" s="36">
        <v>103</v>
      </c>
      <c r="G86" s="36">
        <v>83</v>
      </c>
      <c r="H86" s="38">
        <v>98</v>
      </c>
      <c r="I86" s="36">
        <v>393</v>
      </c>
      <c r="J86" s="9"/>
      <c r="K86" s="39">
        <v>3426</v>
      </c>
      <c r="L86" s="40">
        <f>ROUND(29034/8,0)</f>
        <v>3629</v>
      </c>
      <c r="M86" s="39">
        <f>ROUND(67673/8,0)</f>
        <v>8459</v>
      </c>
      <c r="N86" s="9"/>
      <c r="O86" s="39">
        <f>E86+F86</f>
        <v>212</v>
      </c>
      <c r="P86" s="40">
        <f t="shared" ref="P86:Q86" si="205">H86</f>
        <v>98</v>
      </c>
      <c r="Q86" s="39">
        <f t="shared" si="205"/>
        <v>393</v>
      </c>
      <c r="R86" s="10"/>
      <c r="S86" s="266">
        <f t="shared" ref="S86:U86" si="206">O86/K86</f>
        <v>6.187974314068885E-2</v>
      </c>
      <c r="T86" s="264">
        <f t="shared" si="206"/>
        <v>2.700468448608432E-2</v>
      </c>
      <c r="U86" s="264">
        <f t="shared" si="206"/>
        <v>4.6459392363163494E-2</v>
      </c>
      <c r="X86" s="14"/>
      <c r="Y86" s="14" t="s">
        <v>1356</v>
      </c>
      <c r="Z86" s="258" t="s">
        <v>1356</v>
      </c>
      <c r="AA86" s="13"/>
      <c r="AB86" s="258">
        <v>8459</v>
      </c>
      <c r="AD86" s="258" t="str">
        <f t="shared" si="2"/>
        <v xml:space="preserve"> </v>
      </c>
      <c r="AE86" s="258">
        <f t="shared" si="3"/>
        <v>393</v>
      </c>
      <c r="AF86" s="258" t="str">
        <f t="shared" si="4"/>
        <v xml:space="preserve"> </v>
      </c>
      <c r="AG86" s="258" t="str">
        <f t="shared" si="5"/>
        <v xml:space="preserve"> </v>
      </c>
    </row>
    <row r="87" spans="1:33" x14ac:dyDescent="0.25">
      <c r="A87" s="29" t="s">
        <v>220</v>
      </c>
      <c r="B87" s="31">
        <v>8</v>
      </c>
      <c r="C87" s="34" t="s">
        <v>126</v>
      </c>
      <c r="D87" s="34">
        <v>2017</v>
      </c>
      <c r="E87" s="36">
        <v>182</v>
      </c>
      <c r="F87" s="36">
        <v>119</v>
      </c>
      <c r="G87" s="36">
        <v>4505</v>
      </c>
      <c r="H87" s="38">
        <v>3232</v>
      </c>
      <c r="I87" s="36">
        <v>8038</v>
      </c>
      <c r="J87" s="9"/>
      <c r="K87" s="39">
        <f t="shared" ref="K87:M87" si="207">K86*2</f>
        <v>6852</v>
      </c>
      <c r="L87" s="40">
        <f t="shared" si="207"/>
        <v>7258</v>
      </c>
      <c r="M87" s="39">
        <f t="shared" si="207"/>
        <v>16918</v>
      </c>
      <c r="N87" s="9"/>
      <c r="O87" s="39">
        <f t="shared" ref="O87:O88" si="208">E86+F86+O86</f>
        <v>424</v>
      </c>
      <c r="P87" s="40">
        <f t="shared" ref="P87:Q87" si="209">H87+P86</f>
        <v>3330</v>
      </c>
      <c r="Q87" s="39">
        <f t="shared" si="209"/>
        <v>8431</v>
      </c>
      <c r="R87" s="10"/>
      <c r="S87" s="266">
        <f t="shared" ref="S87:U87" si="210">O87/K87</f>
        <v>6.187974314068885E-2</v>
      </c>
      <c r="T87" s="264">
        <f t="shared" si="210"/>
        <v>0.45880407825847341</v>
      </c>
      <c r="U87" s="264">
        <f t="shared" si="210"/>
        <v>0.49834495803286438</v>
      </c>
      <c r="X87" s="14"/>
      <c r="Y87" s="14" t="s">
        <v>1356</v>
      </c>
      <c r="Z87" s="258" t="s">
        <v>1356</v>
      </c>
      <c r="AA87" s="13"/>
      <c r="AB87" s="258" t="s">
        <v>1356</v>
      </c>
      <c r="AD87" s="258" t="str">
        <f t="shared" si="2"/>
        <v xml:space="preserve"> </v>
      </c>
      <c r="AE87" s="258" t="str">
        <f t="shared" si="3"/>
        <v xml:space="preserve"> </v>
      </c>
      <c r="AF87" s="258">
        <f t="shared" si="4"/>
        <v>8038</v>
      </c>
      <c r="AG87" s="258" t="str">
        <f t="shared" si="5"/>
        <v xml:space="preserve"> </v>
      </c>
    </row>
    <row r="88" spans="1:33" x14ac:dyDescent="0.25">
      <c r="A88" s="29" t="s">
        <v>220</v>
      </c>
      <c r="B88" s="31">
        <v>8</v>
      </c>
      <c r="C88" s="34" t="s">
        <v>126</v>
      </c>
      <c r="D88" s="34">
        <v>2018</v>
      </c>
      <c r="E88" s="36">
        <v>0</v>
      </c>
      <c r="F88" s="36">
        <v>1</v>
      </c>
      <c r="G88" s="36">
        <v>105</v>
      </c>
      <c r="H88" s="38">
        <v>1369</v>
      </c>
      <c r="I88" s="36">
        <v>1475</v>
      </c>
      <c r="J88" s="9"/>
      <c r="K88" s="39">
        <f t="shared" ref="K88:M88" si="211">K86*3</f>
        <v>10278</v>
      </c>
      <c r="L88" s="40">
        <f t="shared" si="211"/>
        <v>10887</v>
      </c>
      <c r="M88" s="39">
        <f t="shared" si="211"/>
        <v>25377</v>
      </c>
      <c r="N88" s="9"/>
      <c r="O88" s="39">
        <f t="shared" si="208"/>
        <v>725</v>
      </c>
      <c r="P88" s="40">
        <f t="shared" ref="P88:Q88" si="212">H88+P87</f>
        <v>4699</v>
      </c>
      <c r="Q88" s="39">
        <f t="shared" si="212"/>
        <v>9906</v>
      </c>
      <c r="R88" s="10"/>
      <c r="S88" s="266">
        <f t="shared" ref="S88:U88" si="213">O88/K88</f>
        <v>7.0539015372640596E-2</v>
      </c>
      <c r="T88" s="264">
        <f t="shared" si="213"/>
        <v>0.43161568843574905</v>
      </c>
      <c r="U88" s="264">
        <f t="shared" si="213"/>
        <v>0.39035346967726681</v>
      </c>
      <c r="V88" s="261" t="s">
        <v>220</v>
      </c>
      <c r="X88" s="14">
        <v>67673</v>
      </c>
      <c r="Y88" s="14">
        <v>25377</v>
      </c>
      <c r="Z88" s="258">
        <v>9906</v>
      </c>
      <c r="AA88" s="13"/>
      <c r="AB88" s="258" t="s">
        <v>1356</v>
      </c>
      <c r="AD88" s="258" t="str">
        <f t="shared" si="2"/>
        <v xml:space="preserve"> </v>
      </c>
      <c r="AE88" s="258" t="str">
        <f t="shared" si="3"/>
        <v xml:space="preserve"> </v>
      </c>
      <c r="AF88" s="258" t="str">
        <f t="shared" si="4"/>
        <v xml:space="preserve"> </v>
      </c>
      <c r="AG88" s="258">
        <f t="shared" si="5"/>
        <v>1475</v>
      </c>
    </row>
    <row r="89" spans="1:33" x14ac:dyDescent="0.25">
      <c r="A89" s="29"/>
      <c r="B89" s="31"/>
      <c r="C89" s="34"/>
      <c r="D89" s="34"/>
      <c r="E89" s="36"/>
      <c r="F89" s="36"/>
      <c r="G89" s="36"/>
      <c r="H89" s="38"/>
      <c r="I89" s="36"/>
      <c r="J89" s="9"/>
      <c r="K89" s="39"/>
      <c r="L89" s="40"/>
      <c r="M89" s="39"/>
      <c r="N89" s="9"/>
      <c r="O89" s="39"/>
      <c r="P89" s="40"/>
      <c r="Q89" s="39"/>
      <c r="R89" s="10"/>
      <c r="X89" s="14"/>
      <c r="Y89" s="14" t="s">
        <v>1356</v>
      </c>
      <c r="Z89" s="258" t="s">
        <v>1356</v>
      </c>
      <c r="AA89" s="13"/>
      <c r="AB89" s="258" t="s">
        <v>1356</v>
      </c>
      <c r="AD89" s="258" t="str">
        <f t="shared" si="2"/>
        <v xml:space="preserve"> </v>
      </c>
      <c r="AE89" s="258" t="str">
        <f t="shared" si="3"/>
        <v xml:space="preserve"> </v>
      </c>
      <c r="AF89" s="258" t="str">
        <f t="shared" si="4"/>
        <v xml:space="preserve"> </v>
      </c>
      <c r="AG89" s="258" t="str">
        <f t="shared" si="5"/>
        <v xml:space="preserve"> </v>
      </c>
    </row>
    <row r="90" spans="1:33" x14ac:dyDescent="0.25">
      <c r="A90" s="29" t="s">
        <v>229</v>
      </c>
      <c r="B90" s="31">
        <v>8</v>
      </c>
      <c r="C90" s="34" t="s">
        <v>230</v>
      </c>
      <c r="D90" s="34">
        <v>2017</v>
      </c>
      <c r="E90" s="36">
        <v>0</v>
      </c>
      <c r="F90" s="36">
        <v>10</v>
      </c>
      <c r="G90" s="36">
        <v>7</v>
      </c>
      <c r="H90" s="38">
        <v>8</v>
      </c>
      <c r="I90" s="36">
        <v>25</v>
      </c>
      <c r="J90" s="9"/>
      <c r="K90" s="39">
        <v>507</v>
      </c>
      <c r="L90" s="40">
        <f>ROUND(4335/8,0)</f>
        <v>542</v>
      </c>
      <c r="M90" s="39">
        <f>ROUND(10220/8,0)</f>
        <v>1278</v>
      </c>
      <c r="N90" s="9"/>
      <c r="O90" s="39">
        <f>E90+F90</f>
        <v>10</v>
      </c>
      <c r="P90" s="40">
        <f t="shared" ref="P90:Q90" si="214">H90</f>
        <v>8</v>
      </c>
      <c r="Q90" s="39">
        <f t="shared" si="214"/>
        <v>25</v>
      </c>
      <c r="R90" s="10"/>
      <c r="S90" s="266">
        <f t="shared" ref="S90:U90" si="215">O90/K90</f>
        <v>1.9723865877712032E-2</v>
      </c>
      <c r="T90" s="264">
        <f t="shared" si="215"/>
        <v>1.4760147601476014E-2</v>
      </c>
      <c r="U90" s="264">
        <f t="shared" si="215"/>
        <v>1.9561815336463225E-2</v>
      </c>
      <c r="X90" s="14"/>
      <c r="Y90" s="14" t="s">
        <v>1356</v>
      </c>
      <c r="Z90" s="258" t="s">
        <v>1356</v>
      </c>
      <c r="AA90" s="13"/>
      <c r="AB90" s="258" t="s">
        <v>1356</v>
      </c>
      <c r="AD90" s="258" t="str">
        <f t="shared" si="2"/>
        <v xml:space="preserve"> </v>
      </c>
      <c r="AE90" s="258" t="str">
        <f t="shared" si="3"/>
        <v xml:space="preserve"> </v>
      </c>
      <c r="AF90" s="258">
        <f t="shared" si="4"/>
        <v>25</v>
      </c>
      <c r="AG90" s="258" t="str">
        <f t="shared" si="5"/>
        <v xml:space="preserve"> </v>
      </c>
    </row>
    <row r="91" spans="1:33" x14ac:dyDescent="0.25">
      <c r="A91" s="29" t="s">
        <v>229</v>
      </c>
      <c r="B91" s="31">
        <v>8</v>
      </c>
      <c r="C91" s="34" t="s">
        <v>230</v>
      </c>
      <c r="D91" s="34">
        <v>2018</v>
      </c>
      <c r="E91" s="36">
        <v>0</v>
      </c>
      <c r="F91" s="36">
        <v>47</v>
      </c>
      <c r="G91" s="36">
        <v>16</v>
      </c>
      <c r="H91" s="38">
        <v>210</v>
      </c>
      <c r="I91" s="36">
        <v>273</v>
      </c>
      <c r="J91" s="9"/>
      <c r="K91" s="39">
        <f t="shared" ref="K91:M91" si="216">K90*2</f>
        <v>1014</v>
      </c>
      <c r="L91" s="40">
        <f t="shared" si="216"/>
        <v>1084</v>
      </c>
      <c r="M91" s="39">
        <f t="shared" si="216"/>
        <v>2556</v>
      </c>
      <c r="N91" s="9"/>
      <c r="O91" s="39">
        <f>E91+F91+O90</f>
        <v>57</v>
      </c>
      <c r="P91" s="40">
        <f t="shared" ref="P91:Q91" si="217">H91+P90</f>
        <v>218</v>
      </c>
      <c r="Q91" s="39">
        <f t="shared" si="217"/>
        <v>298</v>
      </c>
      <c r="R91" s="10"/>
      <c r="S91" s="266">
        <f t="shared" ref="S91:U91" si="218">O91/K91</f>
        <v>5.6213017751479293E-2</v>
      </c>
      <c r="T91" s="264">
        <f t="shared" si="218"/>
        <v>0.2011070110701107</v>
      </c>
      <c r="U91" s="264">
        <f t="shared" si="218"/>
        <v>0.11658841940532082</v>
      </c>
      <c r="V91" s="261" t="s">
        <v>229</v>
      </c>
      <c r="X91" s="14">
        <v>10220</v>
      </c>
      <c r="Y91" s="14">
        <v>2556</v>
      </c>
      <c r="Z91" s="258">
        <v>298</v>
      </c>
      <c r="AA91" s="13"/>
      <c r="AB91" s="258">
        <v>1278</v>
      </c>
      <c r="AD91" s="258" t="str">
        <f t="shared" si="2"/>
        <v xml:space="preserve"> </v>
      </c>
      <c r="AE91" s="258" t="str">
        <f t="shared" si="3"/>
        <v xml:space="preserve"> </v>
      </c>
      <c r="AF91" s="258" t="str">
        <f t="shared" si="4"/>
        <v xml:space="preserve"> </v>
      </c>
      <c r="AG91" s="258">
        <f t="shared" si="5"/>
        <v>273</v>
      </c>
    </row>
    <row r="92" spans="1:33" x14ac:dyDescent="0.25">
      <c r="A92" s="29"/>
      <c r="B92" s="31"/>
      <c r="C92" s="34"/>
      <c r="D92" s="34"/>
      <c r="E92" s="36"/>
      <c r="F92" s="36"/>
      <c r="G92" s="36"/>
      <c r="H92" s="38"/>
      <c r="I92" s="36"/>
      <c r="J92" s="9"/>
      <c r="K92" s="39"/>
      <c r="L92" s="40"/>
      <c r="M92" s="39"/>
      <c r="N92" s="9"/>
      <c r="O92" s="39"/>
      <c r="P92" s="40"/>
      <c r="Q92" s="39"/>
      <c r="R92" s="10"/>
      <c r="X92" s="14"/>
      <c r="Y92" s="14" t="s">
        <v>1356</v>
      </c>
      <c r="Z92" s="258" t="s">
        <v>1356</v>
      </c>
      <c r="AA92" s="13"/>
      <c r="AB92" s="258" t="s">
        <v>1356</v>
      </c>
      <c r="AD92" s="258" t="str">
        <f t="shared" si="2"/>
        <v xml:space="preserve"> </v>
      </c>
      <c r="AE92" s="258" t="str">
        <f t="shared" si="3"/>
        <v xml:space="preserve"> </v>
      </c>
      <c r="AF92" s="258" t="str">
        <f t="shared" si="4"/>
        <v xml:space="preserve"> </v>
      </c>
      <c r="AG92" s="258" t="str">
        <f t="shared" si="5"/>
        <v xml:space="preserve"> </v>
      </c>
    </row>
    <row r="93" spans="1:33" x14ac:dyDescent="0.25">
      <c r="A93" s="29" t="s">
        <v>240</v>
      </c>
      <c r="B93" s="31">
        <v>5</v>
      </c>
      <c r="C93" s="34" t="s">
        <v>69</v>
      </c>
      <c r="D93" s="34">
        <v>2015</v>
      </c>
      <c r="E93" s="36">
        <v>1</v>
      </c>
      <c r="F93" s="36">
        <v>0</v>
      </c>
      <c r="G93" s="36">
        <v>0</v>
      </c>
      <c r="H93" s="38">
        <v>1</v>
      </c>
      <c r="I93" s="36">
        <v>2</v>
      </c>
      <c r="J93" s="9"/>
      <c r="K93" s="39">
        <v>166</v>
      </c>
      <c r="L93" s="40">
        <f>ROUND(870/5,0)</f>
        <v>174</v>
      </c>
      <c r="M93" s="39">
        <f>ROUND(2070/5,0)</f>
        <v>414</v>
      </c>
      <c r="N93" s="9"/>
      <c r="O93" s="39">
        <f>E93+F93</f>
        <v>1</v>
      </c>
      <c r="P93" s="40">
        <f t="shared" ref="P93:Q93" si="219">H93</f>
        <v>1</v>
      </c>
      <c r="Q93" s="39">
        <f t="shared" si="219"/>
        <v>2</v>
      </c>
      <c r="R93" s="10"/>
      <c r="S93" s="266">
        <f t="shared" ref="S93:U93" si="220">O93/K93</f>
        <v>6.024096385542169E-3</v>
      </c>
      <c r="T93" s="264">
        <f t="shared" si="220"/>
        <v>5.7471264367816091E-3</v>
      </c>
      <c r="U93" s="264">
        <f t="shared" si="220"/>
        <v>4.830917874396135E-3</v>
      </c>
      <c r="X93" s="14"/>
      <c r="Y93" s="14" t="s">
        <v>1356</v>
      </c>
      <c r="Z93" s="258" t="s">
        <v>1356</v>
      </c>
      <c r="AA93" s="13"/>
      <c r="AB93" s="258">
        <v>414</v>
      </c>
      <c r="AD93" s="258">
        <f t="shared" si="2"/>
        <v>2</v>
      </c>
      <c r="AE93" s="258" t="str">
        <f t="shared" si="3"/>
        <v xml:space="preserve"> </v>
      </c>
      <c r="AF93" s="258" t="str">
        <f t="shared" si="4"/>
        <v xml:space="preserve"> </v>
      </c>
      <c r="AG93" s="258" t="str">
        <f t="shared" si="5"/>
        <v xml:space="preserve"> </v>
      </c>
    </row>
    <row r="94" spans="1:33" x14ac:dyDescent="0.25">
      <c r="A94" s="29" t="s">
        <v>240</v>
      </c>
      <c r="B94" s="31">
        <v>5</v>
      </c>
      <c r="C94" s="34" t="s">
        <v>69</v>
      </c>
      <c r="D94" s="34">
        <v>2016</v>
      </c>
      <c r="E94" s="36">
        <v>0</v>
      </c>
      <c r="F94" s="36">
        <v>0</v>
      </c>
      <c r="G94" s="36">
        <v>1</v>
      </c>
      <c r="H94" s="38">
        <v>0</v>
      </c>
      <c r="I94" s="36">
        <v>1</v>
      </c>
      <c r="J94" s="9"/>
      <c r="K94" s="39">
        <f t="shared" ref="K94:M94" si="221">K93*2</f>
        <v>332</v>
      </c>
      <c r="L94" s="40">
        <f t="shared" si="221"/>
        <v>348</v>
      </c>
      <c r="M94" s="39">
        <f t="shared" si="221"/>
        <v>828</v>
      </c>
      <c r="N94" s="9"/>
      <c r="O94" s="39">
        <f t="shared" ref="O94:O96" si="222">E94+F94+O93</f>
        <v>1</v>
      </c>
      <c r="P94" s="40">
        <f t="shared" ref="P94:Q94" si="223">H94+P93</f>
        <v>1</v>
      </c>
      <c r="Q94" s="39">
        <f t="shared" si="223"/>
        <v>3</v>
      </c>
      <c r="R94" s="10"/>
      <c r="S94" s="266">
        <f t="shared" ref="S94:U94" si="224">O94/K94</f>
        <v>3.0120481927710845E-3</v>
      </c>
      <c r="T94" s="264">
        <f t="shared" si="224"/>
        <v>2.8735632183908046E-3</v>
      </c>
      <c r="U94" s="264">
        <f t="shared" si="224"/>
        <v>3.6231884057971015E-3</v>
      </c>
      <c r="X94" s="14"/>
      <c r="Y94" s="14" t="s">
        <v>1356</v>
      </c>
      <c r="Z94" s="258" t="s">
        <v>1356</v>
      </c>
      <c r="AA94" s="13"/>
      <c r="AB94" s="258" t="s">
        <v>1356</v>
      </c>
      <c r="AD94" s="258" t="str">
        <f t="shared" si="2"/>
        <v xml:space="preserve"> </v>
      </c>
      <c r="AE94" s="258">
        <f t="shared" si="3"/>
        <v>1</v>
      </c>
      <c r="AF94" s="258" t="str">
        <f t="shared" si="4"/>
        <v xml:space="preserve"> </v>
      </c>
      <c r="AG94" s="258" t="str">
        <f t="shared" si="5"/>
        <v xml:space="preserve"> </v>
      </c>
    </row>
    <row r="95" spans="1:33" x14ac:dyDescent="0.25">
      <c r="A95" s="29" t="s">
        <v>240</v>
      </c>
      <c r="B95" s="31">
        <v>5</v>
      </c>
      <c r="C95" s="34" t="s">
        <v>69</v>
      </c>
      <c r="D95" s="34">
        <v>2017</v>
      </c>
      <c r="E95" s="36">
        <v>1</v>
      </c>
      <c r="F95" s="36">
        <v>1</v>
      </c>
      <c r="G95" s="36">
        <v>0</v>
      </c>
      <c r="H95" s="38">
        <v>4</v>
      </c>
      <c r="I95" s="36">
        <v>6</v>
      </c>
      <c r="J95" s="9"/>
      <c r="K95" s="39">
        <f t="shared" ref="K95:M95" si="225">K93*3</f>
        <v>498</v>
      </c>
      <c r="L95" s="40">
        <f t="shared" si="225"/>
        <v>522</v>
      </c>
      <c r="M95" s="39">
        <f t="shared" si="225"/>
        <v>1242</v>
      </c>
      <c r="N95" s="9"/>
      <c r="O95" s="39">
        <f t="shared" si="222"/>
        <v>3</v>
      </c>
      <c r="P95" s="40">
        <f t="shared" ref="P95:Q95" si="226">H95+P94</f>
        <v>5</v>
      </c>
      <c r="Q95" s="39">
        <f t="shared" si="226"/>
        <v>9</v>
      </c>
      <c r="R95" s="10"/>
      <c r="S95" s="266">
        <f t="shared" ref="S95:U95" si="227">O95/K95</f>
        <v>6.024096385542169E-3</v>
      </c>
      <c r="T95" s="264">
        <f t="shared" si="227"/>
        <v>9.5785440613026813E-3</v>
      </c>
      <c r="U95" s="264">
        <f t="shared" si="227"/>
        <v>7.246376811594203E-3</v>
      </c>
      <c r="X95" s="14"/>
      <c r="Y95" s="14" t="s">
        <v>1356</v>
      </c>
      <c r="Z95" s="258" t="s">
        <v>1356</v>
      </c>
      <c r="AA95" s="13"/>
      <c r="AB95" s="258" t="s">
        <v>1356</v>
      </c>
      <c r="AD95" s="258" t="str">
        <f t="shared" si="2"/>
        <v xml:space="preserve"> </v>
      </c>
      <c r="AE95" s="258" t="str">
        <f t="shared" si="3"/>
        <v xml:space="preserve"> </v>
      </c>
      <c r="AF95" s="258">
        <f t="shared" si="4"/>
        <v>6</v>
      </c>
      <c r="AG95" s="258" t="str">
        <f t="shared" si="5"/>
        <v xml:space="preserve"> </v>
      </c>
    </row>
    <row r="96" spans="1:33" x14ac:dyDescent="0.25">
      <c r="A96" s="29" t="s">
        <v>240</v>
      </c>
      <c r="B96" s="31">
        <v>5</v>
      </c>
      <c r="C96" s="34" t="s">
        <v>69</v>
      </c>
      <c r="D96" s="34">
        <v>2018</v>
      </c>
      <c r="E96" s="36">
        <v>9</v>
      </c>
      <c r="F96" s="36">
        <v>18</v>
      </c>
      <c r="G96" s="36">
        <v>24</v>
      </c>
      <c r="H96" s="38">
        <v>21</v>
      </c>
      <c r="I96" s="36">
        <v>72</v>
      </c>
      <c r="J96" s="9"/>
      <c r="K96" s="39">
        <f t="shared" ref="K96:M96" si="228">K93*4</f>
        <v>664</v>
      </c>
      <c r="L96" s="40">
        <f t="shared" si="228"/>
        <v>696</v>
      </c>
      <c r="M96" s="39">
        <f t="shared" si="228"/>
        <v>1656</v>
      </c>
      <c r="N96" s="9"/>
      <c r="O96" s="39">
        <f t="shared" si="222"/>
        <v>30</v>
      </c>
      <c r="P96" s="40">
        <f t="shared" ref="P96:Q96" si="229">H96+P95</f>
        <v>26</v>
      </c>
      <c r="Q96" s="39">
        <f t="shared" si="229"/>
        <v>81</v>
      </c>
      <c r="R96" s="10"/>
      <c r="S96" s="266">
        <f t="shared" ref="S96:U96" si="230">O96/K96</f>
        <v>4.5180722891566265E-2</v>
      </c>
      <c r="T96" s="264">
        <f t="shared" si="230"/>
        <v>3.7356321839080463E-2</v>
      </c>
      <c r="U96" s="264">
        <f t="shared" si="230"/>
        <v>4.8913043478260872E-2</v>
      </c>
      <c r="V96" s="261" t="s">
        <v>240</v>
      </c>
      <c r="X96" s="14">
        <v>2070</v>
      </c>
      <c r="Y96" s="14">
        <v>1656</v>
      </c>
      <c r="Z96" s="258">
        <v>81</v>
      </c>
      <c r="AA96" s="13"/>
      <c r="AB96" s="258" t="s">
        <v>1356</v>
      </c>
      <c r="AD96" s="258" t="str">
        <f t="shared" si="2"/>
        <v xml:space="preserve"> </v>
      </c>
      <c r="AE96" s="258" t="str">
        <f t="shared" si="3"/>
        <v xml:space="preserve"> </v>
      </c>
      <c r="AF96" s="258" t="str">
        <f t="shared" si="4"/>
        <v xml:space="preserve"> </v>
      </c>
      <c r="AG96" s="258">
        <f t="shared" si="5"/>
        <v>72</v>
      </c>
    </row>
    <row r="97" spans="1:33" x14ac:dyDescent="0.25">
      <c r="A97" s="29"/>
      <c r="B97" s="31"/>
      <c r="C97" s="34"/>
      <c r="D97" s="34"/>
      <c r="E97" s="36"/>
      <c r="F97" s="36"/>
      <c r="G97" s="36"/>
      <c r="H97" s="38"/>
      <c r="I97" s="36"/>
      <c r="J97" s="9"/>
      <c r="K97" s="39"/>
      <c r="L97" s="40"/>
      <c r="M97" s="39"/>
      <c r="N97" s="9"/>
      <c r="O97" s="39"/>
      <c r="P97" s="40"/>
      <c r="Q97" s="39"/>
      <c r="R97" s="10"/>
      <c r="X97" s="14"/>
      <c r="Y97" s="14"/>
      <c r="AA97" s="13"/>
      <c r="AD97" s="258" t="str">
        <f t="shared" si="2"/>
        <v xml:space="preserve"> </v>
      </c>
      <c r="AE97" s="258" t="str">
        <f t="shared" si="3"/>
        <v xml:space="preserve"> </v>
      </c>
      <c r="AF97" s="258" t="str">
        <f t="shared" si="4"/>
        <v xml:space="preserve"> </v>
      </c>
      <c r="AG97" s="258" t="str">
        <f t="shared" si="5"/>
        <v xml:space="preserve"> </v>
      </c>
    </row>
    <row r="98" spans="1:33" x14ac:dyDescent="0.25">
      <c r="A98" s="29" t="s">
        <v>251</v>
      </c>
      <c r="B98" s="31">
        <v>5</v>
      </c>
      <c r="C98" s="34" t="s">
        <v>69</v>
      </c>
      <c r="D98" s="34">
        <v>2014</v>
      </c>
      <c r="E98" s="36">
        <v>0</v>
      </c>
      <c r="F98" s="36">
        <v>0</v>
      </c>
      <c r="G98" s="36">
        <v>0</v>
      </c>
      <c r="H98" s="38">
        <v>0</v>
      </c>
      <c r="I98" s="36">
        <v>0</v>
      </c>
      <c r="J98" s="9"/>
      <c r="K98" s="39">
        <f>ROUND((18+9)/5,0)</f>
        <v>5</v>
      </c>
      <c r="L98" s="40">
        <f>ROUND(30/5,0)</f>
        <v>6</v>
      </c>
      <c r="M98" s="39">
        <f>ROUND(70/5,0)</f>
        <v>14</v>
      </c>
      <c r="N98" s="9"/>
      <c r="O98" s="39">
        <f t="shared" ref="O98:O102" si="231">E98+F98</f>
        <v>0</v>
      </c>
      <c r="P98" s="40">
        <f t="shared" ref="P98:Q98" si="232">H98</f>
        <v>0</v>
      </c>
      <c r="Q98" s="39">
        <f t="shared" si="232"/>
        <v>0</v>
      </c>
      <c r="R98" s="10"/>
      <c r="S98" s="266">
        <f t="shared" ref="S98:U98" si="233">O98/K98</f>
        <v>0</v>
      </c>
      <c r="T98" s="264">
        <f t="shared" si="233"/>
        <v>0</v>
      </c>
      <c r="U98" s="264">
        <f t="shared" si="233"/>
        <v>0</v>
      </c>
      <c r="X98" s="14"/>
      <c r="Y98" s="14"/>
      <c r="AA98" s="13"/>
      <c r="AB98" s="258">
        <f>M98</f>
        <v>14</v>
      </c>
      <c r="AD98" s="258" t="str">
        <f t="shared" si="2"/>
        <v xml:space="preserve"> </v>
      </c>
      <c r="AE98" s="258" t="str">
        <f t="shared" si="3"/>
        <v xml:space="preserve"> </v>
      </c>
      <c r="AF98" s="258" t="str">
        <f t="shared" si="4"/>
        <v xml:space="preserve"> </v>
      </c>
      <c r="AG98" s="258" t="str">
        <f t="shared" si="5"/>
        <v xml:space="preserve"> </v>
      </c>
    </row>
    <row r="99" spans="1:33" x14ac:dyDescent="0.25">
      <c r="A99" s="29" t="s">
        <v>251</v>
      </c>
      <c r="B99" s="31">
        <v>5</v>
      </c>
      <c r="C99" s="34" t="s">
        <v>69</v>
      </c>
      <c r="D99" s="34">
        <v>2015</v>
      </c>
      <c r="E99" s="36">
        <v>0</v>
      </c>
      <c r="F99" s="36">
        <v>0</v>
      </c>
      <c r="G99" s="36">
        <v>0</v>
      </c>
      <c r="H99" s="38">
        <v>0</v>
      </c>
      <c r="I99" s="36">
        <v>0</v>
      </c>
      <c r="J99" s="9"/>
      <c r="K99" s="39">
        <f t="shared" ref="K99:M99" si="234">K98*2</f>
        <v>10</v>
      </c>
      <c r="L99" s="40">
        <f t="shared" si="234"/>
        <v>12</v>
      </c>
      <c r="M99" s="39">
        <f t="shared" si="234"/>
        <v>28</v>
      </c>
      <c r="N99" s="9"/>
      <c r="O99" s="39">
        <f t="shared" si="231"/>
        <v>0</v>
      </c>
      <c r="P99" s="40">
        <f t="shared" ref="P99:Q99" si="235">H99</f>
        <v>0</v>
      </c>
      <c r="Q99" s="39">
        <f t="shared" si="235"/>
        <v>0</v>
      </c>
      <c r="R99" s="10"/>
      <c r="S99" s="266">
        <f t="shared" ref="S99:U99" si="236">O99/K99</f>
        <v>0</v>
      </c>
      <c r="T99" s="264">
        <f t="shared" si="236"/>
        <v>0</v>
      </c>
      <c r="U99" s="264">
        <f t="shared" si="236"/>
        <v>0</v>
      </c>
      <c r="X99" s="14"/>
      <c r="Y99" s="14"/>
      <c r="AA99" s="13"/>
      <c r="AD99" s="258">
        <f t="shared" si="2"/>
        <v>0</v>
      </c>
      <c r="AE99" s="258" t="str">
        <f t="shared" si="3"/>
        <v xml:space="preserve"> </v>
      </c>
      <c r="AF99" s="258" t="str">
        <f t="shared" si="4"/>
        <v xml:space="preserve"> </v>
      </c>
      <c r="AG99" s="258" t="str">
        <f t="shared" si="5"/>
        <v xml:space="preserve"> </v>
      </c>
    </row>
    <row r="100" spans="1:33" x14ac:dyDescent="0.25">
      <c r="A100" s="29" t="s">
        <v>251</v>
      </c>
      <c r="B100" s="31">
        <v>5</v>
      </c>
      <c r="C100" s="34" t="s">
        <v>69</v>
      </c>
      <c r="D100" s="34">
        <v>2016</v>
      </c>
      <c r="E100" s="36">
        <v>0</v>
      </c>
      <c r="F100" s="36">
        <v>0</v>
      </c>
      <c r="G100" s="36">
        <v>0</v>
      </c>
      <c r="H100" s="38">
        <v>0</v>
      </c>
      <c r="I100" s="36">
        <v>0</v>
      </c>
      <c r="J100" s="9"/>
      <c r="K100" s="39">
        <f t="shared" ref="K100:M100" si="237">K98*3</f>
        <v>15</v>
      </c>
      <c r="L100" s="40">
        <f t="shared" si="237"/>
        <v>18</v>
      </c>
      <c r="M100" s="39">
        <f t="shared" si="237"/>
        <v>42</v>
      </c>
      <c r="N100" s="9"/>
      <c r="O100" s="39">
        <f t="shared" si="231"/>
        <v>0</v>
      </c>
      <c r="P100" s="40">
        <f t="shared" ref="P100:Q100" si="238">H100</f>
        <v>0</v>
      </c>
      <c r="Q100" s="39">
        <f t="shared" si="238"/>
        <v>0</v>
      </c>
      <c r="R100" s="10"/>
      <c r="S100" s="266">
        <f t="shared" ref="S100:U100" si="239">O100/K100</f>
        <v>0</v>
      </c>
      <c r="T100" s="264">
        <f t="shared" si="239"/>
        <v>0</v>
      </c>
      <c r="U100" s="264">
        <f t="shared" si="239"/>
        <v>0</v>
      </c>
      <c r="X100" s="14"/>
      <c r="Y100" s="14"/>
      <c r="AA100" s="13"/>
      <c r="AD100" s="258" t="str">
        <f t="shared" si="2"/>
        <v xml:space="preserve"> </v>
      </c>
      <c r="AE100" s="258">
        <f t="shared" si="3"/>
        <v>0</v>
      </c>
      <c r="AF100" s="258" t="str">
        <f t="shared" si="4"/>
        <v xml:space="preserve"> </v>
      </c>
      <c r="AG100" s="258" t="str">
        <f t="shared" si="5"/>
        <v xml:space="preserve"> </v>
      </c>
    </row>
    <row r="101" spans="1:33" x14ac:dyDescent="0.25">
      <c r="A101" s="29" t="s">
        <v>251</v>
      </c>
      <c r="B101" s="31">
        <v>5</v>
      </c>
      <c r="C101" s="34" t="s">
        <v>69</v>
      </c>
      <c r="D101" s="34">
        <v>2017</v>
      </c>
      <c r="E101" s="36">
        <v>0</v>
      </c>
      <c r="F101" s="36">
        <v>0</v>
      </c>
      <c r="G101" s="36">
        <v>0</v>
      </c>
      <c r="H101" s="38">
        <v>0</v>
      </c>
      <c r="I101" s="36">
        <v>0</v>
      </c>
      <c r="J101" s="9"/>
      <c r="K101" s="39">
        <f t="shared" ref="K101:M101" si="240">K98*4</f>
        <v>20</v>
      </c>
      <c r="L101" s="40">
        <f t="shared" si="240"/>
        <v>24</v>
      </c>
      <c r="M101" s="39">
        <f t="shared" si="240"/>
        <v>56</v>
      </c>
      <c r="N101" s="9"/>
      <c r="O101" s="39">
        <f t="shared" si="231"/>
        <v>0</v>
      </c>
      <c r="P101" s="40">
        <f t="shared" ref="P101:Q101" si="241">H101</f>
        <v>0</v>
      </c>
      <c r="Q101" s="39">
        <f t="shared" si="241"/>
        <v>0</v>
      </c>
      <c r="R101" s="10"/>
      <c r="S101" s="266">
        <f t="shared" ref="S101:U101" si="242">O101/K101</f>
        <v>0</v>
      </c>
      <c r="T101" s="264">
        <f t="shared" si="242"/>
        <v>0</v>
      </c>
      <c r="U101" s="264">
        <f t="shared" si="242"/>
        <v>0</v>
      </c>
      <c r="X101" s="14"/>
      <c r="Y101" s="14"/>
      <c r="AA101" s="13"/>
      <c r="AD101" s="258" t="str">
        <f t="shared" si="2"/>
        <v xml:space="preserve"> </v>
      </c>
      <c r="AE101" s="258" t="str">
        <f t="shared" si="3"/>
        <v xml:space="preserve"> </v>
      </c>
      <c r="AF101" s="258">
        <f t="shared" si="4"/>
        <v>0</v>
      </c>
      <c r="AG101" s="258" t="str">
        <f t="shared" si="5"/>
        <v xml:space="preserve"> </v>
      </c>
    </row>
    <row r="102" spans="1:33" x14ac:dyDescent="0.25">
      <c r="A102" s="29" t="s">
        <v>251</v>
      </c>
      <c r="B102" s="31">
        <v>5</v>
      </c>
      <c r="C102" s="34" t="s">
        <v>69</v>
      </c>
      <c r="D102" s="34">
        <v>2018</v>
      </c>
      <c r="E102" s="36">
        <v>0</v>
      </c>
      <c r="F102" s="36">
        <v>0</v>
      </c>
      <c r="G102" s="36">
        <v>0</v>
      </c>
      <c r="H102" s="38">
        <v>0</v>
      </c>
      <c r="I102" s="36">
        <v>0</v>
      </c>
      <c r="J102" s="9"/>
      <c r="K102" s="39">
        <f t="shared" ref="K102:M102" si="243">K98*5</f>
        <v>25</v>
      </c>
      <c r="L102" s="40">
        <f t="shared" si="243"/>
        <v>30</v>
      </c>
      <c r="M102" s="39">
        <f t="shared" si="243"/>
        <v>70</v>
      </c>
      <c r="N102" s="9"/>
      <c r="O102" s="39">
        <f t="shared" si="231"/>
        <v>0</v>
      </c>
      <c r="P102" s="40">
        <f t="shared" ref="P102:Q102" si="244">H102</f>
        <v>0</v>
      </c>
      <c r="Q102" s="39">
        <f t="shared" si="244"/>
        <v>0</v>
      </c>
      <c r="R102" s="10"/>
      <c r="S102" s="266">
        <f t="shared" ref="S102:U102" si="245">O102/K102</f>
        <v>0</v>
      </c>
      <c r="T102" s="264">
        <f t="shared" si="245"/>
        <v>0</v>
      </c>
      <c r="U102" s="264">
        <f t="shared" si="245"/>
        <v>0</v>
      </c>
      <c r="V102" s="261" t="s">
        <v>251</v>
      </c>
      <c r="X102" s="14">
        <v>70</v>
      </c>
      <c r="Y102" s="14">
        <v>70</v>
      </c>
      <c r="Z102" s="258">
        <v>0</v>
      </c>
      <c r="AA102" s="13"/>
      <c r="AD102" s="258" t="str">
        <f t="shared" si="2"/>
        <v xml:space="preserve"> </v>
      </c>
      <c r="AE102" s="258" t="str">
        <f t="shared" si="3"/>
        <v xml:space="preserve"> </v>
      </c>
      <c r="AF102" s="258" t="str">
        <f t="shared" si="4"/>
        <v xml:space="preserve"> </v>
      </c>
      <c r="AG102" s="258">
        <f t="shared" si="5"/>
        <v>0</v>
      </c>
    </row>
    <row r="103" spans="1:33" x14ac:dyDescent="0.25">
      <c r="A103" s="29"/>
      <c r="B103" s="31"/>
      <c r="C103" s="34"/>
      <c r="D103" s="34"/>
      <c r="E103" s="36"/>
      <c r="F103" s="36"/>
      <c r="G103" s="36"/>
      <c r="H103" s="38"/>
      <c r="I103" s="36"/>
      <c r="J103" s="9"/>
      <c r="K103" s="39"/>
      <c r="L103" s="40"/>
      <c r="M103" s="39"/>
      <c r="N103" s="9"/>
      <c r="O103" s="39"/>
      <c r="P103" s="40"/>
      <c r="Q103" s="39"/>
      <c r="R103" s="10"/>
      <c r="X103" s="14"/>
      <c r="Y103" s="14" t="s">
        <v>1356</v>
      </c>
      <c r="Z103" s="258" t="s">
        <v>1356</v>
      </c>
      <c r="AA103" s="13"/>
      <c r="AB103" s="258" t="s">
        <v>1356</v>
      </c>
      <c r="AD103" s="258" t="str">
        <f t="shared" si="2"/>
        <v xml:space="preserve"> </v>
      </c>
      <c r="AE103" s="258" t="str">
        <f t="shared" si="3"/>
        <v xml:space="preserve"> </v>
      </c>
      <c r="AF103" s="258" t="str">
        <f t="shared" si="4"/>
        <v xml:space="preserve"> </v>
      </c>
      <c r="AG103" s="258" t="str">
        <f t="shared" si="5"/>
        <v xml:space="preserve"> </v>
      </c>
    </row>
    <row r="104" spans="1:33" x14ac:dyDescent="0.25">
      <c r="A104" s="29" t="s">
        <v>262</v>
      </c>
      <c r="B104" s="31">
        <v>8</v>
      </c>
      <c r="C104" s="34" t="s">
        <v>264</v>
      </c>
      <c r="D104" s="34">
        <v>2014</v>
      </c>
      <c r="E104" s="36">
        <v>1489</v>
      </c>
      <c r="F104" s="36">
        <v>1306</v>
      </c>
      <c r="G104" s="36">
        <v>736</v>
      </c>
      <c r="H104" s="38">
        <v>17955</v>
      </c>
      <c r="I104" s="36">
        <v>21486</v>
      </c>
      <c r="J104" s="9"/>
      <c r="K104" s="39">
        <f>ROUND((45672+27469)/8,0)</f>
        <v>9143</v>
      </c>
      <c r="L104" s="40">
        <f>ROUND(76697/8,0)</f>
        <v>9587</v>
      </c>
      <c r="M104" s="39">
        <f>ROUND(179881/8,0)</f>
        <v>22485</v>
      </c>
      <c r="N104" s="9"/>
      <c r="O104" s="39">
        <f>E104+F104</f>
        <v>2795</v>
      </c>
      <c r="P104" s="40">
        <f t="shared" ref="P104:Q104" si="246">H104</f>
        <v>17955</v>
      </c>
      <c r="Q104" s="39">
        <f t="shared" si="246"/>
        <v>21486</v>
      </c>
      <c r="R104" s="10"/>
      <c r="S104" s="266">
        <f t="shared" ref="S104:U104" si="247">O104/K104</f>
        <v>0.30569834846330524</v>
      </c>
      <c r="T104" s="264">
        <f t="shared" si="247"/>
        <v>1.8728486492124752</v>
      </c>
      <c r="U104" s="264">
        <f t="shared" si="247"/>
        <v>0.95557038025350238</v>
      </c>
      <c r="X104" s="14"/>
      <c r="Y104" s="14" t="s">
        <v>1356</v>
      </c>
      <c r="Z104" s="258" t="s">
        <v>1356</v>
      </c>
      <c r="AA104" s="13"/>
      <c r="AB104" s="258">
        <v>22485</v>
      </c>
      <c r="AD104" s="258" t="str">
        <f t="shared" si="2"/>
        <v xml:space="preserve"> </v>
      </c>
      <c r="AE104" s="258" t="str">
        <f t="shared" si="3"/>
        <v xml:space="preserve"> </v>
      </c>
      <c r="AF104" s="258" t="str">
        <f t="shared" si="4"/>
        <v xml:space="preserve"> </v>
      </c>
      <c r="AG104" s="258" t="str">
        <f t="shared" si="5"/>
        <v xml:space="preserve"> </v>
      </c>
    </row>
    <row r="105" spans="1:33" x14ac:dyDescent="0.25">
      <c r="A105" s="29" t="s">
        <v>262</v>
      </c>
      <c r="B105" s="31">
        <v>8</v>
      </c>
      <c r="C105" s="34" t="s">
        <v>264</v>
      </c>
      <c r="D105" s="34">
        <v>2015</v>
      </c>
      <c r="E105" s="36">
        <v>1423</v>
      </c>
      <c r="F105" s="36">
        <v>862</v>
      </c>
      <c r="G105" s="36">
        <v>406</v>
      </c>
      <c r="H105" s="38">
        <v>20913</v>
      </c>
      <c r="I105" s="36">
        <v>23604</v>
      </c>
      <c r="J105" s="9"/>
      <c r="K105" s="39">
        <f t="shared" ref="K105:M105" si="248">K104*2</f>
        <v>18286</v>
      </c>
      <c r="L105" s="40">
        <f t="shared" si="248"/>
        <v>19174</v>
      </c>
      <c r="M105" s="39">
        <f t="shared" si="248"/>
        <v>44970</v>
      </c>
      <c r="N105" s="9"/>
      <c r="O105" s="39">
        <f t="shared" ref="O105:O108" si="249">E105+F105+O104</f>
        <v>5080</v>
      </c>
      <c r="P105" s="40">
        <f t="shared" ref="P105:Q105" si="250">H105+P104</f>
        <v>38868</v>
      </c>
      <c r="Q105" s="39">
        <f t="shared" si="250"/>
        <v>45090</v>
      </c>
      <c r="R105" s="10"/>
      <c r="S105" s="266">
        <f t="shared" ref="S105:U105" si="251">O105/K105</f>
        <v>0.27780815924751173</v>
      </c>
      <c r="T105" s="264">
        <f t="shared" si="251"/>
        <v>2.0271200584124336</v>
      </c>
      <c r="U105" s="264">
        <f t="shared" si="251"/>
        <v>1.0026684456304202</v>
      </c>
      <c r="X105" s="14"/>
      <c r="Y105" s="14" t="s">
        <v>1356</v>
      </c>
      <c r="Z105" s="258" t="s">
        <v>1356</v>
      </c>
      <c r="AA105" s="13"/>
      <c r="AD105" s="258">
        <f t="shared" si="2"/>
        <v>23604</v>
      </c>
      <c r="AE105" s="258" t="str">
        <f t="shared" si="3"/>
        <v xml:space="preserve"> </v>
      </c>
      <c r="AF105" s="258" t="str">
        <f t="shared" si="4"/>
        <v xml:space="preserve"> </v>
      </c>
      <c r="AG105" s="258" t="str">
        <f t="shared" si="5"/>
        <v xml:space="preserve"> </v>
      </c>
    </row>
    <row r="106" spans="1:33" x14ac:dyDescent="0.25">
      <c r="A106" s="29" t="s">
        <v>262</v>
      </c>
      <c r="B106" s="31">
        <v>8</v>
      </c>
      <c r="C106" s="34" t="s">
        <v>264</v>
      </c>
      <c r="D106" s="34">
        <v>2016</v>
      </c>
      <c r="E106" s="36">
        <v>813</v>
      </c>
      <c r="F106" s="36">
        <v>716</v>
      </c>
      <c r="G106" s="36">
        <v>449</v>
      </c>
      <c r="H106" s="38">
        <v>18384</v>
      </c>
      <c r="I106" s="36">
        <v>20362</v>
      </c>
      <c r="J106" s="9"/>
      <c r="K106" s="39">
        <f t="shared" ref="K106:M106" si="252">K104*3</f>
        <v>27429</v>
      </c>
      <c r="L106" s="40">
        <f t="shared" si="252"/>
        <v>28761</v>
      </c>
      <c r="M106" s="39">
        <f t="shared" si="252"/>
        <v>67455</v>
      </c>
      <c r="N106" s="9"/>
      <c r="O106" s="39">
        <f t="shared" si="249"/>
        <v>6609</v>
      </c>
      <c r="P106" s="40">
        <f t="shared" ref="P106:Q106" si="253">H106+P105</f>
        <v>57252</v>
      </c>
      <c r="Q106" s="39">
        <f t="shared" si="253"/>
        <v>65452</v>
      </c>
      <c r="R106" s="10"/>
      <c r="S106" s="266">
        <f t="shared" ref="S106:U106" si="254">O106/K106</f>
        <v>0.24094936016624741</v>
      </c>
      <c r="T106" s="264">
        <f t="shared" si="254"/>
        <v>1.9906122874726191</v>
      </c>
      <c r="U106" s="264">
        <f t="shared" si="254"/>
        <v>0.97030613001260102</v>
      </c>
      <c r="X106" s="14"/>
      <c r="Y106" s="14" t="s">
        <v>1356</v>
      </c>
      <c r="Z106" s="258" t="s">
        <v>1356</v>
      </c>
      <c r="AA106" s="13"/>
      <c r="AB106" s="258" t="s">
        <v>1356</v>
      </c>
      <c r="AD106" s="258" t="str">
        <f t="shared" si="2"/>
        <v xml:space="preserve"> </v>
      </c>
      <c r="AE106" s="258">
        <f t="shared" si="3"/>
        <v>20362</v>
      </c>
      <c r="AF106" s="258" t="str">
        <f t="shared" si="4"/>
        <v xml:space="preserve"> </v>
      </c>
      <c r="AG106" s="258" t="str">
        <f t="shared" si="5"/>
        <v xml:space="preserve"> </v>
      </c>
    </row>
    <row r="107" spans="1:33" x14ac:dyDescent="0.25">
      <c r="A107" s="29" t="s">
        <v>262</v>
      </c>
      <c r="B107" s="31">
        <v>8</v>
      </c>
      <c r="C107" s="34" t="s">
        <v>264</v>
      </c>
      <c r="D107" s="34">
        <v>2017</v>
      </c>
      <c r="E107" s="36">
        <v>1669</v>
      </c>
      <c r="F107" s="36">
        <v>599</v>
      </c>
      <c r="G107" s="36">
        <v>553</v>
      </c>
      <c r="H107" s="38">
        <v>18288</v>
      </c>
      <c r="I107" s="36">
        <v>21109</v>
      </c>
      <c r="J107" s="9"/>
      <c r="K107" s="39">
        <f t="shared" ref="K107:M107" si="255">K104*4</f>
        <v>36572</v>
      </c>
      <c r="L107" s="40">
        <f t="shared" si="255"/>
        <v>38348</v>
      </c>
      <c r="M107" s="39">
        <f t="shared" si="255"/>
        <v>89940</v>
      </c>
      <c r="N107" s="9"/>
      <c r="O107" s="39">
        <f t="shared" si="249"/>
        <v>8877</v>
      </c>
      <c r="P107" s="40">
        <f t="shared" ref="P107:Q107" si="256">H107+P106</f>
        <v>75540</v>
      </c>
      <c r="Q107" s="39">
        <f t="shared" si="256"/>
        <v>86561</v>
      </c>
      <c r="R107" s="10"/>
      <c r="S107" s="266">
        <f t="shared" ref="S107:U107" si="257">O107/K107</f>
        <v>0.24272667614568522</v>
      </c>
      <c r="T107" s="264">
        <f t="shared" si="257"/>
        <v>1.9698550119954104</v>
      </c>
      <c r="U107" s="264">
        <f t="shared" si="257"/>
        <v>0.96243050922837448</v>
      </c>
      <c r="X107" s="14"/>
      <c r="Y107" s="14" t="s">
        <v>1356</v>
      </c>
      <c r="Z107" s="258" t="s">
        <v>1356</v>
      </c>
      <c r="AA107" s="13"/>
      <c r="AB107" s="258" t="s">
        <v>1356</v>
      </c>
      <c r="AD107" s="258" t="str">
        <f t="shared" si="2"/>
        <v xml:space="preserve"> </v>
      </c>
      <c r="AE107" s="258" t="str">
        <f t="shared" si="3"/>
        <v xml:space="preserve"> </v>
      </c>
      <c r="AF107" s="258">
        <f t="shared" si="4"/>
        <v>21109</v>
      </c>
      <c r="AG107" s="258" t="str">
        <f t="shared" si="5"/>
        <v xml:space="preserve"> </v>
      </c>
    </row>
    <row r="108" spans="1:33" x14ac:dyDescent="0.25">
      <c r="A108" s="29" t="s">
        <v>262</v>
      </c>
      <c r="B108" s="31">
        <v>8</v>
      </c>
      <c r="C108" s="34" t="s">
        <v>264</v>
      </c>
      <c r="D108" s="34">
        <v>2018</v>
      </c>
      <c r="E108" s="36">
        <v>1375</v>
      </c>
      <c r="F108" s="36">
        <v>574</v>
      </c>
      <c r="G108" s="36">
        <v>542</v>
      </c>
      <c r="H108" s="38">
        <v>23674</v>
      </c>
      <c r="I108" s="36">
        <v>26165</v>
      </c>
      <c r="J108" s="9"/>
      <c r="K108" s="39">
        <f>L108</f>
        <v>47935</v>
      </c>
      <c r="L108" s="40">
        <f t="shared" ref="L108:M108" si="258">L104*5</f>
        <v>47935</v>
      </c>
      <c r="M108" s="39">
        <f t="shared" si="258"/>
        <v>112425</v>
      </c>
      <c r="N108" s="9"/>
      <c r="O108" s="39">
        <f t="shared" si="249"/>
        <v>10826</v>
      </c>
      <c r="P108" s="40">
        <f t="shared" ref="P108:Q108" si="259">H108+P107</f>
        <v>99214</v>
      </c>
      <c r="Q108" s="39">
        <f t="shared" si="259"/>
        <v>112726</v>
      </c>
      <c r="R108" s="10"/>
      <c r="S108" s="266">
        <f t="shared" ref="S108:U108" si="260">O108/K108</f>
        <v>0.22584750182538854</v>
      </c>
      <c r="T108" s="264">
        <f t="shared" si="260"/>
        <v>2.0697611348701366</v>
      </c>
      <c r="U108" s="264">
        <f t="shared" si="260"/>
        <v>1.0026773404491884</v>
      </c>
      <c r="V108" s="261" t="s">
        <v>262</v>
      </c>
      <c r="X108" s="14">
        <v>179881</v>
      </c>
      <c r="Y108" s="14">
        <v>112425</v>
      </c>
      <c r="Z108" s="258">
        <v>112726</v>
      </c>
      <c r="AA108" s="13"/>
      <c r="AB108" s="258" t="s">
        <v>1356</v>
      </c>
      <c r="AD108" s="258" t="str">
        <f t="shared" si="2"/>
        <v xml:space="preserve"> </v>
      </c>
      <c r="AE108" s="258" t="str">
        <f t="shared" si="3"/>
        <v xml:space="preserve"> </v>
      </c>
      <c r="AF108" s="258" t="str">
        <f t="shared" si="4"/>
        <v xml:space="preserve"> </v>
      </c>
      <c r="AG108" s="258">
        <f t="shared" si="5"/>
        <v>26165</v>
      </c>
    </row>
    <row r="109" spans="1:33" x14ac:dyDescent="0.25">
      <c r="A109" s="29"/>
      <c r="B109" s="31"/>
      <c r="C109" s="34"/>
      <c r="D109" s="34"/>
      <c r="E109" s="36"/>
      <c r="F109" s="36"/>
      <c r="G109" s="36"/>
      <c r="H109" s="38"/>
      <c r="I109" s="36"/>
      <c r="J109" s="9"/>
      <c r="K109" s="39"/>
      <c r="L109" s="40"/>
      <c r="M109" s="39"/>
      <c r="N109" s="9"/>
      <c r="O109" s="39"/>
      <c r="P109" s="40"/>
      <c r="Q109" s="39"/>
      <c r="R109" s="10"/>
      <c r="X109" s="14"/>
      <c r="Y109" s="14" t="s">
        <v>1356</v>
      </c>
      <c r="Z109" s="258" t="s">
        <v>1356</v>
      </c>
      <c r="AA109" s="13"/>
      <c r="AB109" s="258" t="s">
        <v>1356</v>
      </c>
      <c r="AD109" s="258" t="str">
        <f t="shared" si="2"/>
        <v xml:space="preserve"> </v>
      </c>
      <c r="AE109" s="258" t="str">
        <f t="shared" si="3"/>
        <v xml:space="preserve"> </v>
      </c>
      <c r="AF109" s="258" t="str">
        <f t="shared" si="4"/>
        <v xml:space="preserve"> </v>
      </c>
      <c r="AG109" s="258" t="str">
        <f t="shared" si="5"/>
        <v xml:space="preserve"> </v>
      </c>
    </row>
    <row r="110" spans="1:33" x14ac:dyDescent="0.25">
      <c r="A110" s="29" t="s">
        <v>281</v>
      </c>
      <c r="B110" s="31">
        <v>5</v>
      </c>
      <c r="C110" s="34" t="s">
        <v>282</v>
      </c>
      <c r="D110" s="34">
        <v>2014</v>
      </c>
      <c r="E110" s="36">
        <v>15</v>
      </c>
      <c r="F110" s="36">
        <v>113</v>
      </c>
      <c r="G110" s="36">
        <v>21</v>
      </c>
      <c r="H110" s="38">
        <v>1</v>
      </c>
      <c r="I110" s="36">
        <v>150</v>
      </c>
      <c r="J110" s="9"/>
      <c r="K110" s="39">
        <f>ROUND((2890+2230)/5,0)</f>
        <v>1024</v>
      </c>
      <c r="L110" s="40">
        <f>ROUND(5465/5,0)</f>
        <v>1093</v>
      </c>
      <c r="M110" s="39">
        <f>ROUND(12895/5,0)</f>
        <v>2579</v>
      </c>
      <c r="N110" s="9"/>
      <c r="O110" s="39">
        <f>E110+F110</f>
        <v>128</v>
      </c>
      <c r="P110" s="40">
        <f t="shared" ref="P110:Q110" si="261">H110</f>
        <v>1</v>
      </c>
      <c r="Q110" s="39">
        <f t="shared" si="261"/>
        <v>150</v>
      </c>
      <c r="R110" s="10"/>
      <c r="S110" s="266">
        <f t="shared" ref="S110:U110" si="262">O110/K110</f>
        <v>0.125</v>
      </c>
      <c r="T110" s="264">
        <f t="shared" si="262"/>
        <v>9.1491308325709062E-4</v>
      </c>
      <c r="U110" s="264">
        <f t="shared" si="262"/>
        <v>5.8162078324932143E-2</v>
      </c>
      <c r="X110" s="14"/>
      <c r="Y110" s="14" t="s">
        <v>1356</v>
      </c>
      <c r="Z110" s="258" t="s">
        <v>1356</v>
      </c>
      <c r="AA110" s="13"/>
      <c r="AB110" s="258">
        <v>2579</v>
      </c>
      <c r="AD110" s="258" t="str">
        <f t="shared" si="2"/>
        <v xml:space="preserve"> </v>
      </c>
      <c r="AE110" s="258" t="str">
        <f t="shared" si="3"/>
        <v xml:space="preserve"> </v>
      </c>
      <c r="AF110" s="258" t="str">
        <f t="shared" si="4"/>
        <v xml:space="preserve"> </v>
      </c>
      <c r="AG110" s="258" t="str">
        <f t="shared" si="5"/>
        <v xml:space="preserve"> </v>
      </c>
    </row>
    <row r="111" spans="1:33" x14ac:dyDescent="0.25">
      <c r="A111" s="29" t="s">
        <v>281</v>
      </c>
      <c r="B111" s="31">
        <v>5</v>
      </c>
      <c r="C111" s="34" t="s">
        <v>282</v>
      </c>
      <c r="D111" s="34">
        <v>2015</v>
      </c>
      <c r="E111" s="36">
        <v>2</v>
      </c>
      <c r="F111" s="36">
        <v>140</v>
      </c>
      <c r="G111" s="36">
        <v>17</v>
      </c>
      <c r="H111" s="38">
        <v>1</v>
      </c>
      <c r="I111" s="36">
        <v>160</v>
      </c>
      <c r="J111" s="9"/>
      <c r="K111" s="39">
        <f t="shared" ref="K111:M111" si="263">K110*2</f>
        <v>2048</v>
      </c>
      <c r="L111" s="40">
        <f t="shared" si="263"/>
        <v>2186</v>
      </c>
      <c r="M111" s="39">
        <f t="shared" si="263"/>
        <v>5158</v>
      </c>
      <c r="N111" s="9"/>
      <c r="O111" s="39">
        <f t="shared" ref="O111:O114" si="264">E111+F111+O110</f>
        <v>270</v>
      </c>
      <c r="P111" s="40">
        <f t="shared" ref="P111:Q111" si="265">H111+P110</f>
        <v>2</v>
      </c>
      <c r="Q111" s="39">
        <f t="shared" si="265"/>
        <v>310</v>
      </c>
      <c r="R111" s="10"/>
      <c r="S111" s="266">
        <f t="shared" ref="S111:U111" si="266">O111/K111</f>
        <v>0.1318359375</v>
      </c>
      <c r="T111" s="264">
        <f t="shared" si="266"/>
        <v>9.1491308325709062E-4</v>
      </c>
      <c r="U111" s="264">
        <f t="shared" si="266"/>
        <v>6.0100814269096546E-2</v>
      </c>
      <c r="X111" s="14"/>
      <c r="Y111" s="14" t="s">
        <v>1356</v>
      </c>
      <c r="Z111" s="258" t="s">
        <v>1356</v>
      </c>
      <c r="AA111" s="13"/>
      <c r="AD111" s="258">
        <f t="shared" si="2"/>
        <v>160</v>
      </c>
      <c r="AE111" s="258" t="str">
        <f t="shared" si="3"/>
        <v xml:space="preserve"> </v>
      </c>
      <c r="AF111" s="258" t="str">
        <f t="shared" si="4"/>
        <v xml:space="preserve"> </v>
      </c>
      <c r="AG111" s="258" t="str">
        <f t="shared" si="5"/>
        <v xml:space="preserve"> </v>
      </c>
    </row>
    <row r="112" spans="1:33" x14ac:dyDescent="0.25">
      <c r="A112" s="29" t="s">
        <v>281</v>
      </c>
      <c r="B112" s="31">
        <v>5</v>
      </c>
      <c r="C112" s="34" t="s">
        <v>282</v>
      </c>
      <c r="D112" s="34">
        <v>2016</v>
      </c>
      <c r="E112" s="36">
        <v>0</v>
      </c>
      <c r="F112" s="36">
        <v>20</v>
      </c>
      <c r="G112" s="36">
        <v>55</v>
      </c>
      <c r="H112" s="38">
        <v>4</v>
      </c>
      <c r="I112" s="36">
        <v>79</v>
      </c>
      <c r="J112" s="9"/>
      <c r="K112" s="39">
        <f t="shared" ref="K112:M112" si="267">K110*3</f>
        <v>3072</v>
      </c>
      <c r="L112" s="40">
        <f t="shared" si="267"/>
        <v>3279</v>
      </c>
      <c r="M112" s="39">
        <f t="shared" si="267"/>
        <v>7737</v>
      </c>
      <c r="N112" s="9"/>
      <c r="O112" s="39">
        <f t="shared" si="264"/>
        <v>290</v>
      </c>
      <c r="P112" s="40">
        <f t="shared" ref="P112:Q112" si="268">H112+P111</f>
        <v>6</v>
      </c>
      <c r="Q112" s="39">
        <f t="shared" si="268"/>
        <v>389</v>
      </c>
      <c r="R112" s="10"/>
      <c r="S112" s="266">
        <f t="shared" ref="S112:U112" si="269">O112/K112</f>
        <v>9.4401041666666671E-2</v>
      </c>
      <c r="T112" s="264">
        <f t="shared" si="269"/>
        <v>1.8298261665141812E-3</v>
      </c>
      <c r="U112" s="264">
        <f t="shared" si="269"/>
        <v>5.0277885485330229E-2</v>
      </c>
      <c r="X112" s="14"/>
      <c r="Y112" s="14" t="s">
        <v>1356</v>
      </c>
      <c r="Z112" s="258" t="s">
        <v>1356</v>
      </c>
      <c r="AA112" s="13"/>
      <c r="AB112" s="258" t="s">
        <v>1356</v>
      </c>
      <c r="AD112" s="258" t="str">
        <f t="shared" si="2"/>
        <v xml:space="preserve"> </v>
      </c>
      <c r="AE112" s="258">
        <f t="shared" si="3"/>
        <v>79</v>
      </c>
      <c r="AF112" s="258" t="str">
        <f t="shared" si="4"/>
        <v xml:space="preserve"> </v>
      </c>
      <c r="AG112" s="258" t="str">
        <f t="shared" si="5"/>
        <v xml:space="preserve"> </v>
      </c>
    </row>
    <row r="113" spans="1:33" x14ac:dyDescent="0.25">
      <c r="A113" s="29" t="s">
        <v>281</v>
      </c>
      <c r="B113" s="31">
        <v>5</v>
      </c>
      <c r="C113" s="34" t="s">
        <v>282</v>
      </c>
      <c r="D113" s="34">
        <v>2017</v>
      </c>
      <c r="E113" s="36">
        <v>6</v>
      </c>
      <c r="F113" s="36">
        <v>67</v>
      </c>
      <c r="G113" s="36">
        <v>88</v>
      </c>
      <c r="H113" s="38">
        <v>148</v>
      </c>
      <c r="I113" s="36">
        <v>309</v>
      </c>
      <c r="J113" s="9"/>
      <c r="K113" s="39">
        <f t="shared" ref="K113:M113" si="270">K110*4</f>
        <v>4096</v>
      </c>
      <c r="L113" s="40">
        <f t="shared" si="270"/>
        <v>4372</v>
      </c>
      <c r="M113" s="39">
        <f t="shared" si="270"/>
        <v>10316</v>
      </c>
      <c r="N113" s="9"/>
      <c r="O113" s="39">
        <f t="shared" si="264"/>
        <v>363</v>
      </c>
      <c r="P113" s="40">
        <f t="shared" ref="P113:Q113" si="271">H113+P112</f>
        <v>154</v>
      </c>
      <c r="Q113" s="39">
        <f t="shared" si="271"/>
        <v>698</v>
      </c>
      <c r="R113" s="10"/>
      <c r="S113" s="266">
        <f t="shared" ref="S113:U113" si="272">O113/K113</f>
        <v>8.8623046875E-2</v>
      </c>
      <c r="T113" s="264">
        <f t="shared" si="272"/>
        <v>3.5224153705397984E-2</v>
      </c>
      <c r="U113" s="264">
        <f t="shared" si="272"/>
        <v>6.7661884451337723E-2</v>
      </c>
      <c r="X113" s="14"/>
      <c r="Y113" s="14" t="s">
        <v>1356</v>
      </c>
      <c r="Z113" s="258" t="s">
        <v>1356</v>
      </c>
      <c r="AA113" s="13"/>
      <c r="AB113" s="258" t="s">
        <v>1356</v>
      </c>
      <c r="AD113" s="258" t="str">
        <f t="shared" si="2"/>
        <v xml:space="preserve"> </v>
      </c>
      <c r="AE113" s="258" t="str">
        <f t="shared" si="3"/>
        <v xml:space="preserve"> </v>
      </c>
      <c r="AF113" s="258">
        <f t="shared" si="4"/>
        <v>309</v>
      </c>
      <c r="AG113" s="258" t="str">
        <f t="shared" si="5"/>
        <v xml:space="preserve"> </v>
      </c>
    </row>
    <row r="114" spans="1:33" x14ac:dyDescent="0.25">
      <c r="A114" s="29" t="s">
        <v>281</v>
      </c>
      <c r="B114" s="31">
        <v>5</v>
      </c>
      <c r="C114" s="34" t="s">
        <v>282</v>
      </c>
      <c r="D114" s="34">
        <v>2018</v>
      </c>
      <c r="E114" s="36">
        <v>0</v>
      </c>
      <c r="F114" s="36">
        <v>10</v>
      </c>
      <c r="G114" s="36">
        <v>20</v>
      </c>
      <c r="H114" s="38">
        <v>364</v>
      </c>
      <c r="I114" s="36">
        <v>394</v>
      </c>
      <c r="J114" s="9"/>
      <c r="K114" s="39">
        <f t="shared" ref="K114:M114" si="273">K110*5</f>
        <v>5120</v>
      </c>
      <c r="L114" s="40">
        <f t="shared" si="273"/>
        <v>5465</v>
      </c>
      <c r="M114" s="39">
        <f t="shared" si="273"/>
        <v>12895</v>
      </c>
      <c r="N114" s="9"/>
      <c r="O114" s="39">
        <f t="shared" si="264"/>
        <v>373</v>
      </c>
      <c r="P114" s="40">
        <f t="shared" ref="P114:Q114" si="274">H114+P113</f>
        <v>518</v>
      </c>
      <c r="Q114" s="39">
        <f t="shared" si="274"/>
        <v>1092</v>
      </c>
      <c r="R114" s="10"/>
      <c r="S114" s="266">
        <f t="shared" ref="S114:U114" si="275">O114/K114</f>
        <v>7.2851562499999994E-2</v>
      </c>
      <c r="T114" s="264">
        <f t="shared" si="275"/>
        <v>9.4784995425434587E-2</v>
      </c>
      <c r="U114" s="264">
        <f t="shared" si="275"/>
        <v>8.4683986041101209E-2</v>
      </c>
      <c r="V114" s="261" t="s">
        <v>281</v>
      </c>
      <c r="X114" s="14">
        <v>12895</v>
      </c>
      <c r="Y114" s="14">
        <v>12895</v>
      </c>
      <c r="Z114" s="258">
        <v>1092</v>
      </c>
      <c r="AA114" s="13"/>
      <c r="AB114" s="258" t="s">
        <v>1356</v>
      </c>
      <c r="AD114" s="258" t="str">
        <f t="shared" si="2"/>
        <v xml:space="preserve"> </v>
      </c>
      <c r="AE114" s="258" t="str">
        <f t="shared" si="3"/>
        <v xml:space="preserve"> </v>
      </c>
      <c r="AF114" s="258" t="str">
        <f t="shared" si="4"/>
        <v xml:space="preserve"> </v>
      </c>
      <c r="AG114" s="258">
        <f t="shared" si="5"/>
        <v>394</v>
      </c>
    </row>
    <row r="115" spans="1:33" x14ac:dyDescent="0.25">
      <c r="A115" s="46"/>
      <c r="B115" s="47"/>
      <c r="C115" s="32"/>
      <c r="D115" s="32"/>
      <c r="E115" s="48"/>
      <c r="F115" s="48"/>
      <c r="G115" s="48"/>
      <c r="H115" s="49"/>
      <c r="I115" s="48"/>
      <c r="J115" s="50"/>
      <c r="K115" s="51"/>
      <c r="L115" s="52"/>
      <c r="M115" s="51"/>
      <c r="N115" s="50"/>
      <c r="O115" s="51"/>
      <c r="P115" s="52"/>
      <c r="Q115" s="51"/>
      <c r="R115" s="53"/>
      <c r="W115" s="1"/>
      <c r="X115" s="14"/>
      <c r="Y115" s="14" t="s">
        <v>1356</v>
      </c>
      <c r="Z115" s="258" t="s">
        <v>1356</v>
      </c>
      <c r="AA115" s="54"/>
      <c r="AB115" s="258" t="s">
        <v>1356</v>
      </c>
      <c r="AD115" s="258" t="str">
        <f t="shared" si="2"/>
        <v xml:space="preserve"> </v>
      </c>
      <c r="AE115" s="258" t="str">
        <f t="shared" si="3"/>
        <v xml:space="preserve"> </v>
      </c>
      <c r="AF115" s="258" t="str">
        <f t="shared" si="4"/>
        <v xml:space="preserve"> </v>
      </c>
      <c r="AG115" s="258" t="str">
        <f t="shared" si="5"/>
        <v xml:space="preserve"> </v>
      </c>
    </row>
    <row r="116" spans="1:33" x14ac:dyDescent="0.25">
      <c r="A116" s="29" t="s">
        <v>301</v>
      </c>
      <c r="B116" s="31">
        <v>8</v>
      </c>
      <c r="C116" s="32" t="s">
        <v>44</v>
      </c>
      <c r="D116" s="34">
        <v>2015</v>
      </c>
      <c r="E116" s="36">
        <v>41</v>
      </c>
      <c r="F116" s="36">
        <v>43</v>
      </c>
      <c r="G116" s="36">
        <v>22</v>
      </c>
      <c r="H116" s="38">
        <v>313</v>
      </c>
      <c r="I116" s="36">
        <v>419</v>
      </c>
      <c r="J116" s="9"/>
      <c r="K116" s="39">
        <f>ROUND((618+367)/8,0)</f>
        <v>123</v>
      </c>
      <c r="L116" s="40">
        <f>ROUND(890/8,0)</f>
        <v>111</v>
      </c>
      <c r="M116" s="39">
        <f>ROUND(2298/8,0)</f>
        <v>287</v>
      </c>
      <c r="N116" s="9"/>
      <c r="O116" s="39">
        <f>E116+F116</f>
        <v>84</v>
      </c>
      <c r="P116" s="40">
        <f t="shared" ref="P116:Q116" si="276">H116</f>
        <v>313</v>
      </c>
      <c r="Q116" s="39">
        <f t="shared" si="276"/>
        <v>419</v>
      </c>
      <c r="R116" s="10"/>
      <c r="S116" s="266">
        <f t="shared" ref="S116:U116" si="277">O116/K116</f>
        <v>0.68292682926829273</v>
      </c>
      <c r="T116" s="264">
        <f t="shared" si="277"/>
        <v>2.8198198198198199</v>
      </c>
      <c r="U116" s="264">
        <f t="shared" si="277"/>
        <v>1.4599303135888502</v>
      </c>
      <c r="X116" s="14"/>
      <c r="Y116" s="14" t="s">
        <v>1356</v>
      </c>
      <c r="Z116" s="258" t="s">
        <v>1356</v>
      </c>
      <c r="AA116" s="13"/>
      <c r="AB116" s="258">
        <v>287</v>
      </c>
      <c r="AD116" s="258">
        <f t="shared" si="2"/>
        <v>419</v>
      </c>
      <c r="AE116" s="258" t="str">
        <f t="shared" si="3"/>
        <v xml:space="preserve"> </v>
      </c>
      <c r="AF116" s="258" t="str">
        <f t="shared" si="4"/>
        <v xml:space="preserve"> </v>
      </c>
      <c r="AG116" s="258" t="str">
        <f t="shared" si="5"/>
        <v xml:space="preserve"> </v>
      </c>
    </row>
    <row r="117" spans="1:33" x14ac:dyDescent="0.25">
      <c r="A117" s="29" t="s">
        <v>301</v>
      </c>
      <c r="B117" s="31">
        <v>8</v>
      </c>
      <c r="C117" s="32" t="s">
        <v>44</v>
      </c>
      <c r="D117" s="34">
        <v>2016</v>
      </c>
      <c r="E117" s="36">
        <v>12</v>
      </c>
      <c r="F117" s="36">
        <v>17</v>
      </c>
      <c r="G117" s="36">
        <v>7</v>
      </c>
      <c r="H117" s="38">
        <v>80</v>
      </c>
      <c r="I117" s="36">
        <v>116</v>
      </c>
      <c r="J117" s="9"/>
      <c r="K117" s="39">
        <f t="shared" ref="K117:M117" si="278">K116*2</f>
        <v>246</v>
      </c>
      <c r="L117" s="40">
        <f t="shared" si="278"/>
        <v>222</v>
      </c>
      <c r="M117" s="39">
        <f t="shared" si="278"/>
        <v>574</v>
      </c>
      <c r="N117" s="9"/>
      <c r="O117" s="39">
        <f t="shared" ref="O117:O119" si="279">E116+F116+O116</f>
        <v>168</v>
      </c>
      <c r="P117" s="40">
        <f t="shared" ref="P117:Q117" si="280">H117+P116</f>
        <v>393</v>
      </c>
      <c r="Q117" s="39">
        <f t="shared" si="280"/>
        <v>535</v>
      </c>
      <c r="R117" s="10"/>
      <c r="S117" s="266">
        <f t="shared" ref="S117:U117" si="281">O117/K117</f>
        <v>0.68292682926829273</v>
      </c>
      <c r="T117" s="264">
        <f t="shared" si="281"/>
        <v>1.7702702702702702</v>
      </c>
      <c r="U117" s="264">
        <f t="shared" si="281"/>
        <v>0.93205574912891986</v>
      </c>
      <c r="X117" s="14"/>
      <c r="Y117" s="14" t="s">
        <v>1356</v>
      </c>
      <c r="Z117" s="258" t="s">
        <v>1356</v>
      </c>
      <c r="AA117" s="13"/>
      <c r="AB117" s="258" t="s">
        <v>1356</v>
      </c>
      <c r="AD117" s="258" t="str">
        <f t="shared" si="2"/>
        <v xml:space="preserve"> </v>
      </c>
      <c r="AE117" s="258">
        <f t="shared" si="3"/>
        <v>116</v>
      </c>
      <c r="AF117" s="258" t="str">
        <f t="shared" si="4"/>
        <v xml:space="preserve"> </v>
      </c>
      <c r="AG117" s="258" t="str">
        <f t="shared" si="5"/>
        <v xml:space="preserve"> </v>
      </c>
    </row>
    <row r="118" spans="1:33" x14ac:dyDescent="0.25">
      <c r="A118" s="29" t="s">
        <v>301</v>
      </c>
      <c r="B118" s="31">
        <v>8</v>
      </c>
      <c r="C118" s="32" t="s">
        <v>44</v>
      </c>
      <c r="D118" s="34">
        <v>2017</v>
      </c>
      <c r="E118" s="36">
        <v>13</v>
      </c>
      <c r="F118" s="36">
        <v>24</v>
      </c>
      <c r="G118" s="36">
        <v>17</v>
      </c>
      <c r="H118" s="38">
        <v>76</v>
      </c>
      <c r="I118" s="36">
        <v>130</v>
      </c>
      <c r="J118" s="9"/>
      <c r="K118" s="39">
        <f>K116*3</f>
        <v>369</v>
      </c>
      <c r="L118" s="40">
        <f>L117*3</f>
        <v>666</v>
      </c>
      <c r="M118" s="39">
        <f>M116*3</f>
        <v>861</v>
      </c>
      <c r="N118" s="9"/>
      <c r="O118" s="39">
        <f t="shared" si="279"/>
        <v>197</v>
      </c>
      <c r="P118" s="40">
        <f t="shared" ref="P118:Q118" si="282">H118+P117</f>
        <v>469</v>
      </c>
      <c r="Q118" s="39">
        <f t="shared" si="282"/>
        <v>665</v>
      </c>
      <c r="R118" s="10"/>
      <c r="S118" s="266">
        <f t="shared" ref="S118:U118" si="283">O118/K118</f>
        <v>0.53387533875338755</v>
      </c>
      <c r="T118" s="264">
        <f t="shared" si="283"/>
        <v>0.70420420420420415</v>
      </c>
      <c r="U118" s="264">
        <f t="shared" si="283"/>
        <v>0.77235772357723576</v>
      </c>
      <c r="X118" s="14"/>
      <c r="Y118" s="14" t="s">
        <v>1356</v>
      </c>
      <c r="Z118" s="258" t="s">
        <v>1356</v>
      </c>
      <c r="AA118" s="13"/>
      <c r="AB118" s="258" t="s">
        <v>1356</v>
      </c>
      <c r="AD118" s="258" t="str">
        <f t="shared" si="2"/>
        <v xml:space="preserve"> </v>
      </c>
      <c r="AE118" s="258" t="str">
        <f t="shared" si="3"/>
        <v xml:space="preserve"> </v>
      </c>
      <c r="AF118" s="258">
        <f t="shared" si="4"/>
        <v>130</v>
      </c>
      <c r="AG118" s="258" t="str">
        <f t="shared" si="5"/>
        <v xml:space="preserve"> </v>
      </c>
    </row>
    <row r="119" spans="1:33" x14ac:dyDescent="0.25">
      <c r="A119" s="29" t="s">
        <v>301</v>
      </c>
      <c r="B119" s="31">
        <v>8</v>
      </c>
      <c r="C119" s="32" t="s">
        <v>44</v>
      </c>
      <c r="D119" s="34">
        <v>2018</v>
      </c>
      <c r="E119" s="36">
        <v>44</v>
      </c>
      <c r="F119" s="36">
        <v>114</v>
      </c>
      <c r="G119" s="36">
        <v>59</v>
      </c>
      <c r="H119" s="38">
        <v>110</v>
      </c>
      <c r="I119" s="36">
        <v>327</v>
      </c>
      <c r="J119" s="9"/>
      <c r="K119" s="39">
        <f t="shared" ref="K119:M119" si="284">K116*4</f>
        <v>492</v>
      </c>
      <c r="L119" s="40">
        <f t="shared" si="284"/>
        <v>444</v>
      </c>
      <c r="M119" s="39">
        <f t="shared" si="284"/>
        <v>1148</v>
      </c>
      <c r="N119" s="9"/>
      <c r="O119" s="39">
        <f t="shared" si="279"/>
        <v>234</v>
      </c>
      <c r="P119" s="40">
        <f t="shared" ref="P119:Q119" si="285">H119+P118</f>
        <v>579</v>
      </c>
      <c r="Q119" s="39">
        <f t="shared" si="285"/>
        <v>992</v>
      </c>
      <c r="R119" s="10"/>
      <c r="S119" s="266">
        <f t="shared" ref="S119:U119" si="286">O119/K119</f>
        <v>0.47560975609756095</v>
      </c>
      <c r="T119" s="264">
        <f t="shared" si="286"/>
        <v>1.3040540540540539</v>
      </c>
      <c r="U119" s="264">
        <f t="shared" si="286"/>
        <v>0.86411149825783973</v>
      </c>
      <c r="V119" s="261" t="s">
        <v>301</v>
      </c>
      <c r="X119" s="14">
        <v>2298</v>
      </c>
      <c r="Y119" s="14">
        <v>1148</v>
      </c>
      <c r="Z119" s="258">
        <v>992</v>
      </c>
      <c r="AA119" s="13"/>
      <c r="AB119" s="258" t="s">
        <v>1356</v>
      </c>
      <c r="AD119" s="258" t="str">
        <f t="shared" si="2"/>
        <v xml:space="preserve"> </v>
      </c>
      <c r="AE119" s="258" t="str">
        <f t="shared" si="3"/>
        <v xml:space="preserve"> </v>
      </c>
      <c r="AF119" s="258" t="str">
        <f t="shared" si="4"/>
        <v xml:space="preserve"> </v>
      </c>
      <c r="AG119" s="258">
        <f t="shared" si="5"/>
        <v>327</v>
      </c>
    </row>
    <row r="120" spans="1:33" x14ac:dyDescent="0.25">
      <c r="A120" s="29"/>
      <c r="B120" s="31"/>
      <c r="C120" s="34"/>
      <c r="D120" s="34"/>
      <c r="E120" s="36"/>
      <c r="F120" s="36"/>
      <c r="G120" s="36"/>
      <c r="H120" s="38"/>
      <c r="I120" s="36"/>
      <c r="J120" s="9"/>
      <c r="K120" s="39"/>
      <c r="L120" s="40"/>
      <c r="M120" s="39"/>
      <c r="N120" s="9"/>
      <c r="O120" s="39"/>
      <c r="P120" s="40"/>
      <c r="Q120" s="39"/>
      <c r="R120" s="10"/>
      <c r="X120" s="14"/>
      <c r="Y120" s="14" t="s">
        <v>1356</v>
      </c>
      <c r="Z120" s="258" t="s">
        <v>1356</v>
      </c>
      <c r="AA120" s="13"/>
      <c r="AB120" s="258" t="s">
        <v>1356</v>
      </c>
      <c r="AD120" s="258" t="str">
        <f t="shared" si="2"/>
        <v xml:space="preserve"> </v>
      </c>
      <c r="AE120" s="258" t="str">
        <f t="shared" si="3"/>
        <v xml:space="preserve"> </v>
      </c>
      <c r="AF120" s="258" t="str">
        <f t="shared" si="4"/>
        <v xml:space="preserve"> </v>
      </c>
      <c r="AG120" s="258" t="str">
        <f t="shared" si="5"/>
        <v xml:space="preserve"> </v>
      </c>
    </row>
    <row r="121" spans="1:33" x14ac:dyDescent="0.25">
      <c r="A121" s="29" t="s">
        <v>317</v>
      </c>
      <c r="B121" s="31">
        <v>5</v>
      </c>
      <c r="C121" s="34" t="s">
        <v>69</v>
      </c>
      <c r="D121" s="34">
        <v>2014</v>
      </c>
      <c r="E121" s="36">
        <v>0</v>
      </c>
      <c r="F121" s="36">
        <v>0</v>
      </c>
      <c r="G121" s="36">
        <v>35</v>
      </c>
      <c r="H121" s="38">
        <v>14</v>
      </c>
      <c r="I121" s="36">
        <v>49</v>
      </c>
      <c r="J121" s="9"/>
      <c r="K121" s="39">
        <f>ROUND((265+130)/5,0)</f>
        <v>79</v>
      </c>
      <c r="L121" s="40">
        <v>84</v>
      </c>
      <c r="M121" s="39">
        <f>ROUND(995/5,0)</f>
        <v>199</v>
      </c>
      <c r="N121" s="9"/>
      <c r="O121" s="39">
        <f>E121+F121</f>
        <v>0</v>
      </c>
      <c r="P121" s="40">
        <f t="shared" ref="P121:Q121" si="287">H121</f>
        <v>14</v>
      </c>
      <c r="Q121" s="39">
        <f t="shared" si="287"/>
        <v>49</v>
      </c>
      <c r="R121" s="10"/>
      <c r="S121" s="266">
        <f t="shared" ref="S121:U121" si="288">O121/K121</f>
        <v>0</v>
      </c>
      <c r="T121" s="264">
        <f t="shared" si="288"/>
        <v>0.16666666666666666</v>
      </c>
      <c r="U121" s="264">
        <f t="shared" si="288"/>
        <v>0.24623115577889448</v>
      </c>
      <c r="X121" s="14"/>
      <c r="Y121" s="14" t="s">
        <v>1356</v>
      </c>
      <c r="Z121" s="258" t="s">
        <v>1356</v>
      </c>
      <c r="AA121" s="13"/>
      <c r="AB121" s="258">
        <v>199</v>
      </c>
      <c r="AD121" s="258" t="str">
        <f t="shared" si="2"/>
        <v xml:space="preserve"> </v>
      </c>
      <c r="AE121" s="258" t="str">
        <f t="shared" si="3"/>
        <v xml:space="preserve"> </v>
      </c>
      <c r="AF121" s="258" t="str">
        <f t="shared" si="4"/>
        <v xml:space="preserve"> </v>
      </c>
      <c r="AG121" s="258" t="str">
        <f t="shared" si="5"/>
        <v xml:space="preserve"> </v>
      </c>
    </row>
    <row r="122" spans="1:33" x14ac:dyDescent="0.25">
      <c r="A122" s="29" t="s">
        <v>317</v>
      </c>
      <c r="B122" s="31">
        <v>5</v>
      </c>
      <c r="C122" s="34" t="s">
        <v>69</v>
      </c>
      <c r="D122" s="34">
        <v>2015</v>
      </c>
      <c r="E122" s="36">
        <v>0</v>
      </c>
      <c r="F122" s="36">
        <v>0</v>
      </c>
      <c r="G122" s="36">
        <v>44</v>
      </c>
      <c r="H122" s="38">
        <v>10</v>
      </c>
      <c r="I122" s="36">
        <v>54</v>
      </c>
      <c r="J122" s="9"/>
      <c r="K122" s="39">
        <f t="shared" ref="K122:M122" si="289">K121*2</f>
        <v>158</v>
      </c>
      <c r="L122" s="40">
        <f t="shared" si="289"/>
        <v>168</v>
      </c>
      <c r="M122" s="39">
        <f t="shared" si="289"/>
        <v>398</v>
      </c>
      <c r="N122" s="9"/>
      <c r="O122" s="39">
        <f t="shared" ref="O122:O125" si="290">E122+F122+O121</f>
        <v>0</v>
      </c>
      <c r="P122" s="40">
        <f t="shared" ref="P122:Q122" si="291">H122+P121</f>
        <v>24</v>
      </c>
      <c r="Q122" s="39">
        <f t="shared" si="291"/>
        <v>103</v>
      </c>
      <c r="R122" s="10"/>
      <c r="S122" s="266">
        <f t="shared" ref="S122:U122" si="292">O122/K122</f>
        <v>0</v>
      </c>
      <c r="T122" s="264">
        <f t="shared" si="292"/>
        <v>0.14285714285714285</v>
      </c>
      <c r="U122" s="264">
        <f t="shared" si="292"/>
        <v>0.25879396984924624</v>
      </c>
      <c r="X122" s="14"/>
      <c r="Y122" s="14" t="s">
        <v>1356</v>
      </c>
      <c r="Z122" s="258" t="s">
        <v>1356</v>
      </c>
      <c r="AA122" s="13"/>
      <c r="AD122" s="258">
        <f t="shared" si="2"/>
        <v>54</v>
      </c>
      <c r="AE122" s="258" t="str">
        <f t="shared" si="3"/>
        <v xml:space="preserve"> </v>
      </c>
      <c r="AF122" s="258" t="str">
        <f t="shared" si="4"/>
        <v xml:space="preserve"> </v>
      </c>
      <c r="AG122" s="258" t="str">
        <f t="shared" si="5"/>
        <v xml:space="preserve"> </v>
      </c>
    </row>
    <row r="123" spans="1:33" x14ac:dyDescent="0.25">
      <c r="A123" s="29" t="s">
        <v>317</v>
      </c>
      <c r="B123" s="31">
        <v>5</v>
      </c>
      <c r="C123" s="34" t="s">
        <v>69</v>
      </c>
      <c r="D123" s="34">
        <v>2016</v>
      </c>
      <c r="E123" s="36">
        <v>0</v>
      </c>
      <c r="F123" s="36">
        <v>0</v>
      </c>
      <c r="G123" s="36">
        <v>19</v>
      </c>
      <c r="H123" s="38">
        <v>28</v>
      </c>
      <c r="I123" s="36">
        <v>47</v>
      </c>
      <c r="J123" s="9"/>
      <c r="K123" s="39">
        <f t="shared" ref="K123:M123" si="293">K121*3</f>
        <v>237</v>
      </c>
      <c r="L123" s="40">
        <f t="shared" si="293"/>
        <v>252</v>
      </c>
      <c r="M123" s="39">
        <f t="shared" si="293"/>
        <v>597</v>
      </c>
      <c r="N123" s="9"/>
      <c r="O123" s="39">
        <f t="shared" si="290"/>
        <v>0</v>
      </c>
      <c r="P123" s="40">
        <f t="shared" ref="P123:Q123" si="294">H123+P122</f>
        <v>52</v>
      </c>
      <c r="Q123" s="39">
        <f t="shared" si="294"/>
        <v>150</v>
      </c>
      <c r="R123" s="10"/>
      <c r="S123" s="266">
        <f t="shared" ref="S123:U123" si="295">O123/K123</f>
        <v>0</v>
      </c>
      <c r="T123" s="264">
        <f t="shared" si="295"/>
        <v>0.20634920634920634</v>
      </c>
      <c r="U123" s="264">
        <f t="shared" si="295"/>
        <v>0.25125628140703515</v>
      </c>
      <c r="X123" s="14"/>
      <c r="Y123" s="14" t="s">
        <v>1356</v>
      </c>
      <c r="Z123" s="258" t="s">
        <v>1356</v>
      </c>
      <c r="AA123" s="13"/>
      <c r="AB123" s="258" t="s">
        <v>1356</v>
      </c>
      <c r="AD123" s="258" t="str">
        <f t="shared" si="2"/>
        <v xml:space="preserve"> </v>
      </c>
      <c r="AE123" s="258">
        <f t="shared" si="3"/>
        <v>47</v>
      </c>
      <c r="AF123" s="258" t="str">
        <f t="shared" si="4"/>
        <v xml:space="preserve"> </v>
      </c>
      <c r="AG123" s="258" t="str">
        <f t="shared" si="5"/>
        <v xml:space="preserve"> </v>
      </c>
    </row>
    <row r="124" spans="1:33" x14ac:dyDescent="0.25">
      <c r="A124" s="29" t="s">
        <v>317</v>
      </c>
      <c r="B124" s="31">
        <v>5</v>
      </c>
      <c r="C124" s="34" t="s">
        <v>69</v>
      </c>
      <c r="D124" s="34">
        <v>2017</v>
      </c>
      <c r="E124" s="36">
        <v>0</v>
      </c>
      <c r="F124" s="36">
        <v>0</v>
      </c>
      <c r="G124" s="36">
        <v>28</v>
      </c>
      <c r="H124" s="38">
        <v>9</v>
      </c>
      <c r="I124" s="36">
        <v>37</v>
      </c>
      <c r="J124" s="9"/>
      <c r="K124" s="39">
        <f t="shared" ref="K124:M124" si="296">K121*4</f>
        <v>316</v>
      </c>
      <c r="L124" s="40">
        <f t="shared" si="296"/>
        <v>336</v>
      </c>
      <c r="M124" s="39">
        <f t="shared" si="296"/>
        <v>796</v>
      </c>
      <c r="N124" s="9"/>
      <c r="O124" s="39">
        <f t="shared" si="290"/>
        <v>0</v>
      </c>
      <c r="P124" s="40">
        <f t="shared" ref="P124:Q124" si="297">H124+P123</f>
        <v>61</v>
      </c>
      <c r="Q124" s="39">
        <f t="shared" si="297"/>
        <v>187</v>
      </c>
      <c r="R124" s="10"/>
      <c r="S124" s="266">
        <f t="shared" ref="S124:U124" si="298">O124/K124</f>
        <v>0</v>
      </c>
      <c r="T124" s="264">
        <f t="shared" si="298"/>
        <v>0.18154761904761904</v>
      </c>
      <c r="U124" s="264">
        <f t="shared" si="298"/>
        <v>0.23492462311557788</v>
      </c>
      <c r="X124" s="14"/>
      <c r="Y124" s="14" t="s">
        <v>1356</v>
      </c>
      <c r="Z124" s="258" t="s">
        <v>1356</v>
      </c>
      <c r="AA124" s="13"/>
      <c r="AB124" s="258" t="s">
        <v>1356</v>
      </c>
      <c r="AD124" s="258" t="str">
        <f t="shared" si="2"/>
        <v xml:space="preserve"> </v>
      </c>
      <c r="AE124" s="258" t="str">
        <f t="shared" si="3"/>
        <v xml:space="preserve"> </v>
      </c>
      <c r="AF124" s="258">
        <f t="shared" si="4"/>
        <v>37</v>
      </c>
      <c r="AG124" s="258" t="str">
        <f t="shared" si="5"/>
        <v xml:space="preserve"> </v>
      </c>
    </row>
    <row r="125" spans="1:33" x14ac:dyDescent="0.25">
      <c r="A125" s="29" t="s">
        <v>317</v>
      </c>
      <c r="B125" s="31">
        <v>5</v>
      </c>
      <c r="C125" s="34" t="s">
        <v>69</v>
      </c>
      <c r="D125" s="34">
        <v>2018</v>
      </c>
      <c r="E125" s="36">
        <v>0</v>
      </c>
      <c r="F125" s="36">
        <v>0</v>
      </c>
      <c r="G125" s="36">
        <v>0</v>
      </c>
      <c r="H125" s="38">
        <v>56</v>
      </c>
      <c r="I125" s="36">
        <v>56</v>
      </c>
      <c r="J125" s="9"/>
      <c r="K125" s="39">
        <f t="shared" ref="K125:M125" si="299">K121*5</f>
        <v>395</v>
      </c>
      <c r="L125" s="40">
        <f t="shared" si="299"/>
        <v>420</v>
      </c>
      <c r="M125" s="39">
        <f t="shared" si="299"/>
        <v>995</v>
      </c>
      <c r="N125" s="9"/>
      <c r="O125" s="39">
        <f t="shared" si="290"/>
        <v>0</v>
      </c>
      <c r="P125" s="40">
        <f t="shared" ref="P125:Q125" si="300">H125+P124</f>
        <v>117</v>
      </c>
      <c r="Q125" s="39">
        <f t="shared" si="300"/>
        <v>243</v>
      </c>
      <c r="R125" s="10"/>
      <c r="S125" s="266">
        <f t="shared" ref="S125:U125" si="301">O125/K125</f>
        <v>0</v>
      </c>
      <c r="T125" s="264">
        <f t="shared" si="301"/>
        <v>0.27857142857142858</v>
      </c>
      <c r="U125" s="264">
        <f t="shared" si="301"/>
        <v>0.2442211055276382</v>
      </c>
      <c r="V125" s="261" t="s">
        <v>317</v>
      </c>
      <c r="X125" s="14">
        <v>995</v>
      </c>
      <c r="Y125" s="14">
        <v>995</v>
      </c>
      <c r="Z125" s="258">
        <v>243</v>
      </c>
      <c r="AA125" s="13"/>
      <c r="AB125" s="258" t="s">
        <v>1356</v>
      </c>
      <c r="AD125" s="258" t="str">
        <f t="shared" si="2"/>
        <v xml:space="preserve"> </v>
      </c>
      <c r="AE125" s="258" t="str">
        <f t="shared" si="3"/>
        <v xml:space="preserve"> </v>
      </c>
      <c r="AF125" s="258" t="str">
        <f t="shared" si="4"/>
        <v xml:space="preserve"> </v>
      </c>
      <c r="AG125" s="258">
        <f t="shared" si="5"/>
        <v>56</v>
      </c>
    </row>
    <row r="126" spans="1:33" x14ac:dyDescent="0.25">
      <c r="A126" s="29"/>
      <c r="B126" s="31"/>
      <c r="C126" s="34"/>
      <c r="D126" s="34"/>
      <c r="E126" s="36"/>
      <c r="F126" s="36"/>
      <c r="G126" s="36"/>
      <c r="H126" s="38"/>
      <c r="I126" s="36"/>
      <c r="J126" s="9"/>
      <c r="K126" s="39"/>
      <c r="L126" s="40"/>
      <c r="M126" s="39"/>
      <c r="N126" s="9"/>
      <c r="O126" s="39"/>
      <c r="P126" s="40"/>
      <c r="Q126" s="39"/>
      <c r="R126" s="10"/>
      <c r="X126" s="14"/>
      <c r="Y126" s="14" t="s">
        <v>1356</v>
      </c>
      <c r="Z126" s="258" t="s">
        <v>1356</v>
      </c>
      <c r="AA126" s="13"/>
      <c r="AB126" s="258" t="s">
        <v>1356</v>
      </c>
      <c r="AD126" s="258" t="str">
        <f t="shared" si="2"/>
        <v xml:space="preserve"> </v>
      </c>
      <c r="AE126" s="258" t="str">
        <f t="shared" si="3"/>
        <v xml:space="preserve"> </v>
      </c>
      <c r="AF126" s="258" t="str">
        <f t="shared" si="4"/>
        <v xml:space="preserve"> </v>
      </c>
      <c r="AG126" s="258" t="str">
        <f t="shared" si="5"/>
        <v xml:space="preserve"> </v>
      </c>
    </row>
    <row r="127" spans="1:33" x14ac:dyDescent="0.25">
      <c r="A127" s="29" t="s">
        <v>334</v>
      </c>
      <c r="B127" s="31">
        <v>5</v>
      </c>
      <c r="C127" s="34" t="s">
        <v>69</v>
      </c>
      <c r="D127" s="34">
        <v>2014</v>
      </c>
      <c r="E127" s="36">
        <v>0</v>
      </c>
      <c r="F127" s="36">
        <v>0</v>
      </c>
      <c r="G127" s="36">
        <v>1</v>
      </c>
      <c r="H127" s="38">
        <v>0</v>
      </c>
      <c r="I127" s="36">
        <v>1</v>
      </c>
      <c r="J127" s="9"/>
      <c r="K127" s="39">
        <f>ROUND((60+40)/5,0)</f>
        <v>20</v>
      </c>
      <c r="L127" s="40">
        <v>22</v>
      </c>
      <c r="M127" s="39">
        <f>ROUND(250/5,0)</f>
        <v>50</v>
      </c>
      <c r="N127" s="9"/>
      <c r="O127" s="39">
        <f>E127+F127</f>
        <v>0</v>
      </c>
      <c r="P127" s="40">
        <f t="shared" ref="P127:Q127" si="302">H127</f>
        <v>0</v>
      </c>
      <c r="Q127" s="39">
        <f t="shared" si="302"/>
        <v>1</v>
      </c>
      <c r="R127" s="10"/>
      <c r="S127" s="266">
        <f t="shared" ref="S127:U127" si="303">O127/K127</f>
        <v>0</v>
      </c>
      <c r="T127" s="264">
        <f t="shared" si="303"/>
        <v>0</v>
      </c>
      <c r="U127" s="264">
        <f t="shared" si="303"/>
        <v>0.02</v>
      </c>
      <c r="X127" s="14"/>
      <c r="Y127" s="14" t="s">
        <v>1356</v>
      </c>
      <c r="Z127" s="258" t="s">
        <v>1356</v>
      </c>
      <c r="AA127" s="13"/>
      <c r="AB127" s="258">
        <v>50</v>
      </c>
      <c r="AD127" s="258" t="str">
        <f t="shared" si="2"/>
        <v xml:space="preserve"> </v>
      </c>
      <c r="AE127" s="258" t="str">
        <f t="shared" si="3"/>
        <v xml:space="preserve"> </v>
      </c>
      <c r="AF127" s="258" t="str">
        <f t="shared" si="4"/>
        <v xml:space="preserve"> </v>
      </c>
      <c r="AG127" s="258" t="str">
        <f t="shared" si="5"/>
        <v xml:space="preserve"> </v>
      </c>
    </row>
    <row r="128" spans="1:33" x14ac:dyDescent="0.25">
      <c r="A128" s="29" t="s">
        <v>334</v>
      </c>
      <c r="B128" s="31">
        <v>5</v>
      </c>
      <c r="C128" s="34" t="s">
        <v>69</v>
      </c>
      <c r="D128" s="34">
        <v>2015</v>
      </c>
      <c r="E128" s="36">
        <v>31</v>
      </c>
      <c r="F128" s="36">
        <v>12</v>
      </c>
      <c r="G128" s="36">
        <v>57</v>
      </c>
      <c r="H128" s="38">
        <v>60</v>
      </c>
      <c r="I128" s="36">
        <v>160</v>
      </c>
      <c r="J128" s="9"/>
      <c r="K128" s="39">
        <f t="shared" ref="K128:M128" si="304">K127*2</f>
        <v>40</v>
      </c>
      <c r="L128" s="40">
        <f t="shared" si="304"/>
        <v>44</v>
      </c>
      <c r="M128" s="39">
        <f t="shared" si="304"/>
        <v>100</v>
      </c>
      <c r="N128" s="9"/>
      <c r="O128" s="39">
        <f t="shared" ref="O128:O131" si="305">E128+F128+O127</f>
        <v>43</v>
      </c>
      <c r="P128" s="40">
        <f t="shared" ref="P128:Q128" si="306">H128+P127</f>
        <v>60</v>
      </c>
      <c r="Q128" s="39">
        <f t="shared" si="306"/>
        <v>161</v>
      </c>
      <c r="R128" s="10"/>
      <c r="S128" s="266">
        <f t="shared" ref="S128:U128" si="307">O128/K128</f>
        <v>1.075</v>
      </c>
      <c r="T128" s="264">
        <f t="shared" si="307"/>
        <v>1.3636363636363635</v>
      </c>
      <c r="U128" s="264">
        <f t="shared" si="307"/>
        <v>1.61</v>
      </c>
      <c r="X128" s="14"/>
      <c r="Y128" s="14" t="s">
        <v>1356</v>
      </c>
      <c r="Z128" s="258" t="s">
        <v>1356</v>
      </c>
      <c r="AA128" s="13"/>
      <c r="AD128" s="258">
        <f t="shared" si="2"/>
        <v>160</v>
      </c>
      <c r="AE128" s="258" t="str">
        <f t="shared" si="3"/>
        <v xml:space="preserve"> </v>
      </c>
      <c r="AF128" s="258" t="str">
        <f t="shared" si="4"/>
        <v xml:space="preserve"> </v>
      </c>
      <c r="AG128" s="258" t="str">
        <f t="shared" si="5"/>
        <v xml:space="preserve"> </v>
      </c>
    </row>
    <row r="129" spans="1:33" x14ac:dyDescent="0.25">
      <c r="A129" s="29" t="s">
        <v>334</v>
      </c>
      <c r="B129" s="31">
        <v>5</v>
      </c>
      <c r="C129" s="34" t="s">
        <v>69</v>
      </c>
      <c r="D129" s="34">
        <v>2016</v>
      </c>
      <c r="E129" s="36">
        <v>0</v>
      </c>
      <c r="F129" s="36">
        <v>0</v>
      </c>
      <c r="G129" s="36">
        <v>0</v>
      </c>
      <c r="H129" s="38">
        <v>7</v>
      </c>
      <c r="I129" s="36">
        <v>7</v>
      </c>
      <c r="J129" s="9"/>
      <c r="K129" s="39">
        <f t="shared" ref="K129:M129" si="308">K127*3</f>
        <v>60</v>
      </c>
      <c r="L129" s="40">
        <f t="shared" si="308"/>
        <v>66</v>
      </c>
      <c r="M129" s="39">
        <f t="shared" si="308"/>
        <v>150</v>
      </c>
      <c r="N129" s="9"/>
      <c r="O129" s="39">
        <f t="shared" si="305"/>
        <v>43</v>
      </c>
      <c r="P129" s="40">
        <f t="shared" ref="P129:Q129" si="309">H129+P128</f>
        <v>67</v>
      </c>
      <c r="Q129" s="39">
        <f t="shared" si="309"/>
        <v>168</v>
      </c>
      <c r="R129" s="10"/>
      <c r="S129" s="266">
        <f t="shared" ref="S129:U129" si="310">O129/K129</f>
        <v>0.71666666666666667</v>
      </c>
      <c r="T129" s="264">
        <f t="shared" si="310"/>
        <v>1.0151515151515151</v>
      </c>
      <c r="U129" s="264">
        <f t="shared" si="310"/>
        <v>1.1200000000000001</v>
      </c>
      <c r="X129" s="14"/>
      <c r="Y129" s="14" t="s">
        <v>1356</v>
      </c>
      <c r="Z129" s="258" t="s">
        <v>1356</v>
      </c>
      <c r="AA129" s="13"/>
      <c r="AB129" s="258" t="s">
        <v>1356</v>
      </c>
      <c r="AD129" s="258" t="str">
        <f t="shared" si="2"/>
        <v xml:space="preserve"> </v>
      </c>
      <c r="AE129" s="258">
        <f t="shared" si="3"/>
        <v>7</v>
      </c>
      <c r="AF129" s="258" t="str">
        <f t="shared" si="4"/>
        <v xml:space="preserve"> </v>
      </c>
      <c r="AG129" s="258" t="str">
        <f t="shared" si="5"/>
        <v xml:space="preserve"> </v>
      </c>
    </row>
    <row r="130" spans="1:33" x14ac:dyDescent="0.25">
      <c r="A130" s="29" t="s">
        <v>334</v>
      </c>
      <c r="B130" s="31">
        <v>5</v>
      </c>
      <c r="C130" s="34" t="s">
        <v>69</v>
      </c>
      <c r="D130" s="34">
        <v>2017</v>
      </c>
      <c r="E130" s="36">
        <v>0</v>
      </c>
      <c r="F130" s="36">
        <v>0</v>
      </c>
      <c r="G130" s="36">
        <v>0</v>
      </c>
      <c r="H130" s="38">
        <v>4</v>
      </c>
      <c r="I130" s="36">
        <v>4</v>
      </c>
      <c r="J130" s="9"/>
      <c r="K130" s="39">
        <f t="shared" ref="K130:M130" si="311">K127*4</f>
        <v>80</v>
      </c>
      <c r="L130" s="40">
        <f t="shared" si="311"/>
        <v>88</v>
      </c>
      <c r="M130" s="39">
        <f t="shared" si="311"/>
        <v>200</v>
      </c>
      <c r="N130" s="9"/>
      <c r="O130" s="39">
        <f t="shared" si="305"/>
        <v>43</v>
      </c>
      <c r="P130" s="40">
        <f t="shared" ref="P130:Q130" si="312">H130+P129</f>
        <v>71</v>
      </c>
      <c r="Q130" s="39">
        <f t="shared" si="312"/>
        <v>172</v>
      </c>
      <c r="R130" s="10"/>
      <c r="S130" s="266">
        <f t="shared" ref="S130:U130" si="313">O130/K130</f>
        <v>0.53749999999999998</v>
      </c>
      <c r="T130" s="264">
        <f t="shared" si="313"/>
        <v>0.80681818181818177</v>
      </c>
      <c r="U130" s="264">
        <f t="shared" si="313"/>
        <v>0.86</v>
      </c>
      <c r="X130" s="14"/>
      <c r="Y130" s="14" t="s">
        <v>1356</v>
      </c>
      <c r="Z130" s="258" t="s">
        <v>1356</v>
      </c>
      <c r="AA130" s="13"/>
      <c r="AB130" s="258" t="s">
        <v>1356</v>
      </c>
      <c r="AD130" s="258" t="str">
        <f t="shared" si="2"/>
        <v xml:space="preserve"> </v>
      </c>
      <c r="AE130" s="258" t="str">
        <f t="shared" si="3"/>
        <v xml:space="preserve"> </v>
      </c>
      <c r="AF130" s="258">
        <f t="shared" si="4"/>
        <v>4</v>
      </c>
      <c r="AG130" s="258" t="str">
        <f t="shared" si="5"/>
        <v xml:space="preserve"> </v>
      </c>
    </row>
    <row r="131" spans="1:33" x14ac:dyDescent="0.25">
      <c r="A131" s="29" t="s">
        <v>334</v>
      </c>
      <c r="B131" s="31">
        <v>5</v>
      </c>
      <c r="C131" s="34" t="s">
        <v>69</v>
      </c>
      <c r="D131" s="34">
        <v>2018</v>
      </c>
      <c r="E131" s="36">
        <v>37</v>
      </c>
      <c r="F131" s="36">
        <v>2</v>
      </c>
      <c r="G131" s="36">
        <v>35</v>
      </c>
      <c r="H131" s="38">
        <v>34</v>
      </c>
      <c r="I131" s="36">
        <v>108</v>
      </c>
      <c r="J131" s="9"/>
      <c r="K131" s="39">
        <f t="shared" ref="K131:M131" si="314">K127*5</f>
        <v>100</v>
      </c>
      <c r="L131" s="40">
        <f t="shared" si="314"/>
        <v>110</v>
      </c>
      <c r="M131" s="39">
        <f t="shared" si="314"/>
        <v>250</v>
      </c>
      <c r="N131" s="9"/>
      <c r="O131" s="39">
        <f t="shared" si="305"/>
        <v>82</v>
      </c>
      <c r="P131" s="40">
        <f t="shared" ref="P131:Q131" si="315">H131+P130</f>
        <v>105</v>
      </c>
      <c r="Q131" s="39">
        <f t="shared" si="315"/>
        <v>280</v>
      </c>
      <c r="R131" s="10"/>
      <c r="S131" s="266">
        <f t="shared" ref="S131:U131" si="316">O131/K131</f>
        <v>0.82</v>
      </c>
      <c r="T131" s="264">
        <f t="shared" si="316"/>
        <v>0.95454545454545459</v>
      </c>
      <c r="U131" s="264">
        <f t="shared" si="316"/>
        <v>1.1200000000000001</v>
      </c>
      <c r="V131" s="261" t="s">
        <v>334</v>
      </c>
      <c r="X131" s="14">
        <v>250</v>
      </c>
      <c r="Y131" s="14">
        <v>250</v>
      </c>
      <c r="Z131" s="258">
        <v>280</v>
      </c>
      <c r="AA131" s="13"/>
      <c r="AB131" s="258" t="s">
        <v>1356</v>
      </c>
      <c r="AD131" s="258" t="str">
        <f t="shared" si="2"/>
        <v xml:space="preserve"> </v>
      </c>
      <c r="AE131" s="258" t="str">
        <f t="shared" si="3"/>
        <v xml:space="preserve"> </v>
      </c>
      <c r="AF131" s="258" t="str">
        <f t="shared" si="4"/>
        <v xml:space="preserve"> </v>
      </c>
      <c r="AG131" s="258">
        <f t="shared" si="5"/>
        <v>108</v>
      </c>
    </row>
    <row r="132" spans="1:33" x14ac:dyDescent="0.25">
      <c r="A132" s="29"/>
      <c r="B132" s="31"/>
      <c r="C132" s="34"/>
      <c r="D132" s="34"/>
      <c r="E132" s="36"/>
      <c r="F132" s="36"/>
      <c r="G132" s="36"/>
      <c r="H132" s="38"/>
      <c r="I132" s="36"/>
      <c r="J132" s="9"/>
      <c r="K132" s="39"/>
      <c r="L132" s="40"/>
      <c r="M132" s="39"/>
      <c r="N132" s="9"/>
      <c r="O132" s="39"/>
      <c r="P132" s="40"/>
      <c r="Q132" s="39"/>
      <c r="R132" s="10"/>
      <c r="X132" s="14"/>
      <c r="Y132" s="14" t="s">
        <v>1356</v>
      </c>
      <c r="Z132" s="258" t="s">
        <v>1356</v>
      </c>
      <c r="AA132" s="13"/>
      <c r="AB132" s="258" t="s">
        <v>1356</v>
      </c>
      <c r="AD132" s="258" t="str">
        <f t="shared" si="2"/>
        <v xml:space="preserve"> </v>
      </c>
      <c r="AE132" s="258" t="str">
        <f t="shared" si="3"/>
        <v xml:space="preserve"> </v>
      </c>
      <c r="AF132" s="258" t="str">
        <f t="shared" si="4"/>
        <v xml:space="preserve"> </v>
      </c>
      <c r="AG132" s="258" t="str">
        <f t="shared" si="5"/>
        <v xml:space="preserve"> </v>
      </c>
    </row>
    <row r="133" spans="1:33" x14ac:dyDescent="0.25">
      <c r="A133" s="29" t="s">
        <v>353</v>
      </c>
      <c r="B133" s="31">
        <v>8</v>
      </c>
      <c r="C133" s="34" t="s">
        <v>354</v>
      </c>
      <c r="D133" s="34">
        <v>2016</v>
      </c>
      <c r="E133" s="36">
        <v>41</v>
      </c>
      <c r="F133" s="36">
        <v>21</v>
      </c>
      <c r="G133" s="36">
        <v>44</v>
      </c>
      <c r="H133" s="38">
        <v>406</v>
      </c>
      <c r="I133" s="36">
        <v>512</v>
      </c>
      <c r="J133" s="9"/>
      <c r="K133" s="39">
        <f>ROUND((3850+2740)/8,0)</f>
        <v>824</v>
      </c>
      <c r="L133" s="40">
        <f>ROUND(6725/8,0)</f>
        <v>841</v>
      </c>
      <c r="M133" s="39">
        <v>1981</v>
      </c>
      <c r="N133" s="9"/>
      <c r="O133" s="39">
        <f>E133+F133</f>
        <v>62</v>
      </c>
      <c r="P133" s="40">
        <f t="shared" ref="P133:Q133" si="317">H133</f>
        <v>406</v>
      </c>
      <c r="Q133" s="39">
        <f t="shared" si="317"/>
        <v>512</v>
      </c>
      <c r="R133" s="10"/>
      <c r="S133" s="266">
        <f t="shared" ref="S133:U133" si="318">O133/K133</f>
        <v>7.5242718446601936E-2</v>
      </c>
      <c r="T133" s="264">
        <f t="shared" si="318"/>
        <v>0.48275862068965519</v>
      </c>
      <c r="U133" s="264">
        <f t="shared" si="318"/>
        <v>0.25845532559313478</v>
      </c>
      <c r="X133" s="14"/>
      <c r="Y133" s="14" t="s">
        <v>1356</v>
      </c>
      <c r="Z133" s="258" t="s">
        <v>1356</v>
      </c>
      <c r="AA133" s="13"/>
      <c r="AB133" s="258">
        <v>1981</v>
      </c>
      <c r="AD133" s="258" t="str">
        <f t="shared" si="2"/>
        <v xml:space="preserve"> </v>
      </c>
      <c r="AE133" s="258">
        <f t="shared" si="3"/>
        <v>512</v>
      </c>
      <c r="AF133" s="258" t="str">
        <f t="shared" si="4"/>
        <v xml:space="preserve"> </v>
      </c>
      <c r="AG133" s="258" t="str">
        <f t="shared" si="5"/>
        <v xml:space="preserve"> </v>
      </c>
    </row>
    <row r="134" spans="1:33" x14ac:dyDescent="0.25">
      <c r="A134" s="29" t="s">
        <v>353</v>
      </c>
      <c r="B134" s="31">
        <v>8</v>
      </c>
      <c r="C134" s="34" t="s">
        <v>354</v>
      </c>
      <c r="D134" s="34">
        <v>2017</v>
      </c>
      <c r="E134" s="36">
        <v>0</v>
      </c>
      <c r="F134" s="36">
        <v>5</v>
      </c>
      <c r="G134" s="36">
        <v>197</v>
      </c>
      <c r="H134" s="38">
        <v>619</v>
      </c>
      <c r="I134" s="36">
        <v>821</v>
      </c>
      <c r="J134" s="9"/>
      <c r="K134" s="39">
        <f t="shared" ref="K134:M134" si="319">K133*2</f>
        <v>1648</v>
      </c>
      <c r="L134" s="40">
        <f t="shared" si="319"/>
        <v>1682</v>
      </c>
      <c r="M134" s="39">
        <f t="shared" si="319"/>
        <v>3962</v>
      </c>
      <c r="N134" s="9"/>
      <c r="O134" s="39">
        <f t="shared" ref="O134:O135" si="320">E134+F134+O133</f>
        <v>67</v>
      </c>
      <c r="P134" s="40">
        <f t="shared" ref="P134:Q134" si="321">H134+P133</f>
        <v>1025</v>
      </c>
      <c r="Q134" s="39">
        <f t="shared" si="321"/>
        <v>1333</v>
      </c>
      <c r="R134" s="10"/>
      <c r="S134" s="266">
        <f t="shared" ref="S134:U134" si="322">O134/K134</f>
        <v>4.0655339805825245E-2</v>
      </c>
      <c r="T134" s="264">
        <f t="shared" si="322"/>
        <v>0.60939357907253267</v>
      </c>
      <c r="U134" s="264">
        <f t="shared" si="322"/>
        <v>0.33644623927309442</v>
      </c>
      <c r="X134" s="14"/>
      <c r="Y134" s="14" t="s">
        <v>1356</v>
      </c>
      <c r="Z134" s="258" t="s">
        <v>1356</v>
      </c>
      <c r="AA134" s="13"/>
      <c r="AB134" s="258" t="s">
        <v>1356</v>
      </c>
      <c r="AD134" s="258" t="str">
        <f t="shared" si="2"/>
        <v xml:space="preserve"> </v>
      </c>
      <c r="AE134" s="258" t="str">
        <f t="shared" si="3"/>
        <v xml:space="preserve"> </v>
      </c>
      <c r="AF134" s="258">
        <f t="shared" si="4"/>
        <v>821</v>
      </c>
      <c r="AG134" s="258" t="str">
        <f t="shared" si="5"/>
        <v xml:space="preserve"> </v>
      </c>
    </row>
    <row r="135" spans="1:33" x14ac:dyDescent="0.25">
      <c r="A135" s="29" t="s">
        <v>353</v>
      </c>
      <c r="B135" s="31">
        <v>8</v>
      </c>
      <c r="C135" s="34" t="s">
        <v>354</v>
      </c>
      <c r="D135" s="34">
        <v>2018</v>
      </c>
      <c r="E135" s="36">
        <v>0</v>
      </c>
      <c r="F135" s="36">
        <v>12</v>
      </c>
      <c r="G135" s="36">
        <v>5</v>
      </c>
      <c r="H135" s="38">
        <v>1025</v>
      </c>
      <c r="I135" s="36">
        <v>1042</v>
      </c>
      <c r="J135" s="9"/>
      <c r="K135" s="39">
        <f t="shared" ref="K135:M135" si="323">K133*3</f>
        <v>2472</v>
      </c>
      <c r="L135" s="40">
        <f t="shared" si="323"/>
        <v>2523</v>
      </c>
      <c r="M135" s="39">
        <f t="shared" si="323"/>
        <v>5943</v>
      </c>
      <c r="N135" s="9"/>
      <c r="O135" s="39">
        <f t="shared" si="320"/>
        <v>79</v>
      </c>
      <c r="P135" s="40">
        <f t="shared" ref="P135:Q135" si="324">H135+P134</f>
        <v>2050</v>
      </c>
      <c r="Q135" s="39">
        <f t="shared" si="324"/>
        <v>2375</v>
      </c>
      <c r="R135" s="10"/>
      <c r="S135" s="266">
        <f t="shared" ref="S135:U135" si="325">O135/K135</f>
        <v>3.1957928802588999E-2</v>
      </c>
      <c r="T135" s="264">
        <f t="shared" si="325"/>
        <v>0.81252477209671026</v>
      </c>
      <c r="U135" s="264">
        <f t="shared" si="325"/>
        <v>0.39962981659094732</v>
      </c>
      <c r="V135" s="261" t="s">
        <v>353</v>
      </c>
      <c r="X135" s="14">
        <v>15850</v>
      </c>
      <c r="Y135" s="14">
        <v>5943</v>
      </c>
      <c r="Z135" s="258">
        <v>2375</v>
      </c>
      <c r="AA135" s="13"/>
      <c r="AB135" s="258" t="s">
        <v>1356</v>
      </c>
      <c r="AD135" s="258" t="str">
        <f t="shared" si="2"/>
        <v xml:space="preserve"> </v>
      </c>
      <c r="AE135" s="258" t="str">
        <f t="shared" si="3"/>
        <v xml:space="preserve"> </v>
      </c>
      <c r="AF135" s="258" t="str">
        <f t="shared" si="4"/>
        <v xml:space="preserve"> </v>
      </c>
      <c r="AG135" s="258">
        <f t="shared" si="5"/>
        <v>1042</v>
      </c>
    </row>
    <row r="136" spans="1:33" x14ac:dyDescent="0.25">
      <c r="A136" s="29"/>
      <c r="B136" s="31"/>
      <c r="C136" s="34"/>
      <c r="D136" s="34"/>
      <c r="E136" s="36"/>
      <c r="F136" s="36"/>
      <c r="G136" s="36"/>
      <c r="H136" s="38"/>
      <c r="I136" s="36"/>
      <c r="J136" s="9"/>
      <c r="K136" s="39"/>
      <c r="L136" s="40"/>
      <c r="M136" s="39"/>
      <c r="N136" s="9"/>
      <c r="O136" s="39"/>
      <c r="P136" s="40"/>
      <c r="Q136" s="39"/>
      <c r="R136" s="10"/>
      <c r="X136" s="14"/>
      <c r="Y136" s="14"/>
      <c r="AA136" s="13"/>
      <c r="AD136" s="258" t="str">
        <f t="shared" si="2"/>
        <v xml:space="preserve"> </v>
      </c>
      <c r="AE136" s="258" t="str">
        <f t="shared" si="3"/>
        <v xml:space="preserve"> </v>
      </c>
      <c r="AF136" s="258" t="str">
        <f t="shared" si="4"/>
        <v xml:space="preserve"> </v>
      </c>
      <c r="AG136" s="258" t="str">
        <f t="shared" si="5"/>
        <v xml:space="preserve"> </v>
      </c>
    </row>
    <row r="137" spans="1:33" x14ac:dyDescent="0.25">
      <c r="A137" s="29" t="s">
        <v>369</v>
      </c>
      <c r="B137" s="31">
        <v>5</v>
      </c>
      <c r="C137" s="34" t="s">
        <v>69</v>
      </c>
      <c r="D137" s="34">
        <v>2014</v>
      </c>
      <c r="E137" s="36">
        <v>0</v>
      </c>
      <c r="F137" s="36">
        <v>0</v>
      </c>
      <c r="G137" s="36">
        <v>0</v>
      </c>
      <c r="H137" s="38">
        <v>0</v>
      </c>
      <c r="I137" s="36">
        <v>0</v>
      </c>
      <c r="J137" s="9"/>
      <c r="K137" s="39">
        <f>ROUND((3+3)/5,0)</f>
        <v>1</v>
      </c>
      <c r="L137" s="87">
        <v>2</v>
      </c>
      <c r="M137" s="39">
        <v>3</v>
      </c>
      <c r="N137" s="9"/>
      <c r="O137" s="39">
        <f t="shared" ref="O137:O141" si="326">E137+F137</f>
        <v>0</v>
      </c>
      <c r="P137" s="40">
        <f t="shared" ref="P137:Q137" si="327">H137</f>
        <v>0</v>
      </c>
      <c r="Q137" s="39">
        <f t="shared" si="327"/>
        <v>0</v>
      </c>
      <c r="R137" s="10"/>
      <c r="S137" s="266">
        <f t="shared" ref="S137:U137" si="328">O137/K137</f>
        <v>0</v>
      </c>
      <c r="T137" s="264">
        <f t="shared" si="328"/>
        <v>0</v>
      </c>
      <c r="U137" s="264">
        <f t="shared" si="328"/>
        <v>0</v>
      </c>
      <c r="X137" s="14"/>
      <c r="Y137" s="14"/>
      <c r="AA137" s="13"/>
      <c r="AB137" s="258">
        <f>M137</f>
        <v>3</v>
      </c>
      <c r="AD137" s="258" t="str">
        <f t="shared" si="2"/>
        <v xml:space="preserve"> </v>
      </c>
      <c r="AE137" s="258" t="str">
        <f t="shared" si="3"/>
        <v xml:space="preserve"> </v>
      </c>
      <c r="AF137" s="258" t="str">
        <f t="shared" si="4"/>
        <v xml:space="preserve"> </v>
      </c>
      <c r="AG137" s="258" t="str">
        <f t="shared" si="5"/>
        <v xml:space="preserve"> </v>
      </c>
    </row>
    <row r="138" spans="1:33" x14ac:dyDescent="0.25">
      <c r="A138" s="29" t="s">
        <v>369</v>
      </c>
      <c r="B138" s="31">
        <v>5</v>
      </c>
      <c r="C138" s="34" t="s">
        <v>69</v>
      </c>
      <c r="D138" s="34">
        <v>2015</v>
      </c>
      <c r="E138" s="36">
        <v>0</v>
      </c>
      <c r="F138" s="36">
        <v>0</v>
      </c>
      <c r="G138" s="36">
        <v>0</v>
      </c>
      <c r="H138" s="38">
        <v>0</v>
      </c>
      <c r="I138" s="36">
        <v>0</v>
      </c>
      <c r="J138" s="9"/>
      <c r="K138" s="39">
        <f t="shared" ref="K138:M138" si="329">K137*2</f>
        <v>2</v>
      </c>
      <c r="L138" s="40">
        <f t="shared" si="329"/>
        <v>4</v>
      </c>
      <c r="M138" s="39">
        <f t="shared" si="329"/>
        <v>6</v>
      </c>
      <c r="N138" s="9"/>
      <c r="O138" s="39">
        <f t="shared" si="326"/>
        <v>0</v>
      </c>
      <c r="P138" s="40">
        <f t="shared" ref="P138:Q138" si="330">H138</f>
        <v>0</v>
      </c>
      <c r="Q138" s="39">
        <f t="shared" si="330"/>
        <v>0</v>
      </c>
      <c r="R138" s="10"/>
      <c r="S138" s="266">
        <f t="shared" ref="S138:U138" si="331">O138/K138</f>
        <v>0</v>
      </c>
      <c r="T138" s="264">
        <f t="shared" si="331"/>
        <v>0</v>
      </c>
      <c r="U138" s="264">
        <f t="shared" si="331"/>
        <v>0</v>
      </c>
      <c r="X138" s="14"/>
      <c r="Y138" s="14"/>
      <c r="AA138" s="13"/>
      <c r="AD138" s="258">
        <f t="shared" si="2"/>
        <v>0</v>
      </c>
      <c r="AE138" s="258" t="str">
        <f t="shared" si="3"/>
        <v xml:space="preserve"> </v>
      </c>
      <c r="AF138" s="258" t="str">
        <f t="shared" si="4"/>
        <v xml:space="preserve"> </v>
      </c>
      <c r="AG138" s="258" t="str">
        <f t="shared" si="5"/>
        <v xml:space="preserve"> </v>
      </c>
    </row>
    <row r="139" spans="1:33" x14ac:dyDescent="0.25">
      <c r="A139" s="29" t="s">
        <v>369</v>
      </c>
      <c r="B139" s="31">
        <v>5</v>
      </c>
      <c r="C139" s="34" t="s">
        <v>69</v>
      </c>
      <c r="D139" s="34">
        <v>2016</v>
      </c>
      <c r="E139" s="36">
        <v>0</v>
      </c>
      <c r="F139" s="36">
        <v>0</v>
      </c>
      <c r="G139" s="36">
        <v>0</v>
      </c>
      <c r="H139" s="38">
        <v>0</v>
      </c>
      <c r="I139" s="36">
        <v>0</v>
      </c>
      <c r="J139" s="9"/>
      <c r="K139" s="39">
        <f t="shared" ref="K139:M139" si="332">K137*3</f>
        <v>3</v>
      </c>
      <c r="L139" s="40">
        <f t="shared" si="332"/>
        <v>6</v>
      </c>
      <c r="M139" s="39">
        <f t="shared" si="332"/>
        <v>9</v>
      </c>
      <c r="N139" s="9"/>
      <c r="O139" s="39">
        <f t="shared" si="326"/>
        <v>0</v>
      </c>
      <c r="P139" s="40">
        <f t="shared" ref="P139:Q139" si="333">H139</f>
        <v>0</v>
      </c>
      <c r="Q139" s="39">
        <f t="shared" si="333"/>
        <v>0</v>
      </c>
      <c r="R139" s="10"/>
      <c r="S139" s="266">
        <f t="shared" ref="S139:U139" si="334">O139/K139</f>
        <v>0</v>
      </c>
      <c r="T139" s="264">
        <f t="shared" si="334"/>
        <v>0</v>
      </c>
      <c r="U139" s="264">
        <f t="shared" si="334"/>
        <v>0</v>
      </c>
      <c r="X139" s="14"/>
      <c r="Y139" s="14"/>
      <c r="AA139" s="13"/>
      <c r="AD139" s="258" t="str">
        <f t="shared" si="2"/>
        <v xml:space="preserve"> </v>
      </c>
      <c r="AE139" s="258">
        <f t="shared" si="3"/>
        <v>0</v>
      </c>
      <c r="AF139" s="258" t="str">
        <f t="shared" si="4"/>
        <v xml:space="preserve"> </v>
      </c>
      <c r="AG139" s="258" t="str">
        <f t="shared" si="5"/>
        <v xml:space="preserve"> </v>
      </c>
    </row>
    <row r="140" spans="1:33" x14ac:dyDescent="0.25">
      <c r="A140" s="29" t="s">
        <v>369</v>
      </c>
      <c r="B140" s="31">
        <v>5</v>
      </c>
      <c r="C140" s="34" t="s">
        <v>69</v>
      </c>
      <c r="D140" s="34">
        <v>2017</v>
      </c>
      <c r="E140" s="36">
        <v>0</v>
      </c>
      <c r="F140" s="36">
        <v>0</v>
      </c>
      <c r="G140" s="36">
        <v>0</v>
      </c>
      <c r="H140" s="38">
        <v>0</v>
      </c>
      <c r="I140" s="36">
        <v>0</v>
      </c>
      <c r="J140" s="9"/>
      <c r="K140" s="39">
        <f t="shared" ref="K140:M140" si="335">K137*4</f>
        <v>4</v>
      </c>
      <c r="L140" s="40">
        <f t="shared" si="335"/>
        <v>8</v>
      </c>
      <c r="M140" s="39">
        <f t="shared" si="335"/>
        <v>12</v>
      </c>
      <c r="N140" s="9"/>
      <c r="O140" s="39">
        <f t="shared" si="326"/>
        <v>0</v>
      </c>
      <c r="P140" s="40">
        <f t="shared" ref="P140:Q140" si="336">H140</f>
        <v>0</v>
      </c>
      <c r="Q140" s="39">
        <f t="shared" si="336"/>
        <v>0</v>
      </c>
      <c r="R140" s="10"/>
      <c r="S140" s="266">
        <f t="shared" ref="S140:U140" si="337">O140/K140</f>
        <v>0</v>
      </c>
      <c r="T140" s="264">
        <f t="shared" si="337"/>
        <v>0</v>
      </c>
      <c r="U140" s="264">
        <f t="shared" si="337"/>
        <v>0</v>
      </c>
      <c r="X140" s="14"/>
      <c r="Y140" s="14"/>
      <c r="AA140" s="13"/>
      <c r="AD140" s="258" t="str">
        <f t="shared" si="2"/>
        <v xml:space="preserve"> </v>
      </c>
      <c r="AE140" s="258" t="str">
        <f t="shared" si="3"/>
        <v xml:space="preserve"> </v>
      </c>
      <c r="AF140" s="258">
        <f t="shared" si="4"/>
        <v>0</v>
      </c>
      <c r="AG140" s="258" t="str">
        <f t="shared" si="5"/>
        <v xml:space="preserve"> </v>
      </c>
    </row>
    <row r="141" spans="1:33" x14ac:dyDescent="0.25">
      <c r="A141" s="29" t="s">
        <v>369</v>
      </c>
      <c r="B141" s="31">
        <v>5</v>
      </c>
      <c r="C141" s="34" t="s">
        <v>69</v>
      </c>
      <c r="D141" s="34">
        <v>2018</v>
      </c>
      <c r="E141" s="36">
        <v>0</v>
      </c>
      <c r="F141" s="36">
        <v>0</v>
      </c>
      <c r="G141" s="36">
        <v>0</v>
      </c>
      <c r="H141" s="38">
        <v>0</v>
      </c>
      <c r="I141" s="36">
        <v>0</v>
      </c>
      <c r="J141" s="9"/>
      <c r="K141" s="39">
        <f t="shared" ref="K141:M141" si="338">K137*5</f>
        <v>5</v>
      </c>
      <c r="L141" s="40">
        <f t="shared" si="338"/>
        <v>10</v>
      </c>
      <c r="M141" s="39">
        <f t="shared" si="338"/>
        <v>15</v>
      </c>
      <c r="N141" s="9"/>
      <c r="O141" s="39">
        <f t="shared" si="326"/>
        <v>0</v>
      </c>
      <c r="P141" s="40">
        <f t="shared" ref="P141:Q141" si="339">H141</f>
        <v>0</v>
      </c>
      <c r="Q141" s="39">
        <f t="shared" si="339"/>
        <v>0</v>
      </c>
      <c r="R141" s="10"/>
      <c r="S141" s="266">
        <f t="shared" ref="S141:U141" si="340">O141/K141</f>
        <v>0</v>
      </c>
      <c r="T141" s="264">
        <f t="shared" si="340"/>
        <v>0</v>
      </c>
      <c r="U141" s="264">
        <f t="shared" si="340"/>
        <v>0</v>
      </c>
      <c r="V141" s="261" t="s">
        <v>369</v>
      </c>
      <c r="X141" s="14">
        <v>15</v>
      </c>
      <c r="Y141" s="14">
        <v>15</v>
      </c>
      <c r="Z141" s="258">
        <v>0</v>
      </c>
      <c r="AA141" s="13"/>
      <c r="AD141" s="258" t="str">
        <f t="shared" si="2"/>
        <v xml:space="preserve"> </v>
      </c>
      <c r="AE141" s="258" t="str">
        <f t="shared" si="3"/>
        <v xml:space="preserve"> </v>
      </c>
      <c r="AF141" s="258" t="str">
        <f t="shared" si="4"/>
        <v xml:space="preserve"> </v>
      </c>
      <c r="AG141" s="258">
        <f t="shared" si="5"/>
        <v>0</v>
      </c>
    </row>
    <row r="142" spans="1:33" x14ac:dyDescent="0.25">
      <c r="A142" s="29"/>
      <c r="B142" s="31"/>
      <c r="C142" s="34"/>
      <c r="D142" s="34"/>
      <c r="E142" s="36"/>
      <c r="F142" s="36"/>
      <c r="G142" s="36"/>
      <c r="H142" s="38"/>
      <c r="I142" s="36"/>
      <c r="J142" s="9"/>
      <c r="K142" s="39"/>
      <c r="L142" s="40"/>
      <c r="M142" s="39"/>
      <c r="N142" s="9"/>
      <c r="O142" s="39"/>
      <c r="P142" s="40"/>
      <c r="Q142" s="39"/>
      <c r="R142" s="10"/>
      <c r="X142" s="14"/>
      <c r="Y142" s="14" t="s">
        <v>1356</v>
      </c>
      <c r="Z142" s="258" t="s">
        <v>1356</v>
      </c>
      <c r="AA142" s="13"/>
      <c r="AB142" s="258" t="s">
        <v>1356</v>
      </c>
      <c r="AD142" s="258" t="str">
        <f t="shared" si="2"/>
        <v xml:space="preserve"> </v>
      </c>
      <c r="AE142" s="258" t="str">
        <f t="shared" si="3"/>
        <v xml:space="preserve"> </v>
      </c>
      <c r="AF142" s="258" t="str">
        <f t="shared" si="4"/>
        <v xml:space="preserve"> </v>
      </c>
      <c r="AG142" s="258" t="str">
        <f t="shared" si="5"/>
        <v xml:space="preserve"> </v>
      </c>
    </row>
    <row r="143" spans="1:33" x14ac:dyDescent="0.25">
      <c r="A143" s="29" t="s">
        <v>390</v>
      </c>
      <c r="B143" s="31">
        <v>5</v>
      </c>
      <c r="C143" s="34" t="s">
        <v>69</v>
      </c>
      <c r="D143" s="34">
        <v>2014</v>
      </c>
      <c r="E143" s="36">
        <v>0</v>
      </c>
      <c r="F143" s="36">
        <v>0</v>
      </c>
      <c r="G143" s="36">
        <v>9</v>
      </c>
      <c r="H143" s="38">
        <v>16</v>
      </c>
      <c r="I143" s="36">
        <v>25</v>
      </c>
      <c r="J143" s="9"/>
      <c r="K143" s="39">
        <f>ROUND((28+19)/5,0)</f>
        <v>9</v>
      </c>
      <c r="L143" s="40">
        <f>ROUND(50/5,0)</f>
        <v>10</v>
      </c>
      <c r="M143" s="39">
        <f>ROUND(120/5,0)</f>
        <v>24</v>
      </c>
      <c r="N143" s="9"/>
      <c r="O143" s="39">
        <f>E143+F143</f>
        <v>0</v>
      </c>
      <c r="P143" s="40">
        <f t="shared" ref="P143:Q143" si="341">H143</f>
        <v>16</v>
      </c>
      <c r="Q143" s="39">
        <f t="shared" si="341"/>
        <v>25</v>
      </c>
      <c r="R143" s="10"/>
      <c r="S143" s="266">
        <f t="shared" ref="S143:U143" si="342">O143/K143</f>
        <v>0</v>
      </c>
      <c r="T143" s="264">
        <f t="shared" si="342"/>
        <v>1.6</v>
      </c>
      <c r="U143" s="264">
        <f t="shared" si="342"/>
        <v>1.0416666666666667</v>
      </c>
      <c r="X143" s="14"/>
      <c r="Y143" s="14" t="s">
        <v>1356</v>
      </c>
      <c r="Z143" s="258" t="s">
        <v>1356</v>
      </c>
      <c r="AA143" s="13"/>
      <c r="AB143" s="258">
        <v>24</v>
      </c>
      <c r="AD143" s="258" t="str">
        <f t="shared" si="2"/>
        <v xml:space="preserve"> </v>
      </c>
      <c r="AE143" s="258" t="str">
        <f t="shared" si="3"/>
        <v xml:space="preserve"> </v>
      </c>
      <c r="AF143" s="258" t="str">
        <f t="shared" si="4"/>
        <v xml:space="preserve"> </v>
      </c>
      <c r="AG143" s="258" t="str">
        <f t="shared" si="5"/>
        <v xml:space="preserve"> </v>
      </c>
    </row>
    <row r="144" spans="1:33" x14ac:dyDescent="0.25">
      <c r="A144" s="29" t="s">
        <v>390</v>
      </c>
      <c r="B144" s="31">
        <v>5</v>
      </c>
      <c r="C144" s="34" t="s">
        <v>69</v>
      </c>
      <c r="D144" s="34">
        <v>2015</v>
      </c>
      <c r="E144" s="36">
        <v>0</v>
      </c>
      <c r="F144" s="36">
        <v>2</v>
      </c>
      <c r="G144" s="36">
        <v>10</v>
      </c>
      <c r="H144" s="38">
        <v>36</v>
      </c>
      <c r="I144" s="36">
        <v>48</v>
      </c>
      <c r="J144" s="9"/>
      <c r="K144" s="39">
        <f t="shared" ref="K144:M144" si="343">K143*2</f>
        <v>18</v>
      </c>
      <c r="L144" s="40">
        <f t="shared" si="343"/>
        <v>20</v>
      </c>
      <c r="M144" s="39">
        <f t="shared" si="343"/>
        <v>48</v>
      </c>
      <c r="N144" s="9"/>
      <c r="O144" s="39">
        <f t="shared" ref="O144:O147" si="344">E144+F144+O143</f>
        <v>2</v>
      </c>
      <c r="P144" s="40">
        <f t="shared" ref="P144:Q144" si="345">H144+P143</f>
        <v>52</v>
      </c>
      <c r="Q144" s="39">
        <f t="shared" si="345"/>
        <v>73</v>
      </c>
      <c r="R144" s="10"/>
      <c r="S144" s="266">
        <f t="shared" ref="S144:U144" si="346">O144/K144</f>
        <v>0.1111111111111111</v>
      </c>
      <c r="T144" s="264">
        <f t="shared" si="346"/>
        <v>2.6</v>
      </c>
      <c r="U144" s="264">
        <f t="shared" si="346"/>
        <v>1.5208333333333333</v>
      </c>
      <c r="X144" s="14"/>
      <c r="Y144" s="14" t="s">
        <v>1356</v>
      </c>
      <c r="Z144" s="258" t="s">
        <v>1356</v>
      </c>
      <c r="AA144" s="13"/>
      <c r="AD144" s="258">
        <f t="shared" si="2"/>
        <v>48</v>
      </c>
      <c r="AE144" s="258" t="str">
        <f t="shared" si="3"/>
        <v xml:space="preserve"> </v>
      </c>
      <c r="AF144" s="258" t="str">
        <f t="shared" si="4"/>
        <v xml:space="preserve"> </v>
      </c>
      <c r="AG144" s="258" t="str">
        <f t="shared" si="5"/>
        <v xml:space="preserve"> </v>
      </c>
    </row>
    <row r="145" spans="1:33" x14ac:dyDescent="0.25">
      <c r="A145" s="29" t="s">
        <v>390</v>
      </c>
      <c r="B145" s="31">
        <v>5</v>
      </c>
      <c r="C145" s="34" t="s">
        <v>69</v>
      </c>
      <c r="D145" s="34">
        <v>2016</v>
      </c>
      <c r="E145" s="36">
        <v>0</v>
      </c>
      <c r="F145" s="36">
        <v>5</v>
      </c>
      <c r="G145" s="36">
        <v>12</v>
      </c>
      <c r="H145" s="38">
        <v>32</v>
      </c>
      <c r="I145" s="36">
        <v>49</v>
      </c>
      <c r="J145" s="9"/>
      <c r="K145" s="39">
        <f t="shared" ref="K145:M145" si="347">K143*3</f>
        <v>27</v>
      </c>
      <c r="L145" s="40">
        <f t="shared" si="347"/>
        <v>30</v>
      </c>
      <c r="M145" s="39">
        <f t="shared" si="347"/>
        <v>72</v>
      </c>
      <c r="N145" s="9"/>
      <c r="O145" s="39">
        <f t="shared" si="344"/>
        <v>7</v>
      </c>
      <c r="P145" s="40">
        <f t="shared" ref="P145:Q145" si="348">H145+P144</f>
        <v>84</v>
      </c>
      <c r="Q145" s="39">
        <f t="shared" si="348"/>
        <v>122</v>
      </c>
      <c r="R145" s="10"/>
      <c r="S145" s="266">
        <f t="shared" ref="S145:U145" si="349">O145/K145</f>
        <v>0.25925925925925924</v>
      </c>
      <c r="T145" s="264">
        <f t="shared" si="349"/>
        <v>2.8</v>
      </c>
      <c r="U145" s="264">
        <f t="shared" si="349"/>
        <v>1.6944444444444444</v>
      </c>
      <c r="X145" s="14"/>
      <c r="Y145" s="14" t="s">
        <v>1356</v>
      </c>
      <c r="Z145" s="258" t="s">
        <v>1356</v>
      </c>
      <c r="AA145" s="13"/>
      <c r="AB145" s="258" t="s">
        <v>1356</v>
      </c>
      <c r="AD145" s="258" t="str">
        <f t="shared" si="2"/>
        <v xml:space="preserve"> </v>
      </c>
      <c r="AE145" s="258">
        <f t="shared" si="3"/>
        <v>49</v>
      </c>
      <c r="AF145" s="258" t="str">
        <f t="shared" si="4"/>
        <v xml:space="preserve"> </v>
      </c>
      <c r="AG145" s="258" t="str">
        <f t="shared" si="5"/>
        <v xml:space="preserve"> </v>
      </c>
    </row>
    <row r="146" spans="1:33" x14ac:dyDescent="0.25">
      <c r="A146" s="29" t="s">
        <v>390</v>
      </c>
      <c r="B146" s="31">
        <v>5</v>
      </c>
      <c r="C146" s="34" t="s">
        <v>69</v>
      </c>
      <c r="D146" s="34">
        <v>2017</v>
      </c>
      <c r="E146" s="36">
        <v>0</v>
      </c>
      <c r="F146" s="36">
        <v>6</v>
      </c>
      <c r="G146" s="36">
        <v>13</v>
      </c>
      <c r="H146" s="38">
        <v>24</v>
      </c>
      <c r="I146" s="36">
        <v>43</v>
      </c>
      <c r="J146" s="9"/>
      <c r="K146" s="39">
        <f t="shared" ref="K146:M146" si="350">K143*4</f>
        <v>36</v>
      </c>
      <c r="L146" s="40">
        <f t="shared" si="350"/>
        <v>40</v>
      </c>
      <c r="M146" s="39">
        <f t="shared" si="350"/>
        <v>96</v>
      </c>
      <c r="N146" s="9"/>
      <c r="O146" s="39">
        <f t="shared" si="344"/>
        <v>13</v>
      </c>
      <c r="P146" s="40">
        <f t="shared" ref="P146:Q146" si="351">H146+P145</f>
        <v>108</v>
      </c>
      <c r="Q146" s="39">
        <f t="shared" si="351"/>
        <v>165</v>
      </c>
      <c r="R146" s="10"/>
      <c r="S146" s="266">
        <f t="shared" ref="S146:U146" si="352">O146/K146</f>
        <v>0.3611111111111111</v>
      </c>
      <c r="T146" s="264">
        <f t="shared" si="352"/>
        <v>2.7</v>
      </c>
      <c r="U146" s="264">
        <f t="shared" si="352"/>
        <v>1.71875</v>
      </c>
      <c r="X146" s="14"/>
      <c r="Y146" s="14" t="s">
        <v>1356</v>
      </c>
      <c r="Z146" s="258" t="s">
        <v>1356</v>
      </c>
      <c r="AA146" s="13"/>
      <c r="AB146" s="258" t="s">
        <v>1356</v>
      </c>
      <c r="AD146" s="258" t="str">
        <f t="shared" si="2"/>
        <v xml:space="preserve"> </v>
      </c>
      <c r="AE146" s="258" t="str">
        <f t="shared" si="3"/>
        <v xml:space="preserve"> </v>
      </c>
      <c r="AF146" s="258">
        <f t="shared" si="4"/>
        <v>43</v>
      </c>
      <c r="AG146" s="258" t="str">
        <f t="shared" si="5"/>
        <v xml:space="preserve"> </v>
      </c>
    </row>
    <row r="147" spans="1:33" x14ac:dyDescent="0.25">
      <c r="A147" s="29" t="s">
        <v>390</v>
      </c>
      <c r="B147" s="31">
        <v>5</v>
      </c>
      <c r="C147" s="34" t="s">
        <v>69</v>
      </c>
      <c r="D147" s="34">
        <v>2018</v>
      </c>
      <c r="E147" s="36">
        <v>0</v>
      </c>
      <c r="F147" s="36">
        <v>9</v>
      </c>
      <c r="G147" s="36">
        <v>11</v>
      </c>
      <c r="H147" s="38">
        <v>45</v>
      </c>
      <c r="I147" s="36">
        <v>65</v>
      </c>
      <c r="J147" s="9"/>
      <c r="K147" s="39">
        <f t="shared" ref="K147:M147" si="353">K143*5</f>
        <v>45</v>
      </c>
      <c r="L147" s="40">
        <f t="shared" si="353"/>
        <v>50</v>
      </c>
      <c r="M147" s="39">
        <f t="shared" si="353"/>
        <v>120</v>
      </c>
      <c r="N147" s="9"/>
      <c r="O147" s="39">
        <f t="shared" si="344"/>
        <v>22</v>
      </c>
      <c r="P147" s="40">
        <f t="shared" ref="P147:Q147" si="354">H147+P146</f>
        <v>153</v>
      </c>
      <c r="Q147" s="39">
        <f t="shared" si="354"/>
        <v>230</v>
      </c>
      <c r="R147" s="10"/>
      <c r="S147" s="266">
        <f t="shared" ref="S147:U147" si="355">O147/K147</f>
        <v>0.48888888888888887</v>
      </c>
      <c r="T147" s="264">
        <f t="shared" si="355"/>
        <v>3.06</v>
      </c>
      <c r="U147" s="264">
        <f t="shared" si="355"/>
        <v>1.9166666666666667</v>
      </c>
      <c r="V147" s="261" t="s">
        <v>390</v>
      </c>
      <c r="X147" s="14">
        <v>120</v>
      </c>
      <c r="Y147" s="14">
        <v>120</v>
      </c>
      <c r="Z147" s="258">
        <v>230</v>
      </c>
      <c r="AA147" s="13"/>
      <c r="AB147" s="258" t="s">
        <v>1356</v>
      </c>
      <c r="AD147" s="258" t="str">
        <f t="shared" si="2"/>
        <v xml:space="preserve"> </v>
      </c>
      <c r="AE147" s="258" t="str">
        <f t="shared" si="3"/>
        <v xml:space="preserve"> </v>
      </c>
      <c r="AF147" s="258" t="str">
        <f t="shared" si="4"/>
        <v xml:space="preserve"> </v>
      </c>
      <c r="AG147" s="258">
        <f t="shared" si="5"/>
        <v>65</v>
      </c>
    </row>
    <row r="148" spans="1:33" x14ac:dyDescent="0.25">
      <c r="A148" s="46"/>
      <c r="B148" s="47"/>
      <c r="C148" s="32"/>
      <c r="D148" s="32"/>
      <c r="E148" s="48"/>
      <c r="F148" s="48"/>
      <c r="G148" s="48"/>
      <c r="H148" s="49"/>
      <c r="I148" s="48"/>
      <c r="J148" s="50"/>
      <c r="K148" s="51"/>
      <c r="L148" s="52"/>
      <c r="M148" s="51"/>
      <c r="N148" s="50"/>
      <c r="O148" s="51"/>
      <c r="P148" s="52"/>
      <c r="Q148" s="51"/>
      <c r="R148" s="53"/>
      <c r="W148" s="1"/>
      <c r="X148" s="14"/>
      <c r="Y148" s="14" t="s">
        <v>1356</v>
      </c>
      <c r="Z148" s="258" t="s">
        <v>1356</v>
      </c>
      <c r="AA148" s="54"/>
      <c r="AB148" s="258" t="s">
        <v>1356</v>
      </c>
      <c r="AD148" s="258" t="str">
        <f t="shared" si="2"/>
        <v xml:space="preserve"> </v>
      </c>
      <c r="AE148" s="258" t="str">
        <f t="shared" si="3"/>
        <v xml:space="preserve"> </v>
      </c>
      <c r="AF148" s="258" t="str">
        <f t="shared" si="4"/>
        <v xml:space="preserve"> </v>
      </c>
      <c r="AG148" s="258" t="str">
        <f t="shared" si="5"/>
        <v xml:space="preserve"> </v>
      </c>
    </row>
    <row r="149" spans="1:33" x14ac:dyDescent="0.25">
      <c r="A149" s="29" t="s">
        <v>403</v>
      </c>
      <c r="B149" s="31">
        <v>8</v>
      </c>
      <c r="C149" s="34" t="s">
        <v>404</v>
      </c>
      <c r="D149" s="34">
        <v>2016</v>
      </c>
      <c r="E149" s="36">
        <v>24</v>
      </c>
      <c r="F149" s="36">
        <v>20</v>
      </c>
      <c r="G149" s="36">
        <v>6</v>
      </c>
      <c r="H149" s="38">
        <v>505</v>
      </c>
      <c r="I149" s="36">
        <v>555</v>
      </c>
      <c r="J149" s="9"/>
      <c r="K149" s="39">
        <f>ROUND((1780+1162)/8,0)</f>
        <v>368</v>
      </c>
      <c r="L149" s="40">
        <v>387</v>
      </c>
      <c r="M149" s="39">
        <v>923</v>
      </c>
      <c r="N149" s="9"/>
      <c r="O149" s="39">
        <f>E149+F149</f>
        <v>44</v>
      </c>
      <c r="P149" s="40">
        <f t="shared" ref="P149:Q149" si="356">H149</f>
        <v>505</v>
      </c>
      <c r="Q149" s="39">
        <f t="shared" si="356"/>
        <v>555</v>
      </c>
      <c r="R149" s="10"/>
      <c r="S149" s="266">
        <f t="shared" ref="S149:U149" si="357">O149/K149</f>
        <v>0.11956521739130435</v>
      </c>
      <c r="T149" s="264">
        <f t="shared" si="357"/>
        <v>1.3049095607235142</v>
      </c>
      <c r="U149" s="264">
        <f t="shared" si="357"/>
        <v>0.60130010834236192</v>
      </c>
      <c r="X149" s="14"/>
      <c r="Y149" s="14" t="s">
        <v>1356</v>
      </c>
      <c r="Z149" s="258" t="s">
        <v>1356</v>
      </c>
      <c r="AA149" s="13"/>
      <c r="AB149" s="258">
        <v>923</v>
      </c>
      <c r="AD149" s="258" t="str">
        <f t="shared" si="2"/>
        <v xml:space="preserve"> </v>
      </c>
      <c r="AE149" s="258">
        <f t="shared" si="3"/>
        <v>555</v>
      </c>
      <c r="AF149" s="258" t="str">
        <f t="shared" si="4"/>
        <v xml:space="preserve"> </v>
      </c>
      <c r="AG149" s="258" t="str">
        <f t="shared" si="5"/>
        <v xml:space="preserve"> </v>
      </c>
    </row>
    <row r="150" spans="1:33" x14ac:dyDescent="0.25">
      <c r="A150" s="29" t="s">
        <v>403</v>
      </c>
      <c r="B150" s="31">
        <v>8</v>
      </c>
      <c r="C150" s="34" t="s">
        <v>404</v>
      </c>
      <c r="D150" s="34">
        <v>2017</v>
      </c>
      <c r="E150" s="36">
        <v>193</v>
      </c>
      <c r="F150" s="36">
        <v>15</v>
      </c>
      <c r="G150" s="36">
        <v>176</v>
      </c>
      <c r="H150" s="38">
        <v>484</v>
      </c>
      <c r="I150" s="36">
        <v>868</v>
      </c>
      <c r="J150" s="9"/>
      <c r="K150" s="39">
        <f t="shared" ref="K150:M150" si="358">K149*2</f>
        <v>736</v>
      </c>
      <c r="L150" s="40">
        <f t="shared" si="358"/>
        <v>774</v>
      </c>
      <c r="M150" s="39">
        <f t="shared" si="358"/>
        <v>1846</v>
      </c>
      <c r="N150" s="9"/>
      <c r="O150" s="39">
        <f t="shared" ref="O150:O151" si="359">E150+F150+O149</f>
        <v>252</v>
      </c>
      <c r="P150" s="40">
        <f t="shared" ref="P150:Q150" si="360">H150+P149</f>
        <v>989</v>
      </c>
      <c r="Q150" s="39">
        <f t="shared" si="360"/>
        <v>1423</v>
      </c>
      <c r="R150" s="10"/>
      <c r="S150" s="266">
        <f t="shared" ref="S150:U150" si="361">O150/K150</f>
        <v>0.34239130434782611</v>
      </c>
      <c r="T150" s="264">
        <f t="shared" si="361"/>
        <v>1.2777777777777777</v>
      </c>
      <c r="U150" s="264">
        <f t="shared" si="361"/>
        <v>0.77085590465872156</v>
      </c>
      <c r="X150" s="14"/>
      <c r="Y150" s="14" t="s">
        <v>1356</v>
      </c>
      <c r="Z150" s="258" t="s">
        <v>1356</v>
      </c>
      <c r="AA150" s="13"/>
      <c r="AB150" s="258" t="s">
        <v>1356</v>
      </c>
      <c r="AD150" s="258" t="str">
        <f t="shared" si="2"/>
        <v xml:space="preserve"> </v>
      </c>
      <c r="AE150" s="258" t="str">
        <f t="shared" si="3"/>
        <v xml:space="preserve"> </v>
      </c>
      <c r="AF150" s="258">
        <f t="shared" si="4"/>
        <v>868</v>
      </c>
      <c r="AG150" s="258" t="str">
        <f t="shared" si="5"/>
        <v xml:space="preserve"> </v>
      </c>
    </row>
    <row r="151" spans="1:33" x14ac:dyDescent="0.25">
      <c r="A151" s="29" t="s">
        <v>403</v>
      </c>
      <c r="B151" s="31">
        <v>8</v>
      </c>
      <c r="C151" s="34" t="s">
        <v>404</v>
      </c>
      <c r="D151" s="34">
        <v>2018</v>
      </c>
      <c r="E151" s="36">
        <v>42</v>
      </c>
      <c r="F151" s="36">
        <v>53</v>
      </c>
      <c r="G151" s="36">
        <v>5</v>
      </c>
      <c r="H151" s="38">
        <v>601</v>
      </c>
      <c r="I151" s="36">
        <v>701</v>
      </c>
      <c r="J151" s="9"/>
      <c r="K151" s="39">
        <f t="shared" ref="K151:M151" si="362">K149*4</f>
        <v>1472</v>
      </c>
      <c r="L151" s="40">
        <f t="shared" si="362"/>
        <v>1548</v>
      </c>
      <c r="M151" s="39">
        <f t="shared" si="362"/>
        <v>3692</v>
      </c>
      <c r="N151" s="9"/>
      <c r="O151" s="39">
        <f t="shared" si="359"/>
        <v>347</v>
      </c>
      <c r="P151" s="40">
        <f t="shared" ref="P151:Q151" si="363">H151+P150</f>
        <v>1590</v>
      </c>
      <c r="Q151" s="39">
        <f t="shared" si="363"/>
        <v>2124</v>
      </c>
      <c r="R151" s="10"/>
      <c r="S151" s="266">
        <f t="shared" ref="S151:U151" si="364">O151/K151</f>
        <v>0.23573369565217392</v>
      </c>
      <c r="T151" s="264">
        <f t="shared" si="364"/>
        <v>1.0271317829457365</v>
      </c>
      <c r="U151" s="264">
        <f t="shared" si="364"/>
        <v>0.57529794149512459</v>
      </c>
      <c r="V151" s="261" t="s">
        <v>403</v>
      </c>
      <c r="X151" s="14">
        <v>7386</v>
      </c>
      <c r="Y151" s="14">
        <v>3692</v>
      </c>
      <c r="Z151" s="258">
        <v>2124</v>
      </c>
      <c r="AA151" s="13"/>
      <c r="AB151" s="258" t="s">
        <v>1356</v>
      </c>
      <c r="AD151" s="258" t="str">
        <f t="shared" si="2"/>
        <v xml:space="preserve"> </v>
      </c>
      <c r="AE151" s="258" t="str">
        <f t="shared" si="3"/>
        <v xml:space="preserve"> </v>
      </c>
      <c r="AF151" s="258" t="str">
        <f t="shared" si="4"/>
        <v xml:space="preserve"> </v>
      </c>
      <c r="AG151" s="258">
        <f t="shared" si="5"/>
        <v>701</v>
      </c>
    </row>
    <row r="152" spans="1:33" x14ac:dyDescent="0.25">
      <c r="A152" s="46"/>
      <c r="B152" s="47"/>
      <c r="C152" s="32"/>
      <c r="D152" s="32"/>
      <c r="E152" s="48"/>
      <c r="F152" s="48"/>
      <c r="G152" s="48"/>
      <c r="H152" s="49"/>
      <c r="I152" s="48"/>
      <c r="J152" s="50"/>
      <c r="K152" s="51"/>
      <c r="L152" s="52"/>
      <c r="M152" s="51"/>
      <c r="N152" s="50"/>
      <c r="O152" s="51"/>
      <c r="P152" s="40"/>
      <c r="Q152" s="39"/>
      <c r="R152" s="53"/>
      <c r="W152" s="1"/>
      <c r="X152" s="14"/>
      <c r="Y152" s="14" t="s">
        <v>1356</v>
      </c>
      <c r="Z152" s="258" t="s">
        <v>1356</v>
      </c>
      <c r="AA152" s="54"/>
      <c r="AB152" s="258" t="s">
        <v>1356</v>
      </c>
      <c r="AD152" s="258" t="str">
        <f t="shared" si="2"/>
        <v xml:space="preserve"> </v>
      </c>
      <c r="AE152" s="258" t="str">
        <f t="shared" si="3"/>
        <v xml:space="preserve"> </v>
      </c>
      <c r="AF152" s="258" t="str">
        <f t="shared" si="4"/>
        <v xml:space="preserve"> </v>
      </c>
      <c r="AG152" s="258" t="str">
        <f t="shared" si="5"/>
        <v xml:space="preserve"> </v>
      </c>
    </row>
    <row r="153" spans="1:33" x14ac:dyDescent="0.25">
      <c r="A153" s="29" t="s">
        <v>411</v>
      </c>
      <c r="B153" s="31">
        <v>8</v>
      </c>
      <c r="C153" s="34" t="s">
        <v>412</v>
      </c>
      <c r="D153" s="34">
        <v>2015</v>
      </c>
      <c r="E153" s="36">
        <v>1</v>
      </c>
      <c r="F153" s="36">
        <v>10</v>
      </c>
      <c r="G153" s="36">
        <v>158</v>
      </c>
      <c r="H153" s="38">
        <v>49</v>
      </c>
      <c r="I153" s="36">
        <v>218</v>
      </c>
      <c r="J153" s="9"/>
      <c r="K153" s="39">
        <f>ROUND((370+199)/8,0)</f>
        <v>71</v>
      </c>
      <c r="L153" s="40">
        <f>ROUND(670/8,0)</f>
        <v>84</v>
      </c>
      <c r="M153" s="39">
        <f>ROUND(1482/8,0)</f>
        <v>185</v>
      </c>
      <c r="N153" s="9"/>
      <c r="O153" s="39">
        <f>E153+F153</f>
        <v>11</v>
      </c>
      <c r="P153" s="40">
        <f t="shared" ref="P153:Q153" si="365">H153</f>
        <v>49</v>
      </c>
      <c r="Q153" s="39">
        <f t="shared" si="365"/>
        <v>218</v>
      </c>
      <c r="R153" s="10"/>
      <c r="S153" s="266">
        <f t="shared" ref="S153:U153" si="366">O153/K153</f>
        <v>0.15492957746478872</v>
      </c>
      <c r="T153" s="264">
        <f t="shared" si="366"/>
        <v>0.58333333333333337</v>
      </c>
      <c r="U153" s="264">
        <f t="shared" si="366"/>
        <v>1.1783783783783783</v>
      </c>
      <c r="X153" s="14"/>
      <c r="Y153" s="14" t="s">
        <v>1356</v>
      </c>
      <c r="Z153" s="258" t="s">
        <v>1356</v>
      </c>
      <c r="AA153" s="13"/>
      <c r="AB153" s="258">
        <v>185</v>
      </c>
      <c r="AD153" s="258">
        <f t="shared" si="2"/>
        <v>218</v>
      </c>
      <c r="AE153" s="258" t="str">
        <f t="shared" si="3"/>
        <v xml:space="preserve"> </v>
      </c>
      <c r="AF153" s="258" t="str">
        <f t="shared" si="4"/>
        <v xml:space="preserve"> </v>
      </c>
      <c r="AG153" s="258" t="str">
        <f t="shared" si="5"/>
        <v xml:space="preserve"> </v>
      </c>
    </row>
    <row r="154" spans="1:33" x14ac:dyDescent="0.25">
      <c r="A154" s="29" t="s">
        <v>411</v>
      </c>
      <c r="B154" s="31">
        <v>8</v>
      </c>
      <c r="C154" s="34" t="s">
        <v>412</v>
      </c>
      <c r="D154" s="34">
        <v>2016</v>
      </c>
      <c r="E154" s="36">
        <v>5</v>
      </c>
      <c r="F154" s="36">
        <v>10</v>
      </c>
      <c r="G154" s="36">
        <v>18</v>
      </c>
      <c r="H154" s="38">
        <v>159</v>
      </c>
      <c r="I154" s="36">
        <v>192</v>
      </c>
      <c r="J154" s="9"/>
      <c r="K154" s="39">
        <f t="shared" ref="K154:M154" si="367">K153*2</f>
        <v>142</v>
      </c>
      <c r="L154" s="40">
        <f t="shared" si="367"/>
        <v>168</v>
      </c>
      <c r="M154" s="39">
        <f t="shared" si="367"/>
        <v>370</v>
      </c>
      <c r="N154" s="9"/>
      <c r="O154" s="39">
        <f t="shared" ref="O154:O156" si="368">E154+F154+O153</f>
        <v>26</v>
      </c>
      <c r="P154" s="40">
        <f t="shared" ref="P154:Q154" si="369">H154+P153</f>
        <v>208</v>
      </c>
      <c r="Q154" s="39">
        <f t="shared" si="369"/>
        <v>410</v>
      </c>
      <c r="R154" s="10"/>
      <c r="S154" s="266">
        <f t="shared" ref="S154:U154" si="370">O154/K154</f>
        <v>0.18309859154929578</v>
      </c>
      <c r="T154" s="264">
        <f t="shared" si="370"/>
        <v>1.2380952380952381</v>
      </c>
      <c r="U154" s="264">
        <f t="shared" si="370"/>
        <v>1.1081081081081081</v>
      </c>
      <c r="X154" s="14"/>
      <c r="Y154" s="14" t="s">
        <v>1356</v>
      </c>
      <c r="Z154" s="258" t="s">
        <v>1356</v>
      </c>
      <c r="AA154" s="13"/>
      <c r="AB154" s="258" t="s">
        <v>1356</v>
      </c>
      <c r="AD154" s="258" t="str">
        <f t="shared" si="2"/>
        <v xml:space="preserve"> </v>
      </c>
      <c r="AE154" s="258">
        <f t="shared" si="3"/>
        <v>192</v>
      </c>
      <c r="AF154" s="258" t="str">
        <f t="shared" si="4"/>
        <v xml:space="preserve"> </v>
      </c>
      <c r="AG154" s="258" t="str">
        <f t="shared" si="5"/>
        <v xml:space="preserve"> </v>
      </c>
    </row>
    <row r="155" spans="1:33" x14ac:dyDescent="0.25">
      <c r="A155" s="29" t="s">
        <v>411</v>
      </c>
      <c r="B155" s="31">
        <v>8</v>
      </c>
      <c r="C155" s="34" t="s">
        <v>412</v>
      </c>
      <c r="D155" s="34">
        <v>2017</v>
      </c>
      <c r="E155" s="36">
        <v>72</v>
      </c>
      <c r="F155" s="36">
        <v>28</v>
      </c>
      <c r="G155" s="36">
        <v>22</v>
      </c>
      <c r="H155" s="38">
        <v>87</v>
      </c>
      <c r="I155" s="36">
        <v>209</v>
      </c>
      <c r="J155" s="9"/>
      <c r="K155" s="39">
        <f t="shared" ref="K155:M155" si="371">K153*3</f>
        <v>213</v>
      </c>
      <c r="L155" s="40">
        <f t="shared" si="371"/>
        <v>252</v>
      </c>
      <c r="M155" s="39">
        <f t="shared" si="371"/>
        <v>555</v>
      </c>
      <c r="N155" s="9"/>
      <c r="O155" s="39">
        <f t="shared" si="368"/>
        <v>126</v>
      </c>
      <c r="P155" s="40">
        <f t="shared" ref="P155:Q155" si="372">H155+P154</f>
        <v>295</v>
      </c>
      <c r="Q155" s="39">
        <f t="shared" si="372"/>
        <v>619</v>
      </c>
      <c r="R155" s="10"/>
      <c r="S155" s="266">
        <f t="shared" ref="S155:U155" si="373">O155/K155</f>
        <v>0.59154929577464788</v>
      </c>
      <c r="T155" s="264">
        <f t="shared" si="373"/>
        <v>1.1706349206349207</v>
      </c>
      <c r="U155" s="264">
        <f t="shared" si="373"/>
        <v>1.1153153153153152</v>
      </c>
      <c r="X155" s="14"/>
      <c r="Y155" s="14" t="s">
        <v>1356</v>
      </c>
      <c r="Z155" s="258" t="s">
        <v>1356</v>
      </c>
      <c r="AA155" s="13"/>
      <c r="AB155" s="258" t="s">
        <v>1356</v>
      </c>
      <c r="AD155" s="258" t="str">
        <f t="shared" si="2"/>
        <v xml:space="preserve"> </v>
      </c>
      <c r="AE155" s="258" t="str">
        <f t="shared" si="3"/>
        <v xml:space="preserve"> </v>
      </c>
      <c r="AF155" s="258">
        <f t="shared" si="4"/>
        <v>209</v>
      </c>
      <c r="AG155" s="258" t="str">
        <f t="shared" si="5"/>
        <v xml:space="preserve"> </v>
      </c>
    </row>
    <row r="156" spans="1:33" x14ac:dyDescent="0.25">
      <c r="A156" s="29" t="s">
        <v>411</v>
      </c>
      <c r="B156" s="31">
        <v>8</v>
      </c>
      <c r="C156" s="34" t="s">
        <v>412</v>
      </c>
      <c r="D156" s="34">
        <v>2018</v>
      </c>
      <c r="E156" s="36">
        <v>64</v>
      </c>
      <c r="F156" s="36">
        <v>26</v>
      </c>
      <c r="G156" s="36">
        <v>13</v>
      </c>
      <c r="H156" s="38">
        <v>704</v>
      </c>
      <c r="I156" s="36">
        <v>807</v>
      </c>
      <c r="J156" s="9"/>
      <c r="K156" s="39">
        <f t="shared" ref="K156:M156" si="374">K153*4</f>
        <v>284</v>
      </c>
      <c r="L156" s="40">
        <f t="shared" si="374"/>
        <v>336</v>
      </c>
      <c r="M156" s="39">
        <f t="shared" si="374"/>
        <v>740</v>
      </c>
      <c r="N156" s="9"/>
      <c r="O156" s="39">
        <f t="shared" si="368"/>
        <v>216</v>
      </c>
      <c r="P156" s="40">
        <f t="shared" ref="P156:Q156" si="375">H156+P155</f>
        <v>999</v>
      </c>
      <c r="Q156" s="39">
        <f t="shared" si="375"/>
        <v>1426</v>
      </c>
      <c r="R156" s="10"/>
      <c r="S156" s="266">
        <f t="shared" ref="S156:U156" si="376">O156/K156</f>
        <v>0.76056338028169013</v>
      </c>
      <c r="T156" s="264">
        <f t="shared" si="376"/>
        <v>2.9732142857142856</v>
      </c>
      <c r="U156" s="264">
        <f t="shared" si="376"/>
        <v>1.9270270270270271</v>
      </c>
      <c r="V156" s="261" t="s">
        <v>411</v>
      </c>
      <c r="X156" s="14">
        <v>1482</v>
      </c>
      <c r="Y156" s="14">
        <v>740</v>
      </c>
      <c r="Z156" s="258">
        <v>1426</v>
      </c>
      <c r="AA156" s="13"/>
      <c r="AB156" s="258" t="s">
        <v>1356</v>
      </c>
      <c r="AD156" s="258" t="str">
        <f t="shared" si="2"/>
        <v xml:space="preserve"> </v>
      </c>
      <c r="AE156" s="258" t="str">
        <f t="shared" si="3"/>
        <v xml:space="preserve"> </v>
      </c>
      <c r="AF156" s="258" t="str">
        <f t="shared" si="4"/>
        <v xml:space="preserve"> </v>
      </c>
      <c r="AG156" s="258">
        <f t="shared" si="5"/>
        <v>807</v>
      </c>
    </row>
    <row r="157" spans="1:33" x14ac:dyDescent="0.25">
      <c r="A157" s="29"/>
      <c r="B157" s="31"/>
      <c r="C157" s="34"/>
      <c r="D157" s="34"/>
      <c r="E157" s="36"/>
      <c r="F157" s="36"/>
      <c r="G157" s="36"/>
      <c r="H157" s="38"/>
      <c r="I157" s="36"/>
      <c r="J157" s="9"/>
      <c r="K157" s="39"/>
      <c r="L157" s="40"/>
      <c r="M157" s="39"/>
      <c r="N157" s="9"/>
      <c r="O157" s="39"/>
      <c r="P157" s="40"/>
      <c r="Q157" s="39"/>
      <c r="R157" s="10"/>
      <c r="X157" s="14"/>
      <c r="Y157" s="14" t="s">
        <v>1356</v>
      </c>
      <c r="Z157" s="258" t="s">
        <v>1356</v>
      </c>
      <c r="AA157" s="13"/>
      <c r="AB157" s="258" t="s">
        <v>1356</v>
      </c>
      <c r="AD157" s="258" t="str">
        <f t="shared" si="2"/>
        <v xml:space="preserve"> </v>
      </c>
      <c r="AE157" s="258" t="str">
        <f t="shared" si="3"/>
        <v xml:space="preserve"> </v>
      </c>
      <c r="AF157" s="258" t="str">
        <f t="shared" si="4"/>
        <v xml:space="preserve"> </v>
      </c>
      <c r="AG157" s="258" t="str">
        <f t="shared" si="5"/>
        <v xml:space="preserve"> </v>
      </c>
    </row>
    <row r="158" spans="1:33" x14ac:dyDescent="0.25">
      <c r="A158" s="29" t="s">
        <v>425</v>
      </c>
      <c r="B158" s="31">
        <v>5</v>
      </c>
      <c r="C158" s="34" t="s">
        <v>69</v>
      </c>
      <c r="D158" s="34">
        <v>2014</v>
      </c>
      <c r="E158" s="36">
        <v>17</v>
      </c>
      <c r="F158" s="36">
        <v>91</v>
      </c>
      <c r="G158" s="36">
        <v>32</v>
      </c>
      <c r="H158" s="38">
        <v>170</v>
      </c>
      <c r="I158" s="36">
        <v>310</v>
      </c>
      <c r="J158" s="9"/>
      <c r="K158" s="39">
        <f>ROUND((423+303)/5,0)</f>
        <v>145</v>
      </c>
      <c r="L158" s="40">
        <f>ROUND(769/5,0)</f>
        <v>154</v>
      </c>
      <c r="M158" s="39">
        <f>ROUND(1839/5,0)</f>
        <v>368</v>
      </c>
      <c r="N158" s="9"/>
      <c r="O158" s="39">
        <f>E158+F158</f>
        <v>108</v>
      </c>
      <c r="P158" s="40">
        <f t="shared" ref="P158:Q158" si="377">H158</f>
        <v>170</v>
      </c>
      <c r="Q158" s="39">
        <f t="shared" si="377"/>
        <v>310</v>
      </c>
      <c r="R158" s="10"/>
      <c r="S158" s="266">
        <f t="shared" ref="S158:U158" si="378">O158/K158</f>
        <v>0.7448275862068966</v>
      </c>
      <c r="T158" s="264">
        <f t="shared" si="378"/>
        <v>1.1038961038961039</v>
      </c>
      <c r="U158" s="264">
        <f t="shared" si="378"/>
        <v>0.84239130434782605</v>
      </c>
      <c r="X158" s="14"/>
      <c r="Y158" s="14" t="s">
        <v>1356</v>
      </c>
      <c r="Z158" s="258" t="s">
        <v>1356</v>
      </c>
      <c r="AA158" s="13"/>
      <c r="AB158" s="258">
        <v>368</v>
      </c>
      <c r="AD158" s="258" t="str">
        <f t="shared" si="2"/>
        <v xml:space="preserve"> </v>
      </c>
      <c r="AE158" s="258" t="str">
        <f t="shared" si="3"/>
        <v xml:space="preserve"> </v>
      </c>
      <c r="AF158" s="258" t="str">
        <f t="shared" si="4"/>
        <v xml:space="preserve"> </v>
      </c>
      <c r="AG158" s="258" t="str">
        <f t="shared" si="5"/>
        <v xml:space="preserve"> </v>
      </c>
    </row>
    <row r="159" spans="1:33" x14ac:dyDescent="0.25">
      <c r="A159" s="29" t="s">
        <v>425</v>
      </c>
      <c r="B159" s="31">
        <v>5</v>
      </c>
      <c r="C159" s="34" t="s">
        <v>69</v>
      </c>
      <c r="D159" s="34">
        <v>2015</v>
      </c>
      <c r="E159" s="36">
        <v>29</v>
      </c>
      <c r="F159" s="36">
        <v>20</v>
      </c>
      <c r="G159" s="36">
        <v>29</v>
      </c>
      <c r="H159" s="38">
        <v>162</v>
      </c>
      <c r="I159" s="36">
        <v>240</v>
      </c>
      <c r="J159" s="9"/>
      <c r="K159" s="39">
        <f t="shared" ref="K159:M159" si="379">K158*2</f>
        <v>290</v>
      </c>
      <c r="L159" s="40">
        <f t="shared" si="379"/>
        <v>308</v>
      </c>
      <c r="M159" s="39">
        <f t="shared" si="379"/>
        <v>736</v>
      </c>
      <c r="N159" s="9"/>
      <c r="O159" s="39">
        <f t="shared" ref="O159:O162" si="380">E159+F159+O158</f>
        <v>157</v>
      </c>
      <c r="P159" s="40">
        <f t="shared" ref="P159:Q159" si="381">H159+P158</f>
        <v>332</v>
      </c>
      <c r="Q159" s="39">
        <f t="shared" si="381"/>
        <v>550</v>
      </c>
      <c r="R159" s="10"/>
      <c r="S159" s="266">
        <f t="shared" ref="S159:U159" si="382">O159/K159</f>
        <v>0.54137931034482756</v>
      </c>
      <c r="T159" s="264">
        <f t="shared" si="382"/>
        <v>1.0779220779220779</v>
      </c>
      <c r="U159" s="264">
        <f t="shared" si="382"/>
        <v>0.74728260869565222</v>
      </c>
      <c r="X159" s="14"/>
      <c r="Y159" s="14" t="s">
        <v>1356</v>
      </c>
      <c r="Z159" s="258" t="s">
        <v>1356</v>
      </c>
      <c r="AA159" s="13"/>
      <c r="AD159" s="258">
        <f t="shared" si="2"/>
        <v>240</v>
      </c>
      <c r="AE159" s="258" t="str">
        <f t="shared" si="3"/>
        <v xml:space="preserve"> </v>
      </c>
      <c r="AF159" s="258" t="str">
        <f t="shared" si="4"/>
        <v xml:space="preserve"> </v>
      </c>
      <c r="AG159" s="258" t="str">
        <f t="shared" si="5"/>
        <v xml:space="preserve"> </v>
      </c>
    </row>
    <row r="160" spans="1:33" x14ac:dyDescent="0.25">
      <c r="A160" s="29" t="s">
        <v>425</v>
      </c>
      <c r="B160" s="31">
        <v>5</v>
      </c>
      <c r="C160" s="34" t="s">
        <v>69</v>
      </c>
      <c r="D160" s="34">
        <v>2016</v>
      </c>
      <c r="E160" s="36">
        <v>8</v>
      </c>
      <c r="F160" s="36">
        <v>18</v>
      </c>
      <c r="G160" s="36">
        <v>23</v>
      </c>
      <c r="H160" s="38">
        <v>170</v>
      </c>
      <c r="I160" s="36">
        <v>219</v>
      </c>
      <c r="J160" s="9"/>
      <c r="K160" s="39">
        <f t="shared" ref="K160:M160" si="383">K158*3</f>
        <v>435</v>
      </c>
      <c r="L160" s="40">
        <f t="shared" si="383"/>
        <v>462</v>
      </c>
      <c r="M160" s="39">
        <f t="shared" si="383"/>
        <v>1104</v>
      </c>
      <c r="N160" s="9"/>
      <c r="O160" s="39">
        <f t="shared" si="380"/>
        <v>183</v>
      </c>
      <c r="P160" s="40">
        <f t="shared" ref="P160:Q160" si="384">H160+P159</f>
        <v>502</v>
      </c>
      <c r="Q160" s="39">
        <f t="shared" si="384"/>
        <v>769</v>
      </c>
      <c r="R160" s="10"/>
      <c r="S160" s="266">
        <f t="shared" ref="S160:U160" si="385">O160/K160</f>
        <v>0.4206896551724138</v>
      </c>
      <c r="T160" s="264">
        <f t="shared" si="385"/>
        <v>1.0865800865800865</v>
      </c>
      <c r="U160" s="264">
        <f t="shared" si="385"/>
        <v>0.69655797101449279</v>
      </c>
      <c r="X160" s="14"/>
      <c r="Y160" s="14" t="s">
        <v>1356</v>
      </c>
      <c r="Z160" s="258" t="s">
        <v>1356</v>
      </c>
      <c r="AA160" s="13"/>
      <c r="AB160" s="258" t="s">
        <v>1356</v>
      </c>
      <c r="AD160" s="258" t="str">
        <f t="shared" si="2"/>
        <v xml:space="preserve"> </v>
      </c>
      <c r="AE160" s="258">
        <f t="shared" si="3"/>
        <v>219</v>
      </c>
      <c r="AF160" s="258" t="str">
        <f t="shared" si="4"/>
        <v xml:space="preserve"> </v>
      </c>
      <c r="AG160" s="258" t="str">
        <f t="shared" si="5"/>
        <v xml:space="preserve"> </v>
      </c>
    </row>
    <row r="161" spans="1:33" x14ac:dyDescent="0.25">
      <c r="A161" s="29" t="s">
        <v>425</v>
      </c>
      <c r="B161" s="31">
        <v>5</v>
      </c>
      <c r="C161" s="34" t="s">
        <v>69</v>
      </c>
      <c r="D161" s="34">
        <v>2017</v>
      </c>
      <c r="E161" s="36">
        <v>10</v>
      </c>
      <c r="F161" s="36">
        <v>20</v>
      </c>
      <c r="G161" s="36">
        <v>28</v>
      </c>
      <c r="H161" s="38">
        <v>191</v>
      </c>
      <c r="I161" s="36">
        <v>249</v>
      </c>
      <c r="J161" s="9"/>
      <c r="K161" s="39">
        <f t="shared" ref="K161:M161" si="386">K158*4</f>
        <v>580</v>
      </c>
      <c r="L161" s="40">
        <f t="shared" si="386"/>
        <v>616</v>
      </c>
      <c r="M161" s="39">
        <f t="shared" si="386"/>
        <v>1472</v>
      </c>
      <c r="N161" s="9"/>
      <c r="O161" s="39">
        <f t="shared" si="380"/>
        <v>213</v>
      </c>
      <c r="P161" s="40">
        <f t="shared" ref="P161:Q161" si="387">H161+P160</f>
        <v>693</v>
      </c>
      <c r="Q161" s="39">
        <f t="shared" si="387"/>
        <v>1018</v>
      </c>
      <c r="R161" s="10"/>
      <c r="S161" s="266">
        <f t="shared" ref="S161:U161" si="388">O161/K161</f>
        <v>0.36724137931034484</v>
      </c>
      <c r="T161" s="264">
        <f t="shared" si="388"/>
        <v>1.125</v>
      </c>
      <c r="U161" s="264">
        <f t="shared" si="388"/>
        <v>0.69157608695652173</v>
      </c>
      <c r="X161" s="14"/>
      <c r="Y161" s="14" t="s">
        <v>1356</v>
      </c>
      <c r="Z161" s="258" t="s">
        <v>1356</v>
      </c>
      <c r="AA161" s="13"/>
      <c r="AB161" s="258" t="s">
        <v>1356</v>
      </c>
      <c r="AD161" s="258" t="str">
        <f t="shared" si="2"/>
        <v xml:space="preserve"> </v>
      </c>
      <c r="AE161" s="258" t="str">
        <f t="shared" si="3"/>
        <v xml:space="preserve"> </v>
      </c>
      <c r="AF161" s="258">
        <f t="shared" si="4"/>
        <v>249</v>
      </c>
      <c r="AG161" s="258" t="str">
        <f t="shared" si="5"/>
        <v xml:space="preserve"> </v>
      </c>
    </row>
    <row r="162" spans="1:33" x14ac:dyDescent="0.25">
      <c r="A162" s="29" t="s">
        <v>425</v>
      </c>
      <c r="B162" s="31">
        <v>5</v>
      </c>
      <c r="C162" s="34" t="s">
        <v>69</v>
      </c>
      <c r="D162" s="34">
        <v>2018</v>
      </c>
      <c r="E162" s="36">
        <v>4</v>
      </c>
      <c r="F162" s="36">
        <v>48</v>
      </c>
      <c r="G162" s="36">
        <v>100</v>
      </c>
      <c r="H162" s="38">
        <v>139</v>
      </c>
      <c r="I162" s="36">
        <v>291</v>
      </c>
      <c r="J162" s="9"/>
      <c r="K162" s="39">
        <f t="shared" ref="K162:M162" si="389">K158*5</f>
        <v>725</v>
      </c>
      <c r="L162" s="40">
        <f t="shared" si="389"/>
        <v>770</v>
      </c>
      <c r="M162" s="39">
        <f t="shared" si="389"/>
        <v>1840</v>
      </c>
      <c r="N162" s="9"/>
      <c r="O162" s="39">
        <f t="shared" si="380"/>
        <v>265</v>
      </c>
      <c r="P162" s="40">
        <f t="shared" ref="P162:Q162" si="390">H162+P161</f>
        <v>832</v>
      </c>
      <c r="Q162" s="39">
        <f t="shared" si="390"/>
        <v>1309</v>
      </c>
      <c r="R162" s="10"/>
      <c r="S162" s="266">
        <f t="shared" ref="S162:U162" si="391">O162/K162</f>
        <v>0.36551724137931035</v>
      </c>
      <c r="T162" s="264">
        <f t="shared" si="391"/>
        <v>1.0805194805194804</v>
      </c>
      <c r="U162" s="264">
        <f t="shared" si="391"/>
        <v>0.71141304347826084</v>
      </c>
      <c r="V162" s="261" t="s">
        <v>425</v>
      </c>
      <c r="X162" s="14">
        <v>1840</v>
      </c>
      <c r="Y162" s="14">
        <v>1840</v>
      </c>
      <c r="Z162" s="258">
        <v>1309</v>
      </c>
      <c r="AA162" s="13"/>
      <c r="AB162" s="258" t="s">
        <v>1356</v>
      </c>
      <c r="AD162" s="258" t="str">
        <f t="shared" si="2"/>
        <v xml:space="preserve"> </v>
      </c>
      <c r="AE162" s="258" t="str">
        <f t="shared" si="3"/>
        <v xml:space="preserve"> </v>
      </c>
      <c r="AF162" s="258" t="str">
        <f t="shared" si="4"/>
        <v xml:space="preserve"> </v>
      </c>
      <c r="AG162" s="258">
        <f t="shared" si="5"/>
        <v>291</v>
      </c>
    </row>
    <row r="163" spans="1:33" x14ac:dyDescent="0.25">
      <c r="A163" s="29"/>
      <c r="B163" s="31"/>
      <c r="C163" s="34"/>
      <c r="D163" s="34"/>
      <c r="E163" s="36"/>
      <c r="F163" s="36"/>
      <c r="G163" s="36"/>
      <c r="H163" s="38"/>
      <c r="I163" s="36"/>
      <c r="J163" s="9"/>
      <c r="K163" s="39"/>
      <c r="L163" s="40"/>
      <c r="M163" s="39"/>
      <c r="N163" s="9"/>
      <c r="O163" s="39"/>
      <c r="P163" s="40"/>
      <c r="Q163" s="39"/>
      <c r="R163" s="10"/>
      <c r="X163" s="14"/>
      <c r="Y163" s="14" t="s">
        <v>1356</v>
      </c>
      <c r="Z163" s="258" t="s">
        <v>1356</v>
      </c>
      <c r="AA163" s="13"/>
      <c r="AB163" s="258" t="s">
        <v>1356</v>
      </c>
      <c r="AD163" s="258" t="str">
        <f t="shared" si="2"/>
        <v xml:space="preserve"> </v>
      </c>
      <c r="AE163" s="258" t="str">
        <f t="shared" si="3"/>
        <v xml:space="preserve"> </v>
      </c>
      <c r="AF163" s="258" t="str">
        <f t="shared" si="4"/>
        <v xml:space="preserve"> </v>
      </c>
      <c r="AG163" s="258" t="str">
        <f t="shared" si="5"/>
        <v xml:space="preserve"> </v>
      </c>
    </row>
    <row r="164" spans="1:33" x14ac:dyDescent="0.25">
      <c r="A164" s="29" t="s">
        <v>436</v>
      </c>
      <c r="B164" s="31">
        <v>8</v>
      </c>
      <c r="C164" s="34" t="s">
        <v>124</v>
      </c>
      <c r="D164" s="34">
        <v>2014</v>
      </c>
      <c r="E164" s="36">
        <v>366</v>
      </c>
      <c r="F164" s="36">
        <v>215</v>
      </c>
      <c r="G164" s="36">
        <v>2294</v>
      </c>
      <c r="H164" s="38">
        <v>6683</v>
      </c>
      <c r="I164" s="36">
        <v>9558</v>
      </c>
      <c r="J164" s="9"/>
      <c r="K164" s="39">
        <f>ROUND((8734+6426)/8,0)</f>
        <v>1895</v>
      </c>
      <c r="L164" s="40">
        <v>2002</v>
      </c>
      <c r="M164" s="39">
        <f>ROUND(37966/8,0)</f>
        <v>4746</v>
      </c>
      <c r="N164" s="9"/>
      <c r="O164" s="39">
        <f>E164+F164</f>
        <v>581</v>
      </c>
      <c r="P164" s="40">
        <f t="shared" ref="P164:Q164" si="392">H164</f>
        <v>6683</v>
      </c>
      <c r="Q164" s="39">
        <f t="shared" si="392"/>
        <v>9558</v>
      </c>
      <c r="R164" s="10"/>
      <c r="S164" s="266">
        <f t="shared" ref="S164:U164" si="393">O164/K164</f>
        <v>0.30659630606860161</v>
      </c>
      <c r="T164" s="264">
        <f t="shared" si="393"/>
        <v>3.3381618381618381</v>
      </c>
      <c r="U164" s="264">
        <f t="shared" si="393"/>
        <v>2.0139064475347661</v>
      </c>
      <c r="X164" s="14"/>
      <c r="Y164" s="14" t="s">
        <v>1356</v>
      </c>
      <c r="Z164" s="258" t="s">
        <v>1356</v>
      </c>
      <c r="AA164" s="13"/>
      <c r="AB164" s="258">
        <v>4746</v>
      </c>
      <c r="AD164" s="258" t="str">
        <f t="shared" si="2"/>
        <v xml:space="preserve"> </v>
      </c>
      <c r="AE164" s="258" t="str">
        <f t="shared" si="3"/>
        <v xml:space="preserve"> </v>
      </c>
      <c r="AF164" s="258" t="str">
        <f t="shared" si="4"/>
        <v xml:space="preserve"> </v>
      </c>
      <c r="AG164" s="258" t="str">
        <f t="shared" si="5"/>
        <v xml:space="preserve"> </v>
      </c>
    </row>
    <row r="165" spans="1:33" x14ac:dyDescent="0.25">
      <c r="A165" s="29" t="s">
        <v>436</v>
      </c>
      <c r="B165" s="31">
        <v>8</v>
      </c>
      <c r="C165" s="34" t="s">
        <v>124</v>
      </c>
      <c r="D165" s="34">
        <v>2015</v>
      </c>
      <c r="E165" s="36">
        <v>189</v>
      </c>
      <c r="F165" s="36">
        <v>244</v>
      </c>
      <c r="G165" s="36">
        <v>5153</v>
      </c>
      <c r="H165" s="38">
        <v>6378</v>
      </c>
      <c r="I165" s="36">
        <v>11964</v>
      </c>
      <c r="J165" s="9"/>
      <c r="K165" s="39">
        <f t="shared" ref="K165:M165" si="394">K164*2</f>
        <v>3790</v>
      </c>
      <c r="L165" s="40">
        <f t="shared" si="394"/>
        <v>4004</v>
      </c>
      <c r="M165" s="39">
        <f t="shared" si="394"/>
        <v>9492</v>
      </c>
      <c r="N165" s="9"/>
      <c r="O165" s="39">
        <f t="shared" ref="O165:O168" si="395">E165+F165+O164</f>
        <v>1014</v>
      </c>
      <c r="P165" s="40">
        <f t="shared" ref="P165:Q165" si="396">H165+P164</f>
        <v>13061</v>
      </c>
      <c r="Q165" s="39">
        <f t="shared" si="396"/>
        <v>21522</v>
      </c>
      <c r="R165" s="10"/>
      <c r="S165" s="266">
        <f t="shared" ref="S165:U165" si="397">O165/K165</f>
        <v>0.26754617414248022</v>
      </c>
      <c r="T165" s="264">
        <f t="shared" si="397"/>
        <v>3.261988011988012</v>
      </c>
      <c r="U165" s="264">
        <f t="shared" si="397"/>
        <v>2.2673830594184579</v>
      </c>
      <c r="X165" s="14"/>
      <c r="Y165" s="14" t="s">
        <v>1356</v>
      </c>
      <c r="Z165" s="258" t="s">
        <v>1356</v>
      </c>
      <c r="AA165" s="13"/>
      <c r="AD165" s="258">
        <f t="shared" si="2"/>
        <v>11964</v>
      </c>
      <c r="AE165" s="258" t="str">
        <f t="shared" si="3"/>
        <v xml:space="preserve"> </v>
      </c>
      <c r="AF165" s="258" t="str">
        <f t="shared" si="4"/>
        <v xml:space="preserve"> </v>
      </c>
      <c r="AG165" s="258" t="str">
        <f t="shared" si="5"/>
        <v xml:space="preserve"> </v>
      </c>
    </row>
    <row r="166" spans="1:33" x14ac:dyDescent="0.25">
      <c r="A166" s="29" t="s">
        <v>436</v>
      </c>
      <c r="B166" s="31">
        <v>8</v>
      </c>
      <c r="C166" s="34" t="s">
        <v>124</v>
      </c>
      <c r="D166" s="34">
        <v>2016</v>
      </c>
      <c r="E166" s="36">
        <v>1090</v>
      </c>
      <c r="F166" s="36">
        <v>417</v>
      </c>
      <c r="G166" s="36">
        <v>4945</v>
      </c>
      <c r="H166" s="38">
        <v>8289</v>
      </c>
      <c r="I166" s="36">
        <v>14741</v>
      </c>
      <c r="J166" s="9"/>
      <c r="K166" s="39">
        <f t="shared" ref="K166:M166" si="398">K164*3</f>
        <v>5685</v>
      </c>
      <c r="L166" s="40">
        <f t="shared" si="398"/>
        <v>6006</v>
      </c>
      <c r="M166" s="39">
        <f t="shared" si="398"/>
        <v>14238</v>
      </c>
      <c r="N166" s="9"/>
      <c r="O166" s="39">
        <f t="shared" si="395"/>
        <v>2521</v>
      </c>
      <c r="P166" s="40">
        <f t="shared" ref="P166:Q166" si="399">H166+P165</f>
        <v>21350</v>
      </c>
      <c r="Q166" s="39">
        <f t="shared" si="399"/>
        <v>36263</v>
      </c>
      <c r="R166" s="10"/>
      <c r="S166" s="266">
        <f t="shared" ref="S166:U166" si="400">O166/K166</f>
        <v>0.44344766930518908</v>
      </c>
      <c r="T166" s="264">
        <f t="shared" si="400"/>
        <v>3.5547785547785549</v>
      </c>
      <c r="U166" s="264">
        <f t="shared" si="400"/>
        <v>2.5469167017839585</v>
      </c>
      <c r="X166" s="14"/>
      <c r="Y166" s="14" t="s">
        <v>1356</v>
      </c>
      <c r="Z166" s="258" t="s">
        <v>1356</v>
      </c>
      <c r="AA166" s="13"/>
      <c r="AB166" s="258" t="s">
        <v>1356</v>
      </c>
      <c r="AD166" s="258" t="str">
        <f t="shared" si="2"/>
        <v xml:space="preserve"> </v>
      </c>
      <c r="AE166" s="258">
        <f t="shared" si="3"/>
        <v>14741</v>
      </c>
      <c r="AF166" s="258" t="str">
        <f t="shared" si="4"/>
        <v xml:space="preserve"> </v>
      </c>
      <c r="AG166" s="258" t="str">
        <f t="shared" si="5"/>
        <v xml:space="preserve"> </v>
      </c>
    </row>
    <row r="167" spans="1:33" x14ac:dyDescent="0.25">
      <c r="A167" s="29" t="s">
        <v>436</v>
      </c>
      <c r="B167" s="31">
        <v>8</v>
      </c>
      <c r="C167" s="34" t="s">
        <v>124</v>
      </c>
      <c r="D167" s="34">
        <v>2017</v>
      </c>
      <c r="E167" s="36">
        <v>165</v>
      </c>
      <c r="F167" s="36">
        <v>103</v>
      </c>
      <c r="G167" s="36">
        <v>2391</v>
      </c>
      <c r="H167" s="38">
        <v>9257</v>
      </c>
      <c r="I167" s="36">
        <v>11916</v>
      </c>
      <c r="J167" s="9"/>
      <c r="K167" s="39">
        <f t="shared" ref="K167:M167" si="401">K164*4</f>
        <v>7580</v>
      </c>
      <c r="L167" s="40">
        <f t="shared" si="401"/>
        <v>8008</v>
      </c>
      <c r="M167" s="39">
        <f t="shared" si="401"/>
        <v>18984</v>
      </c>
      <c r="N167" s="9"/>
      <c r="O167" s="39">
        <f t="shared" si="395"/>
        <v>2789</v>
      </c>
      <c r="P167" s="40">
        <f t="shared" ref="P167:Q167" si="402">H167+P166</f>
        <v>30607</v>
      </c>
      <c r="Q167" s="39">
        <f t="shared" si="402"/>
        <v>48179</v>
      </c>
      <c r="R167" s="10"/>
      <c r="S167" s="266">
        <f t="shared" ref="S167:U167" si="403">O167/K167</f>
        <v>0.36794195250659628</v>
      </c>
      <c r="T167" s="264">
        <f t="shared" si="403"/>
        <v>3.822052947052947</v>
      </c>
      <c r="U167" s="264">
        <f t="shared" si="403"/>
        <v>2.5378739991571848</v>
      </c>
      <c r="X167" s="14"/>
      <c r="Y167" s="14" t="s">
        <v>1356</v>
      </c>
      <c r="Z167" s="258" t="s">
        <v>1356</v>
      </c>
      <c r="AA167" s="13"/>
      <c r="AB167" s="258" t="s">
        <v>1356</v>
      </c>
      <c r="AD167" s="258" t="str">
        <f t="shared" si="2"/>
        <v xml:space="preserve"> </v>
      </c>
      <c r="AE167" s="258" t="str">
        <f t="shared" si="3"/>
        <v xml:space="preserve"> </v>
      </c>
      <c r="AF167" s="258">
        <f t="shared" si="4"/>
        <v>11916</v>
      </c>
      <c r="AG167" s="258" t="str">
        <f t="shared" si="5"/>
        <v xml:space="preserve"> </v>
      </c>
    </row>
    <row r="168" spans="1:33" x14ac:dyDescent="0.25">
      <c r="A168" s="29" t="s">
        <v>436</v>
      </c>
      <c r="B168" s="31">
        <v>8</v>
      </c>
      <c r="C168" s="34" t="s">
        <v>124</v>
      </c>
      <c r="D168" s="34">
        <v>2018</v>
      </c>
      <c r="E168" s="36">
        <v>263</v>
      </c>
      <c r="F168" s="36">
        <v>432</v>
      </c>
      <c r="G168" s="36">
        <v>100</v>
      </c>
      <c r="H168" s="38">
        <v>7250</v>
      </c>
      <c r="I168" s="36">
        <v>8045</v>
      </c>
      <c r="J168" s="9"/>
      <c r="K168" s="39">
        <f t="shared" ref="K168:M168" si="404">K164*5</f>
        <v>9475</v>
      </c>
      <c r="L168" s="40">
        <f t="shared" si="404"/>
        <v>10010</v>
      </c>
      <c r="M168" s="39">
        <f t="shared" si="404"/>
        <v>23730</v>
      </c>
      <c r="N168" s="9"/>
      <c r="O168" s="39">
        <f t="shared" si="395"/>
        <v>3484</v>
      </c>
      <c r="P168" s="40">
        <f t="shared" ref="P168:Q168" si="405">H168+P167</f>
        <v>37857</v>
      </c>
      <c r="Q168" s="39">
        <f t="shared" si="405"/>
        <v>56224</v>
      </c>
      <c r="R168" s="10"/>
      <c r="S168" s="266">
        <f t="shared" ref="S168:U168" si="406">O168/K168</f>
        <v>0.36770448548812668</v>
      </c>
      <c r="T168" s="264">
        <f t="shared" si="406"/>
        <v>3.7819180819180818</v>
      </c>
      <c r="U168" s="264">
        <f t="shared" si="406"/>
        <v>2.369321533923304</v>
      </c>
      <c r="V168" s="261" t="s">
        <v>436</v>
      </c>
      <c r="X168" s="14">
        <v>37966</v>
      </c>
      <c r="Y168" s="14">
        <v>23730</v>
      </c>
      <c r="Z168" s="258">
        <v>56224</v>
      </c>
      <c r="AA168" s="13"/>
      <c r="AB168" s="258" t="s">
        <v>1356</v>
      </c>
      <c r="AD168" s="258" t="str">
        <f t="shared" si="2"/>
        <v xml:space="preserve"> </v>
      </c>
      <c r="AE168" s="258" t="str">
        <f t="shared" si="3"/>
        <v xml:space="preserve"> </v>
      </c>
      <c r="AF168" s="258" t="str">
        <f t="shared" si="4"/>
        <v xml:space="preserve"> </v>
      </c>
      <c r="AG168" s="258">
        <f t="shared" si="5"/>
        <v>8045</v>
      </c>
    </row>
    <row r="169" spans="1:33" x14ac:dyDescent="0.25">
      <c r="A169" s="29"/>
      <c r="B169" s="31"/>
      <c r="C169" s="34"/>
      <c r="D169" s="34"/>
      <c r="E169" s="36"/>
      <c r="F169" s="36"/>
      <c r="G169" s="36"/>
      <c r="H169" s="38"/>
      <c r="I169" s="36"/>
      <c r="J169" s="9"/>
      <c r="K169" s="39"/>
      <c r="L169" s="40"/>
      <c r="M169" s="39"/>
      <c r="N169" s="9"/>
      <c r="O169" s="39"/>
      <c r="P169" s="40"/>
      <c r="Q169" s="39"/>
      <c r="R169" s="10"/>
      <c r="X169" s="14"/>
      <c r="Y169" s="14" t="s">
        <v>1356</v>
      </c>
      <c r="Z169" s="258" t="s">
        <v>1356</v>
      </c>
      <c r="AA169" s="13"/>
      <c r="AB169" s="258" t="s">
        <v>1356</v>
      </c>
      <c r="AD169" s="258" t="str">
        <f t="shared" si="2"/>
        <v xml:space="preserve"> </v>
      </c>
      <c r="AE169" s="258" t="str">
        <f t="shared" si="3"/>
        <v xml:space="preserve"> </v>
      </c>
      <c r="AF169" s="258" t="str">
        <f t="shared" si="4"/>
        <v xml:space="preserve"> </v>
      </c>
      <c r="AG169" s="258" t="str">
        <f t="shared" si="5"/>
        <v xml:space="preserve"> </v>
      </c>
    </row>
    <row r="170" spans="1:33" x14ac:dyDescent="0.25">
      <c r="A170" s="29" t="s">
        <v>451</v>
      </c>
      <c r="B170" s="31">
        <v>8</v>
      </c>
      <c r="C170" s="34" t="s">
        <v>124</v>
      </c>
      <c r="D170" s="34">
        <v>2013</v>
      </c>
      <c r="E170" s="36">
        <v>0</v>
      </c>
      <c r="F170" s="36">
        <v>18</v>
      </c>
      <c r="G170" s="36">
        <v>146</v>
      </c>
      <c r="H170" s="38">
        <v>881</v>
      </c>
      <c r="I170" s="36">
        <v>1045</v>
      </c>
      <c r="J170" s="9"/>
      <c r="K170" s="39">
        <v>1222</v>
      </c>
      <c r="L170" s="40">
        <v>978</v>
      </c>
      <c r="M170" s="39">
        <v>2703</v>
      </c>
      <c r="N170" s="9"/>
      <c r="O170" s="39">
        <f>E170+F170</f>
        <v>18</v>
      </c>
      <c r="P170" s="40">
        <f t="shared" ref="P170:Q170" si="407">H170</f>
        <v>881</v>
      </c>
      <c r="Q170" s="39">
        <f t="shared" si="407"/>
        <v>1045</v>
      </c>
      <c r="R170" s="10"/>
      <c r="S170" s="266">
        <f t="shared" ref="S170:U170" si="408">O170/K170</f>
        <v>1.4729950900163666E-2</v>
      </c>
      <c r="T170" s="264">
        <f t="shared" si="408"/>
        <v>0.90081799591002043</v>
      </c>
      <c r="U170" s="264">
        <f t="shared" si="408"/>
        <v>0.38660747317795041</v>
      </c>
      <c r="X170" s="14"/>
      <c r="Y170" s="14" t="s">
        <v>1356</v>
      </c>
      <c r="Z170" s="258" t="s">
        <v>1356</v>
      </c>
      <c r="AA170" s="13"/>
      <c r="AB170" s="258">
        <v>2703</v>
      </c>
      <c r="AD170" s="258" t="str">
        <f t="shared" si="2"/>
        <v xml:space="preserve"> </v>
      </c>
      <c r="AE170" s="258" t="str">
        <f t="shared" si="3"/>
        <v xml:space="preserve"> </v>
      </c>
      <c r="AF170" s="258" t="str">
        <f t="shared" si="4"/>
        <v xml:space="preserve"> </v>
      </c>
      <c r="AG170" s="258" t="str">
        <f t="shared" si="5"/>
        <v xml:space="preserve"> </v>
      </c>
    </row>
    <row r="171" spans="1:33" x14ac:dyDescent="0.25">
      <c r="A171" s="29" t="s">
        <v>451</v>
      </c>
      <c r="B171" s="31">
        <v>8</v>
      </c>
      <c r="C171" s="34" t="s">
        <v>124</v>
      </c>
      <c r="D171" s="34">
        <v>2014</v>
      </c>
      <c r="E171" s="36">
        <v>9</v>
      </c>
      <c r="F171" s="36">
        <v>31</v>
      </c>
      <c r="G171" s="36">
        <v>475</v>
      </c>
      <c r="H171" s="38">
        <v>1318</v>
      </c>
      <c r="I171" s="36">
        <v>1833</v>
      </c>
      <c r="J171" s="9"/>
      <c r="K171" s="39">
        <f t="shared" ref="K171:M171" si="409">K170*2</f>
        <v>2444</v>
      </c>
      <c r="L171" s="40">
        <f t="shared" si="409"/>
        <v>1956</v>
      </c>
      <c r="M171" s="39">
        <f t="shared" si="409"/>
        <v>5406</v>
      </c>
      <c r="N171" s="9"/>
      <c r="O171" s="39">
        <f t="shared" ref="O171:O175" si="410">E171+F171+O170</f>
        <v>58</v>
      </c>
      <c r="P171" s="40">
        <f t="shared" ref="P171:Q171" si="411">H171+P170</f>
        <v>2199</v>
      </c>
      <c r="Q171" s="39">
        <f t="shared" si="411"/>
        <v>2878</v>
      </c>
      <c r="R171" s="10"/>
      <c r="S171" s="266">
        <f t="shared" ref="S171:U171" si="412">O171/K171</f>
        <v>2.3731587561374796E-2</v>
      </c>
      <c r="T171" s="264">
        <f t="shared" si="412"/>
        <v>1.1242331288343559</v>
      </c>
      <c r="U171" s="264">
        <f t="shared" si="412"/>
        <v>0.53237143914169438</v>
      </c>
      <c r="X171" s="14"/>
      <c r="Y171" s="14" t="s">
        <v>1356</v>
      </c>
      <c r="Z171" s="258" t="s">
        <v>1356</v>
      </c>
      <c r="AA171" s="13"/>
      <c r="AB171" s="258" t="s">
        <v>1356</v>
      </c>
      <c r="AD171" s="258" t="str">
        <f t="shared" si="2"/>
        <v xml:space="preserve"> </v>
      </c>
      <c r="AE171" s="258" t="str">
        <f t="shared" si="3"/>
        <v xml:space="preserve"> </v>
      </c>
      <c r="AF171" s="258" t="str">
        <f t="shared" si="4"/>
        <v xml:space="preserve"> </v>
      </c>
      <c r="AG171" s="258" t="str">
        <f t="shared" si="5"/>
        <v xml:space="preserve"> </v>
      </c>
    </row>
    <row r="172" spans="1:33" x14ac:dyDescent="0.25">
      <c r="A172" s="29" t="s">
        <v>451</v>
      </c>
      <c r="B172" s="31">
        <v>8</v>
      </c>
      <c r="C172" s="34" t="s">
        <v>124</v>
      </c>
      <c r="D172" s="34">
        <v>2015</v>
      </c>
      <c r="E172" s="36">
        <v>0</v>
      </c>
      <c r="F172" s="36">
        <v>16</v>
      </c>
      <c r="G172" s="36">
        <v>763</v>
      </c>
      <c r="H172" s="38">
        <v>1382</v>
      </c>
      <c r="I172" s="36">
        <v>2161</v>
      </c>
      <c r="J172" s="9"/>
      <c r="K172" s="39">
        <f t="shared" ref="K172:M172" si="413">K170*3</f>
        <v>3666</v>
      </c>
      <c r="L172" s="40">
        <f t="shared" si="413"/>
        <v>2934</v>
      </c>
      <c r="M172" s="39">
        <f t="shared" si="413"/>
        <v>8109</v>
      </c>
      <c r="N172" s="9"/>
      <c r="O172" s="39">
        <f t="shared" si="410"/>
        <v>74</v>
      </c>
      <c r="P172" s="40">
        <f t="shared" ref="P172:Q172" si="414">H172+P171</f>
        <v>3581</v>
      </c>
      <c r="Q172" s="39">
        <f t="shared" si="414"/>
        <v>5039</v>
      </c>
      <c r="R172" s="10"/>
      <c r="S172" s="266">
        <f t="shared" ref="S172:U172" si="415">O172/K172</f>
        <v>2.0185488270594652E-2</v>
      </c>
      <c r="T172" s="264">
        <f t="shared" si="415"/>
        <v>1.2205180640763462</v>
      </c>
      <c r="U172" s="264">
        <f t="shared" si="415"/>
        <v>0.62140831175237388</v>
      </c>
      <c r="X172" s="14"/>
      <c r="Y172" s="14" t="s">
        <v>1356</v>
      </c>
      <c r="Z172" s="258" t="s">
        <v>1356</v>
      </c>
      <c r="AA172" s="13"/>
      <c r="AD172" s="258">
        <f t="shared" si="2"/>
        <v>2161</v>
      </c>
      <c r="AE172" s="258" t="str">
        <f t="shared" si="3"/>
        <v xml:space="preserve"> </v>
      </c>
      <c r="AF172" s="258" t="str">
        <f t="shared" si="4"/>
        <v xml:space="preserve"> </v>
      </c>
      <c r="AG172" s="258" t="str">
        <f t="shared" si="5"/>
        <v xml:space="preserve"> </v>
      </c>
    </row>
    <row r="173" spans="1:33" x14ac:dyDescent="0.25">
      <c r="A173" s="29" t="s">
        <v>451</v>
      </c>
      <c r="B173" s="31">
        <v>8</v>
      </c>
      <c r="C173" s="34" t="s">
        <v>124</v>
      </c>
      <c r="D173" s="34">
        <v>2016</v>
      </c>
      <c r="E173" s="36">
        <v>78</v>
      </c>
      <c r="F173" s="36">
        <v>46</v>
      </c>
      <c r="G173" s="36">
        <v>424</v>
      </c>
      <c r="H173" s="38">
        <v>1500</v>
      </c>
      <c r="I173" s="36">
        <v>2048</v>
      </c>
      <c r="J173" s="9"/>
      <c r="K173" s="39">
        <f t="shared" ref="K173:M173" si="416">K170*4</f>
        <v>4888</v>
      </c>
      <c r="L173" s="40">
        <f t="shared" si="416"/>
        <v>3912</v>
      </c>
      <c r="M173" s="39">
        <f t="shared" si="416"/>
        <v>10812</v>
      </c>
      <c r="N173" s="9"/>
      <c r="O173" s="39">
        <f t="shared" si="410"/>
        <v>198</v>
      </c>
      <c r="P173" s="40">
        <f t="shared" ref="P173:Q173" si="417">H173+P172</f>
        <v>5081</v>
      </c>
      <c r="Q173" s="39">
        <f t="shared" si="417"/>
        <v>7087</v>
      </c>
      <c r="R173" s="10"/>
      <c r="S173" s="266">
        <f t="shared" ref="S173:U173" si="418">O173/K173</f>
        <v>4.0507364975450079E-2</v>
      </c>
      <c r="T173" s="264">
        <f t="shared" si="418"/>
        <v>1.2988241308793456</v>
      </c>
      <c r="U173" s="264">
        <f t="shared" si="418"/>
        <v>0.65547539770625229</v>
      </c>
      <c r="X173" s="14"/>
      <c r="Y173" s="14" t="s">
        <v>1356</v>
      </c>
      <c r="Z173" s="258" t="s">
        <v>1356</v>
      </c>
      <c r="AA173" s="13"/>
      <c r="AB173" s="258" t="s">
        <v>1356</v>
      </c>
      <c r="AD173" s="258" t="str">
        <f t="shared" si="2"/>
        <v xml:space="preserve"> </v>
      </c>
      <c r="AE173" s="258">
        <f t="shared" si="3"/>
        <v>2048</v>
      </c>
      <c r="AF173" s="258" t="str">
        <f t="shared" si="4"/>
        <v xml:space="preserve"> </v>
      </c>
      <c r="AG173" s="258" t="str">
        <f t="shared" si="5"/>
        <v xml:space="preserve"> </v>
      </c>
    </row>
    <row r="174" spans="1:33" x14ac:dyDescent="0.25">
      <c r="A174" s="29" t="s">
        <v>451</v>
      </c>
      <c r="B174" s="31">
        <v>8</v>
      </c>
      <c r="C174" s="34" t="s">
        <v>124</v>
      </c>
      <c r="D174" s="34">
        <v>2017</v>
      </c>
      <c r="E174" s="36">
        <v>43</v>
      </c>
      <c r="F174" s="36">
        <v>3</v>
      </c>
      <c r="G174" s="36">
        <v>1258</v>
      </c>
      <c r="H174" s="38">
        <v>1821</v>
      </c>
      <c r="I174" s="36">
        <v>3125</v>
      </c>
      <c r="J174" s="9"/>
      <c r="K174" s="39">
        <f t="shared" ref="K174:M174" si="419">K170*5</f>
        <v>6110</v>
      </c>
      <c r="L174" s="40">
        <f t="shared" si="419"/>
        <v>4890</v>
      </c>
      <c r="M174" s="39">
        <f t="shared" si="419"/>
        <v>13515</v>
      </c>
      <c r="N174" s="9"/>
      <c r="O174" s="39">
        <f t="shared" si="410"/>
        <v>244</v>
      </c>
      <c r="P174" s="40">
        <f t="shared" ref="P174:Q174" si="420">H174+P173</f>
        <v>6902</v>
      </c>
      <c r="Q174" s="39">
        <f t="shared" si="420"/>
        <v>10212</v>
      </c>
      <c r="R174" s="10"/>
      <c r="S174" s="266">
        <f t="shared" ref="S174:U174" si="421">O174/K174</f>
        <v>3.9934533551554831E-2</v>
      </c>
      <c r="T174" s="264">
        <f t="shared" si="421"/>
        <v>1.4114519427402863</v>
      </c>
      <c r="U174" s="264">
        <f t="shared" si="421"/>
        <v>0.75560488346281907</v>
      </c>
      <c r="X174" s="14"/>
      <c r="Y174" s="14" t="s">
        <v>1356</v>
      </c>
      <c r="Z174" s="258" t="s">
        <v>1356</v>
      </c>
      <c r="AA174" s="13"/>
      <c r="AB174" s="258" t="s">
        <v>1356</v>
      </c>
      <c r="AD174" s="258" t="str">
        <f t="shared" si="2"/>
        <v xml:space="preserve"> </v>
      </c>
      <c r="AE174" s="258" t="str">
        <f t="shared" si="3"/>
        <v xml:space="preserve"> </v>
      </c>
      <c r="AF174" s="258">
        <f t="shared" si="4"/>
        <v>3125</v>
      </c>
      <c r="AG174" s="258" t="str">
        <f t="shared" si="5"/>
        <v xml:space="preserve"> </v>
      </c>
    </row>
    <row r="175" spans="1:33" x14ac:dyDescent="0.25">
      <c r="A175" s="29" t="s">
        <v>451</v>
      </c>
      <c r="B175" s="31">
        <v>8</v>
      </c>
      <c r="C175" s="34" t="s">
        <v>124</v>
      </c>
      <c r="D175" s="34">
        <v>2018</v>
      </c>
      <c r="E175" s="36">
        <v>0</v>
      </c>
      <c r="F175" s="36">
        <v>5</v>
      </c>
      <c r="G175" s="36">
        <v>432</v>
      </c>
      <c r="H175" s="38">
        <v>1328</v>
      </c>
      <c r="I175" s="36">
        <v>1765</v>
      </c>
      <c r="J175" s="9"/>
      <c r="K175" s="39">
        <f t="shared" ref="K175:M175" si="422">K170*6</f>
        <v>7332</v>
      </c>
      <c r="L175" s="40">
        <f t="shared" si="422"/>
        <v>5868</v>
      </c>
      <c r="M175" s="39">
        <f t="shared" si="422"/>
        <v>16218</v>
      </c>
      <c r="N175" s="9"/>
      <c r="O175" s="39">
        <f t="shared" si="410"/>
        <v>249</v>
      </c>
      <c r="P175" s="40">
        <f t="shared" ref="P175:Q175" si="423">H175+P174</f>
        <v>8230</v>
      </c>
      <c r="Q175" s="39">
        <f t="shared" si="423"/>
        <v>11977</v>
      </c>
      <c r="R175" s="10"/>
      <c r="S175" s="266">
        <f t="shared" ref="S175:U175" si="424">O175/K175</f>
        <v>3.3960720130932896E-2</v>
      </c>
      <c r="T175" s="264">
        <f t="shared" si="424"/>
        <v>1.4025221540558963</v>
      </c>
      <c r="U175" s="264">
        <f t="shared" si="424"/>
        <v>0.73850043161918855</v>
      </c>
      <c r="V175" s="261" t="s">
        <v>451</v>
      </c>
      <c r="X175" s="14">
        <v>21625</v>
      </c>
      <c r="Y175" s="14">
        <v>16218</v>
      </c>
      <c r="Z175" s="258">
        <v>11977</v>
      </c>
      <c r="AA175" s="13"/>
      <c r="AB175" s="258" t="s">
        <v>1356</v>
      </c>
      <c r="AD175" s="258" t="str">
        <f t="shared" si="2"/>
        <v xml:space="preserve"> </v>
      </c>
      <c r="AE175" s="258" t="str">
        <f t="shared" si="3"/>
        <v xml:space="preserve"> </v>
      </c>
      <c r="AF175" s="258" t="str">
        <f t="shared" si="4"/>
        <v xml:space="preserve"> </v>
      </c>
      <c r="AG175" s="258">
        <f t="shared" si="5"/>
        <v>1765</v>
      </c>
    </row>
    <row r="176" spans="1:33" x14ac:dyDescent="0.25">
      <c r="A176" s="29"/>
      <c r="B176" s="31"/>
      <c r="C176" s="34"/>
      <c r="D176" s="34"/>
      <c r="E176" s="36"/>
      <c r="F176" s="36"/>
      <c r="G176" s="36"/>
      <c r="H176" s="38"/>
      <c r="I176" s="36"/>
      <c r="J176" s="9"/>
      <c r="K176" s="39"/>
      <c r="L176" s="40"/>
      <c r="M176" s="39"/>
      <c r="N176" s="9"/>
      <c r="O176" s="39"/>
      <c r="P176" s="40"/>
      <c r="Q176" s="39"/>
      <c r="R176" s="10"/>
      <c r="X176" s="14"/>
      <c r="Y176" s="14" t="s">
        <v>1356</v>
      </c>
      <c r="Z176" s="258" t="s">
        <v>1356</v>
      </c>
      <c r="AA176" s="13"/>
      <c r="AB176" s="258" t="s">
        <v>1356</v>
      </c>
      <c r="AD176" s="258" t="str">
        <f t="shared" si="2"/>
        <v xml:space="preserve"> </v>
      </c>
      <c r="AE176" s="258" t="str">
        <f t="shared" si="3"/>
        <v xml:space="preserve"> </v>
      </c>
      <c r="AF176" s="258" t="str">
        <f t="shared" si="4"/>
        <v xml:space="preserve"> </v>
      </c>
      <c r="AG176" s="258" t="str">
        <f t="shared" si="5"/>
        <v xml:space="preserve"> </v>
      </c>
    </row>
    <row r="177" spans="1:33" x14ac:dyDescent="0.25">
      <c r="A177" s="29" t="s">
        <v>467</v>
      </c>
      <c r="B177" s="31">
        <v>5</v>
      </c>
      <c r="C177" s="34" t="s">
        <v>468</v>
      </c>
      <c r="D177" s="34">
        <v>2016</v>
      </c>
      <c r="E177" s="36">
        <v>0</v>
      </c>
      <c r="F177" s="36">
        <v>0</v>
      </c>
      <c r="G177" s="36">
        <v>4</v>
      </c>
      <c r="H177" s="38">
        <v>34</v>
      </c>
      <c r="I177" s="36">
        <v>38</v>
      </c>
      <c r="J177" s="9"/>
      <c r="K177" s="39">
        <v>5</v>
      </c>
      <c r="L177" s="40">
        <f>ROUND(30/5,0)</f>
        <v>6</v>
      </c>
      <c r="M177" s="39">
        <f>ROUND(70/5,0)</f>
        <v>14</v>
      </c>
      <c r="N177" s="9"/>
      <c r="O177" s="39">
        <f>E177+F177</f>
        <v>0</v>
      </c>
      <c r="P177" s="40">
        <f t="shared" ref="P177:Q177" si="425">H177</f>
        <v>34</v>
      </c>
      <c r="Q177" s="39">
        <f t="shared" si="425"/>
        <v>38</v>
      </c>
      <c r="R177" s="10"/>
      <c r="S177" s="266">
        <f t="shared" ref="S177:U177" si="426">O177/K177</f>
        <v>0</v>
      </c>
      <c r="T177" s="264">
        <f t="shared" si="426"/>
        <v>5.666666666666667</v>
      </c>
      <c r="U177" s="264">
        <f t="shared" si="426"/>
        <v>2.7142857142857144</v>
      </c>
      <c r="X177" s="14"/>
      <c r="Y177" s="14" t="s">
        <v>1356</v>
      </c>
      <c r="Z177" s="258" t="s">
        <v>1356</v>
      </c>
      <c r="AA177" s="13"/>
      <c r="AB177" s="258">
        <v>14</v>
      </c>
      <c r="AD177" s="258" t="str">
        <f t="shared" si="2"/>
        <v xml:space="preserve"> </v>
      </c>
      <c r="AE177" s="258">
        <f t="shared" si="3"/>
        <v>38</v>
      </c>
      <c r="AF177" s="258" t="str">
        <f t="shared" si="4"/>
        <v xml:space="preserve"> </v>
      </c>
      <c r="AG177" s="258" t="str">
        <f t="shared" si="5"/>
        <v xml:space="preserve"> </v>
      </c>
    </row>
    <row r="178" spans="1:33" x14ac:dyDescent="0.25">
      <c r="A178" s="29" t="s">
        <v>467</v>
      </c>
      <c r="B178" s="31">
        <v>5</v>
      </c>
      <c r="C178" s="34" t="s">
        <v>468</v>
      </c>
      <c r="D178" s="34">
        <v>2017</v>
      </c>
      <c r="E178" s="36">
        <v>0</v>
      </c>
      <c r="F178" s="36">
        <v>0</v>
      </c>
      <c r="G178" s="36">
        <v>15</v>
      </c>
      <c r="H178" s="38">
        <v>25</v>
      </c>
      <c r="I178" s="36">
        <v>40</v>
      </c>
      <c r="J178" s="9"/>
      <c r="K178" s="39">
        <f t="shared" ref="K178:M178" si="427">K177*2</f>
        <v>10</v>
      </c>
      <c r="L178" s="40">
        <f t="shared" si="427"/>
        <v>12</v>
      </c>
      <c r="M178" s="39">
        <f t="shared" si="427"/>
        <v>28</v>
      </c>
      <c r="N178" s="9"/>
      <c r="O178" s="39">
        <f t="shared" ref="O178:O179" si="428">E178+F178+O177</f>
        <v>0</v>
      </c>
      <c r="P178" s="40">
        <f t="shared" ref="P178:Q178" si="429">H178+P177</f>
        <v>59</v>
      </c>
      <c r="Q178" s="39">
        <f t="shared" si="429"/>
        <v>78</v>
      </c>
      <c r="R178" s="10"/>
      <c r="S178" s="266">
        <f t="shared" ref="S178:U178" si="430">O178/K178</f>
        <v>0</v>
      </c>
      <c r="T178" s="264">
        <f t="shared" si="430"/>
        <v>4.916666666666667</v>
      </c>
      <c r="U178" s="264">
        <f t="shared" si="430"/>
        <v>2.7857142857142856</v>
      </c>
      <c r="X178" s="14"/>
      <c r="Y178" s="14" t="s">
        <v>1356</v>
      </c>
      <c r="Z178" s="258" t="s">
        <v>1356</v>
      </c>
      <c r="AA178" s="13"/>
      <c r="AB178" s="258" t="s">
        <v>1356</v>
      </c>
      <c r="AD178" s="258" t="str">
        <f t="shared" si="2"/>
        <v xml:space="preserve"> </v>
      </c>
      <c r="AE178" s="258" t="str">
        <f t="shared" si="3"/>
        <v xml:space="preserve"> </v>
      </c>
      <c r="AF178" s="258">
        <f t="shared" si="4"/>
        <v>40</v>
      </c>
      <c r="AG178" s="258" t="str">
        <f t="shared" si="5"/>
        <v xml:space="preserve"> </v>
      </c>
    </row>
    <row r="179" spans="1:33" x14ac:dyDescent="0.25">
      <c r="A179" s="29" t="s">
        <v>467</v>
      </c>
      <c r="B179" s="31">
        <v>5</v>
      </c>
      <c r="C179" s="34" t="s">
        <v>468</v>
      </c>
      <c r="D179" s="34">
        <v>2018</v>
      </c>
      <c r="E179" s="36">
        <v>0</v>
      </c>
      <c r="F179" s="36">
        <v>0</v>
      </c>
      <c r="G179" s="36">
        <v>15</v>
      </c>
      <c r="H179" s="38">
        <v>41</v>
      </c>
      <c r="I179" s="36">
        <v>56</v>
      </c>
      <c r="J179" s="9"/>
      <c r="K179" s="39">
        <f t="shared" ref="K179:M179" si="431">K177*3</f>
        <v>15</v>
      </c>
      <c r="L179" s="40">
        <f t="shared" si="431"/>
        <v>18</v>
      </c>
      <c r="M179" s="39">
        <f t="shared" si="431"/>
        <v>42</v>
      </c>
      <c r="N179" s="9"/>
      <c r="O179" s="39">
        <f t="shared" si="428"/>
        <v>0</v>
      </c>
      <c r="P179" s="40">
        <f t="shared" ref="P179:Q179" si="432">H179+P178</f>
        <v>100</v>
      </c>
      <c r="Q179" s="39">
        <f t="shared" si="432"/>
        <v>134</v>
      </c>
      <c r="R179" s="10"/>
      <c r="S179" s="266">
        <f t="shared" ref="S179:U179" si="433">O179/K179</f>
        <v>0</v>
      </c>
      <c r="T179" s="264">
        <f t="shared" si="433"/>
        <v>5.5555555555555554</v>
      </c>
      <c r="U179" s="264">
        <f t="shared" si="433"/>
        <v>3.1904761904761907</v>
      </c>
      <c r="V179" s="261" t="s">
        <v>467</v>
      </c>
      <c r="X179" s="14">
        <v>70</v>
      </c>
      <c r="Y179" s="14">
        <v>42</v>
      </c>
      <c r="Z179" s="258">
        <v>134</v>
      </c>
      <c r="AA179" s="13"/>
      <c r="AB179" s="258" t="s">
        <v>1356</v>
      </c>
      <c r="AD179" s="258" t="str">
        <f t="shared" si="2"/>
        <v xml:space="preserve"> </v>
      </c>
      <c r="AE179" s="258" t="str">
        <f t="shared" si="3"/>
        <v xml:space="preserve"> </v>
      </c>
      <c r="AF179" s="258" t="str">
        <f t="shared" si="4"/>
        <v xml:space="preserve"> </v>
      </c>
      <c r="AG179" s="258">
        <f t="shared" si="5"/>
        <v>56</v>
      </c>
    </row>
    <row r="180" spans="1:33" x14ac:dyDescent="0.25">
      <c r="A180" s="29"/>
      <c r="B180" s="31"/>
      <c r="C180" s="34"/>
      <c r="D180" s="34"/>
      <c r="E180" s="36"/>
      <c r="F180" s="36"/>
      <c r="G180" s="36"/>
      <c r="H180" s="38"/>
      <c r="I180" s="36"/>
      <c r="J180" s="9"/>
      <c r="K180" s="39"/>
      <c r="L180" s="40"/>
      <c r="M180" s="39"/>
      <c r="N180" s="9"/>
      <c r="O180" s="39"/>
      <c r="P180" s="40"/>
      <c r="Q180" s="39"/>
      <c r="R180" s="10"/>
      <c r="X180" s="14"/>
      <c r="Y180" s="14" t="s">
        <v>1356</v>
      </c>
      <c r="Z180" s="258" t="s">
        <v>1356</v>
      </c>
      <c r="AA180" s="13"/>
      <c r="AB180" s="258" t="s">
        <v>1356</v>
      </c>
      <c r="AD180" s="258" t="str">
        <f t="shared" si="2"/>
        <v xml:space="preserve"> </v>
      </c>
      <c r="AE180" s="258" t="str">
        <f t="shared" si="3"/>
        <v xml:space="preserve"> </v>
      </c>
      <c r="AF180" s="258" t="str">
        <f t="shared" si="4"/>
        <v xml:space="preserve"> </v>
      </c>
      <c r="AG180" s="258" t="str">
        <f t="shared" si="5"/>
        <v xml:space="preserve"> </v>
      </c>
    </row>
    <row r="181" spans="1:33" x14ac:dyDescent="0.25">
      <c r="A181" s="29" t="s">
        <v>481</v>
      </c>
      <c r="B181" s="31">
        <v>8</v>
      </c>
      <c r="C181" s="34" t="s">
        <v>124</v>
      </c>
      <c r="D181" s="34">
        <v>2014</v>
      </c>
      <c r="E181" s="36">
        <v>592</v>
      </c>
      <c r="F181" s="36">
        <v>99</v>
      </c>
      <c r="G181" s="36">
        <v>973</v>
      </c>
      <c r="H181" s="38">
        <v>3708</v>
      </c>
      <c r="I181" s="36">
        <v>5372</v>
      </c>
      <c r="J181" s="9"/>
      <c r="K181" s="39">
        <f>ROUND((24117+16319)/8,0)</f>
        <v>5055</v>
      </c>
      <c r="L181" s="40">
        <f>ROUND(42479/8,0)</f>
        <v>5310</v>
      </c>
      <c r="M181" s="39">
        <f>ROUND(101374/8,0)</f>
        <v>12672</v>
      </c>
      <c r="N181" s="9"/>
      <c r="O181" s="39">
        <f>E181+F181</f>
        <v>691</v>
      </c>
      <c r="P181" s="40">
        <f t="shared" ref="P181:Q181" si="434">H181</f>
        <v>3708</v>
      </c>
      <c r="Q181" s="39">
        <f t="shared" si="434"/>
        <v>5372</v>
      </c>
      <c r="R181" s="10"/>
      <c r="S181" s="266">
        <f t="shared" ref="S181:U181" si="435">O181/K181</f>
        <v>0.13669634025717112</v>
      </c>
      <c r="T181" s="264">
        <f t="shared" si="435"/>
        <v>0.69830508474576269</v>
      </c>
      <c r="U181" s="264">
        <f t="shared" si="435"/>
        <v>0.42392676767676768</v>
      </c>
      <c r="X181" s="14"/>
      <c r="Y181" s="14" t="s">
        <v>1356</v>
      </c>
      <c r="Z181" s="258" t="s">
        <v>1356</v>
      </c>
      <c r="AA181" s="13"/>
      <c r="AB181" s="258">
        <v>12672</v>
      </c>
      <c r="AD181" s="258" t="str">
        <f t="shared" si="2"/>
        <v xml:space="preserve"> </v>
      </c>
      <c r="AE181" s="258" t="str">
        <f t="shared" si="3"/>
        <v xml:space="preserve"> </v>
      </c>
      <c r="AF181" s="258" t="str">
        <f t="shared" si="4"/>
        <v xml:space="preserve"> </v>
      </c>
      <c r="AG181" s="258" t="str">
        <f t="shared" si="5"/>
        <v xml:space="preserve"> </v>
      </c>
    </row>
    <row r="182" spans="1:33" x14ac:dyDescent="0.25">
      <c r="A182" s="29" t="s">
        <v>481</v>
      </c>
      <c r="B182" s="31">
        <v>8</v>
      </c>
      <c r="C182" s="34" t="s">
        <v>124</v>
      </c>
      <c r="D182" s="34">
        <v>2015</v>
      </c>
      <c r="E182" s="36">
        <v>54</v>
      </c>
      <c r="F182" s="36">
        <v>58</v>
      </c>
      <c r="G182" s="36">
        <v>737</v>
      </c>
      <c r="H182" s="38">
        <v>3326</v>
      </c>
      <c r="I182" s="36">
        <v>4175</v>
      </c>
      <c r="J182" s="9"/>
      <c r="K182" s="39">
        <f t="shared" ref="K182:M182" si="436">K181*2</f>
        <v>10110</v>
      </c>
      <c r="L182" s="40">
        <f t="shared" si="436"/>
        <v>10620</v>
      </c>
      <c r="M182" s="39">
        <f t="shared" si="436"/>
        <v>25344</v>
      </c>
      <c r="N182" s="9"/>
      <c r="O182" s="39">
        <f t="shared" ref="O182:O185" si="437">E182+F182+O181</f>
        <v>803</v>
      </c>
      <c r="P182" s="40">
        <f t="shared" ref="P182:Q182" si="438">H182+P181</f>
        <v>7034</v>
      </c>
      <c r="Q182" s="39">
        <f t="shared" si="438"/>
        <v>9547</v>
      </c>
      <c r="R182" s="10"/>
      <c r="S182" s="266">
        <f t="shared" ref="S182:U182" si="439">O182/K182</f>
        <v>7.9426310583580614E-2</v>
      </c>
      <c r="T182" s="264">
        <f t="shared" si="439"/>
        <v>0.66233521657250471</v>
      </c>
      <c r="U182" s="264">
        <f t="shared" si="439"/>
        <v>0.37669665404040403</v>
      </c>
      <c r="X182" s="14"/>
      <c r="Y182" s="14" t="s">
        <v>1356</v>
      </c>
      <c r="Z182" s="258" t="s">
        <v>1356</v>
      </c>
      <c r="AA182" s="13"/>
      <c r="AD182" s="258">
        <f t="shared" si="2"/>
        <v>4175</v>
      </c>
      <c r="AE182" s="258" t="str">
        <f t="shared" si="3"/>
        <v xml:space="preserve"> </v>
      </c>
      <c r="AF182" s="258" t="str">
        <f t="shared" si="4"/>
        <v xml:space="preserve"> </v>
      </c>
      <c r="AG182" s="258" t="str">
        <f t="shared" si="5"/>
        <v xml:space="preserve"> </v>
      </c>
    </row>
    <row r="183" spans="1:33" x14ac:dyDescent="0.25">
      <c r="A183" s="29" t="s">
        <v>481</v>
      </c>
      <c r="B183" s="31">
        <v>8</v>
      </c>
      <c r="C183" s="34" t="s">
        <v>124</v>
      </c>
      <c r="D183" s="34">
        <v>2016</v>
      </c>
      <c r="E183" s="36">
        <v>26</v>
      </c>
      <c r="F183" s="36">
        <v>33</v>
      </c>
      <c r="G183" s="36">
        <v>481</v>
      </c>
      <c r="H183" s="38">
        <v>3697</v>
      </c>
      <c r="I183" s="36">
        <v>4237</v>
      </c>
      <c r="J183" s="9"/>
      <c r="K183" s="39">
        <f>K181*3</f>
        <v>15165</v>
      </c>
      <c r="L183" s="40">
        <f t="shared" ref="L183:M183" si="440">L182*3</f>
        <v>31860</v>
      </c>
      <c r="M183" s="39">
        <f t="shared" si="440"/>
        <v>76032</v>
      </c>
      <c r="N183" s="9"/>
      <c r="O183" s="39">
        <f t="shared" si="437"/>
        <v>862</v>
      </c>
      <c r="P183" s="40">
        <f t="shared" ref="P183:Q183" si="441">H183+P182</f>
        <v>10731</v>
      </c>
      <c r="Q183" s="39">
        <f t="shared" si="441"/>
        <v>13784</v>
      </c>
      <c r="R183" s="10"/>
      <c r="S183" s="266">
        <f t="shared" ref="S183:U183" si="442">O183/K183</f>
        <v>5.6841411144081769E-2</v>
      </c>
      <c r="T183" s="264">
        <f t="shared" si="442"/>
        <v>0.33681732580037665</v>
      </c>
      <c r="U183" s="264">
        <f t="shared" si="442"/>
        <v>0.18129208754208753</v>
      </c>
      <c r="X183" s="14"/>
      <c r="Y183" s="14" t="s">
        <v>1356</v>
      </c>
      <c r="Z183" s="258" t="s">
        <v>1356</v>
      </c>
      <c r="AA183" s="13"/>
      <c r="AB183" s="258" t="s">
        <v>1356</v>
      </c>
      <c r="AD183" s="258" t="str">
        <f t="shared" si="2"/>
        <v xml:space="preserve"> </v>
      </c>
      <c r="AE183" s="258">
        <f t="shared" si="3"/>
        <v>4237</v>
      </c>
      <c r="AF183" s="258" t="str">
        <f t="shared" si="4"/>
        <v xml:space="preserve"> </v>
      </c>
      <c r="AG183" s="258" t="str">
        <f t="shared" si="5"/>
        <v xml:space="preserve"> </v>
      </c>
    </row>
    <row r="184" spans="1:33" x14ac:dyDescent="0.25">
      <c r="A184" s="29" t="s">
        <v>481</v>
      </c>
      <c r="B184" s="31">
        <v>8</v>
      </c>
      <c r="C184" s="34" t="s">
        <v>124</v>
      </c>
      <c r="D184" s="34">
        <v>2017</v>
      </c>
      <c r="E184" s="36">
        <v>175</v>
      </c>
      <c r="F184" s="36">
        <v>55</v>
      </c>
      <c r="G184" s="36">
        <v>1324</v>
      </c>
      <c r="H184" s="38">
        <v>3878</v>
      </c>
      <c r="I184" s="36">
        <v>5432</v>
      </c>
      <c r="J184" s="9"/>
      <c r="K184" s="39">
        <f t="shared" ref="K184:M184" si="443">K181*4</f>
        <v>20220</v>
      </c>
      <c r="L184" s="40">
        <f t="shared" si="443"/>
        <v>21240</v>
      </c>
      <c r="M184" s="39">
        <f t="shared" si="443"/>
        <v>50688</v>
      </c>
      <c r="N184" s="9"/>
      <c r="O184" s="39">
        <f t="shared" si="437"/>
        <v>1092</v>
      </c>
      <c r="P184" s="40">
        <f t="shared" ref="P184:Q184" si="444">H184+P183</f>
        <v>14609</v>
      </c>
      <c r="Q184" s="39">
        <f t="shared" si="444"/>
        <v>19216</v>
      </c>
      <c r="R184" s="10"/>
      <c r="S184" s="266">
        <f t="shared" ref="S184:U184" si="445">O184/K184</f>
        <v>5.400593471810089E-2</v>
      </c>
      <c r="T184" s="264">
        <f t="shared" si="445"/>
        <v>0.68780602636534838</v>
      </c>
      <c r="U184" s="264">
        <f t="shared" si="445"/>
        <v>0.37910353535353536</v>
      </c>
      <c r="X184" s="14"/>
      <c r="Y184" s="14" t="s">
        <v>1356</v>
      </c>
      <c r="Z184" s="258" t="s">
        <v>1356</v>
      </c>
      <c r="AA184" s="13"/>
      <c r="AB184" s="258" t="s">
        <v>1356</v>
      </c>
      <c r="AD184" s="258" t="str">
        <f t="shared" si="2"/>
        <v xml:space="preserve"> </v>
      </c>
      <c r="AE184" s="258" t="str">
        <f t="shared" si="3"/>
        <v xml:space="preserve"> </v>
      </c>
      <c r="AF184" s="258">
        <f t="shared" si="4"/>
        <v>5432</v>
      </c>
      <c r="AG184" s="258" t="str">
        <f t="shared" si="5"/>
        <v xml:space="preserve"> </v>
      </c>
    </row>
    <row r="185" spans="1:33" x14ac:dyDescent="0.25">
      <c r="A185" s="29" t="s">
        <v>481</v>
      </c>
      <c r="B185" s="31">
        <v>8</v>
      </c>
      <c r="C185" s="34" t="s">
        <v>124</v>
      </c>
      <c r="D185" s="34">
        <v>2018</v>
      </c>
      <c r="E185" s="36">
        <v>82</v>
      </c>
      <c r="F185" s="36">
        <v>94</v>
      </c>
      <c r="G185" s="36">
        <v>620</v>
      </c>
      <c r="H185" s="38">
        <v>5362</v>
      </c>
      <c r="I185" s="36">
        <v>6158</v>
      </c>
      <c r="J185" s="9"/>
      <c r="K185" s="39">
        <f t="shared" ref="K185:M185" si="446">K181*5</f>
        <v>25275</v>
      </c>
      <c r="L185" s="40">
        <f t="shared" si="446"/>
        <v>26550</v>
      </c>
      <c r="M185" s="39">
        <f t="shared" si="446"/>
        <v>63360</v>
      </c>
      <c r="N185" s="9"/>
      <c r="O185" s="39">
        <f t="shared" si="437"/>
        <v>1268</v>
      </c>
      <c r="P185" s="40">
        <f t="shared" ref="P185:Q185" si="447">H185+P184</f>
        <v>19971</v>
      </c>
      <c r="Q185" s="39">
        <f t="shared" si="447"/>
        <v>25374</v>
      </c>
      <c r="R185" s="10"/>
      <c r="S185" s="266">
        <f t="shared" ref="S185:U185" si="448">O185/K185</f>
        <v>5.0168150346191889E-2</v>
      </c>
      <c r="T185" s="264">
        <f t="shared" si="448"/>
        <v>0.7522033898305085</v>
      </c>
      <c r="U185" s="264">
        <f t="shared" si="448"/>
        <v>0.40047348484848483</v>
      </c>
      <c r="V185" s="261" t="s">
        <v>481</v>
      </c>
      <c r="X185" s="14">
        <v>101374</v>
      </c>
      <c r="Y185" s="14">
        <v>63360</v>
      </c>
      <c r="Z185" s="258">
        <v>25374</v>
      </c>
      <c r="AA185" s="13"/>
      <c r="AB185" s="258" t="s">
        <v>1356</v>
      </c>
      <c r="AD185" s="258" t="str">
        <f t="shared" si="2"/>
        <v xml:space="preserve"> </v>
      </c>
      <c r="AE185" s="258" t="str">
        <f t="shared" si="3"/>
        <v xml:space="preserve"> </v>
      </c>
      <c r="AF185" s="258" t="str">
        <f t="shared" si="4"/>
        <v xml:space="preserve"> </v>
      </c>
      <c r="AG185" s="258">
        <f t="shared" si="5"/>
        <v>6158</v>
      </c>
    </row>
    <row r="186" spans="1:33" x14ac:dyDescent="0.25">
      <c r="A186" s="46"/>
      <c r="B186" s="47"/>
      <c r="C186" s="32"/>
      <c r="D186" s="32"/>
      <c r="E186" s="48"/>
      <c r="F186" s="48"/>
      <c r="G186" s="48"/>
      <c r="H186" s="49"/>
      <c r="I186" s="48"/>
      <c r="J186" s="50"/>
      <c r="K186" s="51"/>
      <c r="L186" s="52"/>
      <c r="M186" s="51"/>
      <c r="N186" s="50"/>
      <c r="O186" s="51"/>
      <c r="P186" s="52"/>
      <c r="Q186" s="51"/>
      <c r="R186" s="53"/>
      <c r="W186" s="1"/>
      <c r="X186" s="14"/>
      <c r="Y186" s="14" t="s">
        <v>1356</v>
      </c>
      <c r="Z186" s="258" t="s">
        <v>1356</v>
      </c>
      <c r="AA186" s="54"/>
      <c r="AB186" s="258" t="s">
        <v>1356</v>
      </c>
      <c r="AD186" s="258" t="str">
        <f t="shared" si="2"/>
        <v xml:space="preserve"> </v>
      </c>
      <c r="AE186" s="258" t="str">
        <f t="shared" si="3"/>
        <v xml:space="preserve"> </v>
      </c>
      <c r="AF186" s="258" t="str">
        <f t="shared" si="4"/>
        <v xml:space="preserve"> </v>
      </c>
      <c r="AG186" s="258" t="str">
        <f t="shared" si="5"/>
        <v xml:space="preserve"> </v>
      </c>
    </row>
    <row r="187" spans="1:33" x14ac:dyDescent="0.25">
      <c r="A187" s="29" t="s">
        <v>511</v>
      </c>
      <c r="B187" s="31">
        <v>8</v>
      </c>
      <c r="C187" s="34" t="s">
        <v>512</v>
      </c>
      <c r="D187" s="34">
        <v>2014</v>
      </c>
      <c r="E187" s="36">
        <v>151</v>
      </c>
      <c r="F187" s="36">
        <v>139</v>
      </c>
      <c r="G187" s="36">
        <v>260</v>
      </c>
      <c r="H187" s="38">
        <v>1321</v>
      </c>
      <c r="I187" s="36">
        <v>1871</v>
      </c>
      <c r="J187" s="9"/>
      <c r="K187" s="39">
        <f>ROUND((13166+9231)/8,0)</f>
        <v>2800</v>
      </c>
      <c r="L187" s="40">
        <f>ROUND(25131/8,0)</f>
        <v>3141</v>
      </c>
      <c r="M187" s="39">
        <f>ROUND(58386/8,0)</f>
        <v>7298</v>
      </c>
      <c r="N187" s="9"/>
      <c r="O187" s="39">
        <f>E187+F187</f>
        <v>290</v>
      </c>
      <c r="P187" s="40">
        <f t="shared" ref="P187:Q187" si="449">H187</f>
        <v>1321</v>
      </c>
      <c r="Q187" s="39">
        <f t="shared" si="449"/>
        <v>1871</v>
      </c>
      <c r="R187" s="10"/>
      <c r="S187" s="266">
        <f t="shared" ref="S187:U187" si="450">O187/K187</f>
        <v>0.10357142857142858</v>
      </c>
      <c r="T187" s="264">
        <f t="shared" si="450"/>
        <v>0.42056669850366124</v>
      </c>
      <c r="U187" s="264">
        <f t="shared" si="450"/>
        <v>0.25637160865990682</v>
      </c>
      <c r="X187" s="14"/>
      <c r="Y187" s="14" t="s">
        <v>1356</v>
      </c>
      <c r="Z187" s="258" t="s">
        <v>1356</v>
      </c>
      <c r="AA187" s="13"/>
      <c r="AB187" s="258">
        <v>7298</v>
      </c>
      <c r="AD187" s="258" t="str">
        <f t="shared" si="2"/>
        <v xml:space="preserve"> </v>
      </c>
      <c r="AE187" s="258" t="str">
        <f t="shared" si="3"/>
        <v xml:space="preserve"> </v>
      </c>
      <c r="AF187" s="258" t="str">
        <f t="shared" si="4"/>
        <v xml:space="preserve"> </v>
      </c>
      <c r="AG187" s="258" t="str">
        <f t="shared" si="5"/>
        <v xml:space="preserve"> </v>
      </c>
    </row>
    <row r="188" spans="1:33" x14ac:dyDescent="0.25">
      <c r="A188" s="29" t="s">
        <v>511</v>
      </c>
      <c r="B188" s="31">
        <v>8</v>
      </c>
      <c r="C188" s="34" t="s">
        <v>512</v>
      </c>
      <c r="D188" s="34">
        <v>2015</v>
      </c>
      <c r="E188" s="36">
        <v>80</v>
      </c>
      <c r="F188" s="36">
        <v>186</v>
      </c>
      <c r="G188" s="36">
        <v>1063</v>
      </c>
      <c r="H188" s="38">
        <v>1654</v>
      </c>
      <c r="I188" s="36">
        <v>2983</v>
      </c>
      <c r="J188" s="9"/>
      <c r="K188" s="39">
        <f t="shared" ref="K188:M188" si="451">K187*2</f>
        <v>5600</v>
      </c>
      <c r="L188" s="40">
        <f t="shared" si="451"/>
        <v>6282</v>
      </c>
      <c r="M188" s="39">
        <f t="shared" si="451"/>
        <v>14596</v>
      </c>
      <c r="N188" s="9"/>
      <c r="O188" s="39">
        <f t="shared" ref="O188:O191" si="452">E188+F188+O187</f>
        <v>556</v>
      </c>
      <c r="P188" s="40">
        <f t="shared" ref="P188:Q188" si="453">H188+H187</f>
        <v>2975</v>
      </c>
      <c r="Q188" s="39">
        <f t="shared" si="453"/>
        <v>4854</v>
      </c>
      <c r="R188" s="10"/>
      <c r="S188" s="266">
        <f t="shared" ref="S188:U188" si="454">O188/K188</f>
        <v>9.9285714285714283E-2</v>
      </c>
      <c r="T188" s="264">
        <f t="shared" si="454"/>
        <v>0.47357529449219993</v>
      </c>
      <c r="U188" s="264">
        <f t="shared" si="454"/>
        <v>0.33255686489449165</v>
      </c>
      <c r="X188" s="14"/>
      <c r="Y188" s="14" t="s">
        <v>1356</v>
      </c>
      <c r="Z188" s="258" t="s">
        <v>1356</v>
      </c>
      <c r="AA188" s="13"/>
      <c r="AD188" s="258">
        <f t="shared" si="2"/>
        <v>2983</v>
      </c>
      <c r="AE188" s="258" t="str">
        <f t="shared" si="3"/>
        <v xml:space="preserve"> </v>
      </c>
      <c r="AF188" s="258" t="str">
        <f t="shared" si="4"/>
        <v xml:space="preserve"> </v>
      </c>
      <c r="AG188" s="258" t="str">
        <f t="shared" si="5"/>
        <v xml:space="preserve"> </v>
      </c>
    </row>
    <row r="189" spans="1:33" x14ac:dyDescent="0.25">
      <c r="A189" s="29" t="s">
        <v>511</v>
      </c>
      <c r="B189" s="31">
        <v>8</v>
      </c>
      <c r="C189" s="34" t="s">
        <v>512</v>
      </c>
      <c r="D189" s="34">
        <v>2016</v>
      </c>
      <c r="E189" s="36">
        <v>46</v>
      </c>
      <c r="F189" s="36">
        <v>27</v>
      </c>
      <c r="G189" s="36">
        <v>1193</v>
      </c>
      <c r="H189" s="38">
        <v>2099</v>
      </c>
      <c r="I189" s="36">
        <v>3365</v>
      </c>
      <c r="J189" s="9"/>
      <c r="K189" s="39">
        <f t="shared" ref="K189:M189" si="455">K187*3</f>
        <v>8400</v>
      </c>
      <c r="L189" s="40">
        <f t="shared" si="455"/>
        <v>9423</v>
      </c>
      <c r="M189" s="39">
        <f t="shared" si="455"/>
        <v>21894</v>
      </c>
      <c r="N189" s="9"/>
      <c r="O189" s="39">
        <f t="shared" si="452"/>
        <v>629</v>
      </c>
      <c r="P189" s="40">
        <f t="shared" ref="P189:Q189" si="456">H189+H188</f>
        <v>3753</v>
      </c>
      <c r="Q189" s="39">
        <f t="shared" si="456"/>
        <v>6348</v>
      </c>
      <c r="R189" s="10"/>
      <c r="S189" s="266">
        <f t="shared" ref="S189:U189" si="457">O189/K189</f>
        <v>7.4880952380952381E-2</v>
      </c>
      <c r="T189" s="264">
        <f t="shared" si="457"/>
        <v>0.39828080229226359</v>
      </c>
      <c r="U189" s="264">
        <f t="shared" si="457"/>
        <v>0.28994244998629759</v>
      </c>
      <c r="X189" s="14"/>
      <c r="Y189" s="14" t="s">
        <v>1356</v>
      </c>
      <c r="Z189" s="258" t="s">
        <v>1356</v>
      </c>
      <c r="AA189" s="13"/>
      <c r="AB189" s="258" t="s">
        <v>1356</v>
      </c>
      <c r="AD189" s="258" t="str">
        <f t="shared" si="2"/>
        <v xml:space="preserve"> </v>
      </c>
      <c r="AE189" s="258">
        <f t="shared" si="3"/>
        <v>3365</v>
      </c>
      <c r="AF189" s="258" t="str">
        <f t="shared" si="4"/>
        <v xml:space="preserve"> </v>
      </c>
      <c r="AG189" s="258" t="str">
        <f t="shared" si="5"/>
        <v xml:space="preserve"> </v>
      </c>
    </row>
    <row r="190" spans="1:33" x14ac:dyDescent="0.25">
      <c r="A190" s="29" t="s">
        <v>511</v>
      </c>
      <c r="B190" s="31">
        <v>8</v>
      </c>
      <c r="C190" s="34" t="s">
        <v>512</v>
      </c>
      <c r="D190" s="34">
        <v>2017</v>
      </c>
      <c r="E190" s="36">
        <v>92</v>
      </c>
      <c r="F190" s="36">
        <v>65</v>
      </c>
      <c r="G190" s="36">
        <v>2472</v>
      </c>
      <c r="H190" s="38">
        <v>2495</v>
      </c>
      <c r="I190" s="36">
        <v>5124</v>
      </c>
      <c r="J190" s="9"/>
      <c r="K190" s="39">
        <f t="shared" ref="K190:M190" si="458">K187*4</f>
        <v>11200</v>
      </c>
      <c r="L190" s="40">
        <f t="shared" si="458"/>
        <v>12564</v>
      </c>
      <c r="M190" s="39">
        <f t="shared" si="458"/>
        <v>29192</v>
      </c>
      <c r="N190" s="9"/>
      <c r="O190" s="39">
        <f t="shared" si="452"/>
        <v>786</v>
      </c>
      <c r="P190" s="40">
        <f t="shared" ref="P190:Q190" si="459">H190+H189</f>
        <v>4594</v>
      </c>
      <c r="Q190" s="39">
        <f t="shared" si="459"/>
        <v>8489</v>
      </c>
      <c r="R190" s="10"/>
      <c r="S190" s="266">
        <f t="shared" ref="S190:U190" si="460">O190/K190</f>
        <v>7.0178571428571423E-2</v>
      </c>
      <c r="T190" s="264">
        <f t="shared" si="460"/>
        <v>0.36564788283985994</v>
      </c>
      <c r="U190" s="264">
        <f t="shared" si="460"/>
        <v>0.29079884899972597</v>
      </c>
      <c r="X190" s="14"/>
      <c r="Y190" s="14" t="s">
        <v>1356</v>
      </c>
      <c r="Z190" s="258" t="s">
        <v>1356</v>
      </c>
      <c r="AA190" s="13"/>
      <c r="AB190" s="258" t="s">
        <v>1356</v>
      </c>
      <c r="AD190" s="258" t="str">
        <f t="shared" si="2"/>
        <v xml:space="preserve"> </v>
      </c>
      <c r="AE190" s="258" t="str">
        <f t="shared" si="3"/>
        <v xml:space="preserve"> </v>
      </c>
      <c r="AF190" s="258">
        <f t="shared" si="4"/>
        <v>5124</v>
      </c>
      <c r="AG190" s="258" t="str">
        <f t="shared" si="5"/>
        <v xml:space="preserve"> </v>
      </c>
    </row>
    <row r="191" spans="1:33" x14ac:dyDescent="0.25">
      <c r="A191" s="29" t="s">
        <v>511</v>
      </c>
      <c r="B191" s="31">
        <v>8</v>
      </c>
      <c r="C191" s="34" t="s">
        <v>512</v>
      </c>
      <c r="D191" s="34">
        <v>2018</v>
      </c>
      <c r="E191" s="36">
        <v>13</v>
      </c>
      <c r="F191" s="36">
        <v>95</v>
      </c>
      <c r="G191" s="36">
        <v>785</v>
      </c>
      <c r="H191" s="38">
        <v>3642</v>
      </c>
      <c r="I191" s="36">
        <v>4535</v>
      </c>
      <c r="J191" s="9"/>
      <c r="K191" s="39">
        <f t="shared" ref="K191:M191" si="461">K187*5</f>
        <v>14000</v>
      </c>
      <c r="L191" s="40">
        <f t="shared" si="461"/>
        <v>15705</v>
      </c>
      <c r="M191" s="39">
        <f t="shared" si="461"/>
        <v>36490</v>
      </c>
      <c r="N191" s="9"/>
      <c r="O191" s="39">
        <f t="shared" si="452"/>
        <v>894</v>
      </c>
      <c r="P191" s="40">
        <f t="shared" ref="P191:Q191" si="462">H191+H190</f>
        <v>6137</v>
      </c>
      <c r="Q191" s="39">
        <f t="shared" si="462"/>
        <v>9659</v>
      </c>
      <c r="R191" s="10"/>
      <c r="S191" s="266">
        <f t="shared" ref="S191:U191" si="463">O191/K191</f>
        <v>6.3857142857142862E-2</v>
      </c>
      <c r="T191" s="264">
        <f t="shared" si="463"/>
        <v>0.39076727156956381</v>
      </c>
      <c r="U191" s="264">
        <f t="shared" si="463"/>
        <v>0.26470265826253769</v>
      </c>
      <c r="V191" s="261" t="s">
        <v>511</v>
      </c>
      <c r="X191" s="14">
        <v>58386</v>
      </c>
      <c r="Y191" s="14">
        <v>36490</v>
      </c>
      <c r="Z191" s="258">
        <v>9659</v>
      </c>
      <c r="AA191" s="13"/>
      <c r="AB191" s="258" t="s">
        <v>1356</v>
      </c>
      <c r="AD191" s="258" t="str">
        <f t="shared" si="2"/>
        <v xml:space="preserve"> </v>
      </c>
      <c r="AE191" s="258" t="str">
        <f t="shared" si="3"/>
        <v xml:space="preserve"> </v>
      </c>
      <c r="AF191" s="258" t="str">
        <f t="shared" si="4"/>
        <v xml:space="preserve"> </v>
      </c>
      <c r="AG191" s="258">
        <f t="shared" si="5"/>
        <v>4535</v>
      </c>
    </row>
    <row r="192" spans="1:33" x14ac:dyDescent="0.25">
      <c r="A192" s="29"/>
      <c r="B192" s="31"/>
      <c r="C192" s="34"/>
      <c r="D192" s="34"/>
      <c r="E192" s="36"/>
      <c r="F192" s="36"/>
      <c r="G192" s="36"/>
      <c r="H192" s="38"/>
      <c r="I192" s="36"/>
      <c r="J192" s="9"/>
      <c r="K192" s="39"/>
      <c r="L192" s="40"/>
      <c r="M192" s="39"/>
      <c r="N192" s="9"/>
      <c r="O192" s="39"/>
      <c r="P192" s="40"/>
      <c r="Q192" s="39"/>
      <c r="R192" s="10"/>
      <c r="X192" s="14"/>
      <c r="Y192" s="14" t="s">
        <v>1356</v>
      </c>
      <c r="Z192" s="258" t="s">
        <v>1356</v>
      </c>
      <c r="AA192" s="13"/>
      <c r="AB192" s="258" t="s">
        <v>1356</v>
      </c>
      <c r="AD192" s="258" t="str">
        <f t="shared" si="2"/>
        <v xml:space="preserve"> </v>
      </c>
      <c r="AE192" s="258" t="str">
        <f t="shared" si="3"/>
        <v xml:space="preserve"> </v>
      </c>
      <c r="AF192" s="258" t="str">
        <f t="shared" si="4"/>
        <v xml:space="preserve"> </v>
      </c>
      <c r="AG192" s="258" t="str">
        <f t="shared" si="5"/>
        <v xml:space="preserve"> </v>
      </c>
    </row>
    <row r="193" spans="1:33" x14ac:dyDescent="0.25">
      <c r="A193" s="29" t="s">
        <v>530</v>
      </c>
      <c r="B193" s="31">
        <v>8</v>
      </c>
      <c r="C193" s="34" t="s">
        <v>531</v>
      </c>
      <c r="D193" s="34">
        <v>2015</v>
      </c>
      <c r="E193" s="36">
        <v>0</v>
      </c>
      <c r="F193" s="36">
        <v>0</v>
      </c>
      <c r="G193" s="36">
        <v>2</v>
      </c>
      <c r="H193" s="38">
        <v>85</v>
      </c>
      <c r="I193" s="36">
        <v>87</v>
      </c>
      <c r="J193" s="9"/>
      <c r="K193" s="39">
        <v>104</v>
      </c>
      <c r="L193" s="40">
        <v>116</v>
      </c>
      <c r="M193" s="39">
        <v>274</v>
      </c>
      <c r="N193" s="9"/>
      <c r="O193" s="39">
        <f>E193+F193</f>
        <v>0</v>
      </c>
      <c r="P193" s="40">
        <f t="shared" ref="P193:Q193" si="464">H193</f>
        <v>85</v>
      </c>
      <c r="Q193" s="39">
        <f t="shared" si="464"/>
        <v>87</v>
      </c>
      <c r="R193" s="10"/>
      <c r="S193" s="266">
        <f t="shared" ref="S193:U193" si="465">O193/K193</f>
        <v>0</v>
      </c>
      <c r="T193" s="264">
        <f t="shared" si="465"/>
        <v>0.73275862068965514</v>
      </c>
      <c r="U193" s="264">
        <f t="shared" si="465"/>
        <v>0.31751824817518248</v>
      </c>
      <c r="X193" s="14"/>
      <c r="Y193" s="14" t="s">
        <v>1356</v>
      </c>
      <c r="Z193" s="258" t="s">
        <v>1356</v>
      </c>
      <c r="AA193" s="13"/>
      <c r="AB193" s="258">
        <v>274</v>
      </c>
      <c r="AD193" s="258">
        <f t="shared" si="2"/>
        <v>87</v>
      </c>
      <c r="AE193" s="258" t="str">
        <f t="shared" si="3"/>
        <v xml:space="preserve"> </v>
      </c>
      <c r="AF193" s="258" t="str">
        <f t="shared" si="4"/>
        <v xml:space="preserve"> </v>
      </c>
      <c r="AG193" s="258" t="str">
        <f t="shared" si="5"/>
        <v xml:space="preserve"> </v>
      </c>
    </row>
    <row r="194" spans="1:33" x14ac:dyDescent="0.25">
      <c r="A194" s="29" t="s">
        <v>530</v>
      </c>
      <c r="B194" s="31">
        <v>8</v>
      </c>
      <c r="C194" s="34" t="s">
        <v>531</v>
      </c>
      <c r="D194" s="34">
        <v>2016</v>
      </c>
      <c r="E194" s="36">
        <v>0</v>
      </c>
      <c r="F194" s="36">
        <v>0</v>
      </c>
      <c r="G194" s="36">
        <v>12</v>
      </c>
      <c r="H194" s="38">
        <v>148</v>
      </c>
      <c r="I194" s="36">
        <v>160</v>
      </c>
      <c r="J194" s="9"/>
      <c r="K194" s="39">
        <f t="shared" ref="K194:M194" si="466">K193*2</f>
        <v>208</v>
      </c>
      <c r="L194" s="40">
        <f t="shared" si="466"/>
        <v>232</v>
      </c>
      <c r="M194" s="39">
        <f t="shared" si="466"/>
        <v>548</v>
      </c>
      <c r="N194" s="9"/>
      <c r="O194" s="39">
        <f t="shared" ref="O194:O196" si="467">E194+F194+O193</f>
        <v>0</v>
      </c>
      <c r="P194" s="40">
        <f t="shared" ref="P194:Q194" si="468">H194+P193</f>
        <v>233</v>
      </c>
      <c r="Q194" s="39">
        <f t="shared" si="468"/>
        <v>247</v>
      </c>
      <c r="R194" s="10"/>
      <c r="S194" s="266">
        <f t="shared" ref="S194:U194" si="469">O194/K194</f>
        <v>0</v>
      </c>
      <c r="T194" s="264">
        <f t="shared" si="469"/>
        <v>1.0043103448275863</v>
      </c>
      <c r="U194" s="264">
        <f t="shared" si="469"/>
        <v>0.45072992700729925</v>
      </c>
      <c r="X194" s="14"/>
      <c r="Y194" s="14" t="s">
        <v>1356</v>
      </c>
      <c r="Z194" s="258" t="s">
        <v>1356</v>
      </c>
      <c r="AA194" s="13"/>
      <c r="AB194" s="258" t="s">
        <v>1356</v>
      </c>
      <c r="AD194" s="258" t="str">
        <f t="shared" si="2"/>
        <v xml:space="preserve"> </v>
      </c>
      <c r="AE194" s="258">
        <f t="shared" si="3"/>
        <v>160</v>
      </c>
      <c r="AF194" s="258" t="str">
        <f t="shared" si="4"/>
        <v xml:space="preserve"> </v>
      </c>
      <c r="AG194" s="258" t="str">
        <f t="shared" si="5"/>
        <v xml:space="preserve"> </v>
      </c>
    </row>
    <row r="195" spans="1:33" x14ac:dyDescent="0.25">
      <c r="A195" s="29" t="s">
        <v>530</v>
      </c>
      <c r="B195" s="31">
        <v>8</v>
      </c>
      <c r="C195" s="34" t="s">
        <v>531</v>
      </c>
      <c r="D195" s="34">
        <v>2017</v>
      </c>
      <c r="E195" s="36">
        <v>0</v>
      </c>
      <c r="F195" s="36">
        <v>0</v>
      </c>
      <c r="G195" s="36">
        <v>91</v>
      </c>
      <c r="H195" s="38">
        <v>315</v>
      </c>
      <c r="I195" s="36">
        <v>406</v>
      </c>
      <c r="J195" s="9"/>
      <c r="K195" s="39">
        <f t="shared" ref="K195:M195" si="470">K193*3</f>
        <v>312</v>
      </c>
      <c r="L195" s="40">
        <f t="shared" si="470"/>
        <v>348</v>
      </c>
      <c r="M195" s="39">
        <f t="shared" si="470"/>
        <v>822</v>
      </c>
      <c r="N195" s="9"/>
      <c r="O195" s="39">
        <f t="shared" si="467"/>
        <v>0</v>
      </c>
      <c r="P195" s="40">
        <f t="shared" ref="P195:Q195" si="471">H195+P194</f>
        <v>548</v>
      </c>
      <c r="Q195" s="39">
        <f t="shared" si="471"/>
        <v>653</v>
      </c>
      <c r="R195" s="10"/>
      <c r="S195" s="266">
        <f t="shared" ref="S195:U195" si="472">O195/K195</f>
        <v>0</v>
      </c>
      <c r="T195" s="264">
        <f t="shared" si="472"/>
        <v>1.5747126436781609</v>
      </c>
      <c r="U195" s="264">
        <f t="shared" si="472"/>
        <v>0.7944038929440389</v>
      </c>
      <c r="X195" s="14"/>
      <c r="Y195" s="14" t="s">
        <v>1356</v>
      </c>
      <c r="Z195" s="258" t="s">
        <v>1356</v>
      </c>
      <c r="AA195" s="13"/>
      <c r="AB195" s="258" t="s">
        <v>1356</v>
      </c>
      <c r="AD195" s="258" t="str">
        <f t="shared" si="2"/>
        <v xml:space="preserve"> </v>
      </c>
      <c r="AE195" s="258" t="str">
        <f t="shared" si="3"/>
        <v xml:space="preserve"> </v>
      </c>
      <c r="AF195" s="258">
        <f t="shared" si="4"/>
        <v>406</v>
      </c>
      <c r="AG195" s="258" t="str">
        <f t="shared" si="5"/>
        <v xml:space="preserve"> </v>
      </c>
    </row>
    <row r="196" spans="1:33" x14ac:dyDescent="0.25">
      <c r="A196" s="29" t="s">
        <v>530</v>
      </c>
      <c r="B196" s="31">
        <v>8</v>
      </c>
      <c r="C196" s="34" t="s">
        <v>531</v>
      </c>
      <c r="D196" s="34">
        <v>2018</v>
      </c>
      <c r="E196" s="36">
        <v>0</v>
      </c>
      <c r="F196" s="36">
        <v>0</v>
      </c>
      <c r="G196" s="36">
        <v>2</v>
      </c>
      <c r="H196" s="38">
        <v>264</v>
      </c>
      <c r="I196" s="36">
        <v>266</v>
      </c>
      <c r="J196" s="9"/>
      <c r="K196" s="39">
        <f t="shared" ref="K196:M196" si="473">K193*4</f>
        <v>416</v>
      </c>
      <c r="L196" s="40">
        <f t="shared" si="473"/>
        <v>464</v>
      </c>
      <c r="M196" s="39">
        <f t="shared" si="473"/>
        <v>1096</v>
      </c>
      <c r="N196" s="9"/>
      <c r="O196" s="39">
        <f t="shared" si="467"/>
        <v>0</v>
      </c>
      <c r="P196" s="40">
        <f t="shared" ref="P196:Q196" si="474">H196+P195</f>
        <v>812</v>
      </c>
      <c r="Q196" s="39">
        <f t="shared" si="474"/>
        <v>919</v>
      </c>
      <c r="R196" s="10"/>
      <c r="S196" s="266">
        <f t="shared" ref="S196:U196" si="475">O196/K196</f>
        <v>0</v>
      </c>
      <c r="T196" s="264">
        <f t="shared" si="475"/>
        <v>1.75</v>
      </c>
      <c r="U196" s="264">
        <f t="shared" si="475"/>
        <v>0.83850364963503654</v>
      </c>
      <c r="V196" s="261" t="s">
        <v>530</v>
      </c>
      <c r="X196" s="14">
        <v>2194</v>
      </c>
      <c r="Y196" s="14">
        <v>1096</v>
      </c>
      <c r="Z196" s="258">
        <v>919</v>
      </c>
      <c r="AA196" s="13"/>
      <c r="AB196" s="258" t="s">
        <v>1356</v>
      </c>
      <c r="AD196" s="258" t="str">
        <f t="shared" si="2"/>
        <v xml:space="preserve"> </v>
      </c>
      <c r="AE196" s="258" t="str">
        <f t="shared" si="3"/>
        <v xml:space="preserve"> </v>
      </c>
      <c r="AF196" s="258" t="str">
        <f t="shared" si="4"/>
        <v xml:space="preserve"> </v>
      </c>
      <c r="AG196" s="258">
        <f t="shared" si="5"/>
        <v>266</v>
      </c>
    </row>
    <row r="197" spans="1:33" x14ac:dyDescent="0.25">
      <c r="A197" s="46"/>
      <c r="B197" s="47"/>
      <c r="C197" s="32"/>
      <c r="D197" s="32"/>
      <c r="E197" s="48"/>
      <c r="F197" s="48"/>
      <c r="G197" s="48"/>
      <c r="H197" s="49"/>
      <c r="I197" s="48"/>
      <c r="J197" s="50"/>
      <c r="K197" s="51"/>
      <c r="L197" s="52"/>
      <c r="M197" s="51"/>
      <c r="N197" s="50"/>
      <c r="O197" s="51"/>
      <c r="P197" s="52"/>
      <c r="Q197" s="51"/>
      <c r="R197" s="53"/>
      <c r="W197" s="1"/>
      <c r="X197" s="14"/>
      <c r="Y197" s="14" t="s">
        <v>1356</v>
      </c>
      <c r="Z197" s="258" t="s">
        <v>1356</v>
      </c>
      <c r="AA197" s="54"/>
      <c r="AB197" s="258" t="s">
        <v>1356</v>
      </c>
      <c r="AD197" s="258" t="str">
        <f t="shared" si="2"/>
        <v xml:space="preserve"> </v>
      </c>
      <c r="AE197" s="258" t="str">
        <f t="shared" si="3"/>
        <v xml:space="preserve"> </v>
      </c>
      <c r="AF197" s="258" t="str">
        <f t="shared" si="4"/>
        <v xml:space="preserve"> </v>
      </c>
      <c r="AG197" s="258" t="str">
        <f t="shared" si="5"/>
        <v xml:space="preserve"> </v>
      </c>
    </row>
    <row r="198" spans="1:33" x14ac:dyDescent="0.25">
      <c r="A198" s="29" t="s">
        <v>542</v>
      </c>
      <c r="B198" s="31">
        <v>8</v>
      </c>
      <c r="C198" s="34" t="s">
        <v>124</v>
      </c>
      <c r="D198" s="34">
        <v>2015</v>
      </c>
      <c r="E198" s="36">
        <v>193</v>
      </c>
      <c r="F198" s="36">
        <v>421</v>
      </c>
      <c r="G198" s="36">
        <v>255</v>
      </c>
      <c r="H198" s="38">
        <v>2222</v>
      </c>
      <c r="I198" s="36">
        <v>3091</v>
      </c>
      <c r="J198" s="9"/>
      <c r="K198" s="39">
        <f>ROUND((13399+9265)/8,0)</f>
        <v>2833</v>
      </c>
      <c r="L198" s="40">
        <f>ROUND(24053/8,0)</f>
        <v>3007</v>
      </c>
      <c r="M198" s="39">
        <f>ROUND(57207/8,0)</f>
        <v>7151</v>
      </c>
      <c r="N198" s="9"/>
      <c r="O198" s="39">
        <f>E198+F198</f>
        <v>614</v>
      </c>
      <c r="P198" s="40">
        <f t="shared" ref="P198:Q198" si="476">H198</f>
        <v>2222</v>
      </c>
      <c r="Q198" s="39">
        <f t="shared" si="476"/>
        <v>3091</v>
      </c>
      <c r="R198" s="10"/>
      <c r="S198" s="266">
        <f t="shared" ref="S198:U198" si="477">O198/K198</f>
        <v>0.21673138016237203</v>
      </c>
      <c r="T198" s="264">
        <f t="shared" si="477"/>
        <v>0.73894246757565685</v>
      </c>
      <c r="U198" s="264">
        <f t="shared" si="477"/>
        <v>0.43224723814851068</v>
      </c>
      <c r="X198" s="14"/>
      <c r="Y198" s="14" t="s">
        <v>1356</v>
      </c>
      <c r="Z198" s="258" t="s">
        <v>1356</v>
      </c>
      <c r="AA198" s="13"/>
      <c r="AB198" s="258">
        <v>7151</v>
      </c>
      <c r="AD198" s="258">
        <f t="shared" si="2"/>
        <v>3091</v>
      </c>
      <c r="AE198" s="258" t="str">
        <f t="shared" si="3"/>
        <v xml:space="preserve"> </v>
      </c>
      <c r="AF198" s="258" t="str">
        <f t="shared" si="4"/>
        <v xml:space="preserve"> </v>
      </c>
      <c r="AG198" s="258" t="str">
        <f t="shared" si="5"/>
        <v xml:space="preserve"> </v>
      </c>
    </row>
    <row r="199" spans="1:33" x14ac:dyDescent="0.25">
      <c r="A199" s="29" t="s">
        <v>542</v>
      </c>
      <c r="B199" s="31">
        <v>8</v>
      </c>
      <c r="C199" s="34" t="s">
        <v>124</v>
      </c>
      <c r="D199" s="34">
        <v>2016</v>
      </c>
      <c r="E199" s="36">
        <v>33</v>
      </c>
      <c r="F199" s="36">
        <v>395</v>
      </c>
      <c r="G199" s="36">
        <v>935</v>
      </c>
      <c r="H199" s="38">
        <v>2069</v>
      </c>
      <c r="I199" s="36">
        <v>3432</v>
      </c>
      <c r="J199" s="9"/>
      <c r="K199" s="39">
        <f t="shared" ref="K199:M199" si="478">K198*2</f>
        <v>5666</v>
      </c>
      <c r="L199" s="40">
        <f t="shared" si="478"/>
        <v>6014</v>
      </c>
      <c r="M199" s="39">
        <f t="shared" si="478"/>
        <v>14302</v>
      </c>
      <c r="N199" s="9"/>
      <c r="O199" s="39">
        <f t="shared" ref="O199:O201" si="479">E199+F199+O198</f>
        <v>1042</v>
      </c>
      <c r="P199" s="40">
        <f t="shared" ref="P199:Q199" si="480">H199+P198</f>
        <v>4291</v>
      </c>
      <c r="Q199" s="39">
        <f t="shared" si="480"/>
        <v>6523</v>
      </c>
      <c r="R199" s="10"/>
      <c r="S199" s="266">
        <f t="shared" ref="S199:U199" si="481">O199/K199</f>
        <v>0.18390398870455349</v>
      </c>
      <c r="T199" s="264">
        <f t="shared" si="481"/>
        <v>0.71350182906551385</v>
      </c>
      <c r="U199" s="264">
        <f t="shared" si="481"/>
        <v>0.45609005733463853</v>
      </c>
      <c r="X199" s="14"/>
      <c r="Y199" s="14" t="s">
        <v>1356</v>
      </c>
      <c r="Z199" s="258" t="s">
        <v>1356</v>
      </c>
      <c r="AA199" s="13"/>
      <c r="AB199" s="258" t="s">
        <v>1356</v>
      </c>
      <c r="AD199" s="258" t="str">
        <f t="shared" si="2"/>
        <v xml:space="preserve"> </v>
      </c>
      <c r="AE199" s="258">
        <f t="shared" si="3"/>
        <v>3432</v>
      </c>
      <c r="AF199" s="258" t="str">
        <f t="shared" si="4"/>
        <v xml:space="preserve"> </v>
      </c>
      <c r="AG199" s="258" t="str">
        <f t="shared" si="5"/>
        <v xml:space="preserve"> </v>
      </c>
    </row>
    <row r="200" spans="1:33" x14ac:dyDescent="0.25">
      <c r="A200" s="29" t="s">
        <v>542</v>
      </c>
      <c r="B200" s="31">
        <v>8</v>
      </c>
      <c r="C200" s="34" t="s">
        <v>124</v>
      </c>
      <c r="D200" s="34">
        <v>2017</v>
      </c>
      <c r="E200" s="36">
        <v>69</v>
      </c>
      <c r="F200" s="36">
        <v>64</v>
      </c>
      <c r="G200" s="36">
        <v>1390</v>
      </c>
      <c r="H200" s="38">
        <v>3552</v>
      </c>
      <c r="I200" s="36">
        <v>5075</v>
      </c>
      <c r="J200" s="9"/>
      <c r="K200" s="39">
        <f t="shared" ref="K200:M200" si="482">K198*3</f>
        <v>8499</v>
      </c>
      <c r="L200" s="40">
        <f t="shared" si="482"/>
        <v>9021</v>
      </c>
      <c r="M200" s="39">
        <f t="shared" si="482"/>
        <v>21453</v>
      </c>
      <c r="N200" s="9"/>
      <c r="O200" s="39">
        <f t="shared" si="479"/>
        <v>1175</v>
      </c>
      <c r="P200" s="40">
        <f t="shared" ref="P200:Q200" si="483">H200+P199</f>
        <v>7843</v>
      </c>
      <c r="Q200" s="39">
        <f t="shared" si="483"/>
        <v>11598</v>
      </c>
      <c r="R200" s="10"/>
      <c r="S200" s="266">
        <f t="shared" ref="S200:U200" si="484">O200/K200</f>
        <v>0.138251559006942</v>
      </c>
      <c r="T200" s="264">
        <f t="shared" si="484"/>
        <v>0.86941580756013748</v>
      </c>
      <c r="U200" s="264">
        <f t="shared" si="484"/>
        <v>0.54062368899454627</v>
      </c>
      <c r="X200" s="14"/>
      <c r="Y200" s="14" t="s">
        <v>1356</v>
      </c>
      <c r="Z200" s="258" t="s">
        <v>1356</v>
      </c>
      <c r="AA200" s="13"/>
      <c r="AB200" s="258" t="s">
        <v>1356</v>
      </c>
      <c r="AD200" s="258" t="str">
        <f t="shared" si="2"/>
        <v xml:space="preserve"> </v>
      </c>
      <c r="AE200" s="258" t="str">
        <f t="shared" si="3"/>
        <v xml:space="preserve"> </v>
      </c>
      <c r="AF200" s="258">
        <f t="shared" si="4"/>
        <v>5075</v>
      </c>
      <c r="AG200" s="258" t="str">
        <f t="shared" si="5"/>
        <v xml:space="preserve"> </v>
      </c>
    </row>
    <row r="201" spans="1:33" x14ac:dyDescent="0.25">
      <c r="A201" s="29" t="s">
        <v>542</v>
      </c>
      <c r="B201" s="31">
        <v>8</v>
      </c>
      <c r="C201" s="34" t="s">
        <v>124</v>
      </c>
      <c r="D201" s="34">
        <v>2018</v>
      </c>
      <c r="E201" s="36">
        <v>107</v>
      </c>
      <c r="F201" s="36">
        <v>170</v>
      </c>
      <c r="G201" s="36">
        <v>159</v>
      </c>
      <c r="H201" s="38">
        <v>3269</v>
      </c>
      <c r="I201" s="36">
        <v>3705</v>
      </c>
      <c r="J201" s="9"/>
      <c r="K201" s="39">
        <f t="shared" ref="K201:M201" si="485">K198*4</f>
        <v>11332</v>
      </c>
      <c r="L201" s="40">
        <f t="shared" si="485"/>
        <v>12028</v>
      </c>
      <c r="M201" s="39">
        <f t="shared" si="485"/>
        <v>28604</v>
      </c>
      <c r="N201" s="9"/>
      <c r="O201" s="39">
        <f t="shared" si="479"/>
        <v>1452</v>
      </c>
      <c r="P201" s="40">
        <f t="shared" ref="P201:Q201" si="486">H201+P200</f>
        <v>11112</v>
      </c>
      <c r="Q201" s="39">
        <f t="shared" si="486"/>
        <v>15303</v>
      </c>
      <c r="R201" s="10"/>
      <c r="S201" s="266">
        <f t="shared" ref="S201:U201" si="487">O201/K201</f>
        <v>0.12813272149664667</v>
      </c>
      <c r="T201" s="264">
        <f t="shared" si="487"/>
        <v>0.92384436315264384</v>
      </c>
      <c r="U201" s="264">
        <f t="shared" si="487"/>
        <v>0.53499510557963925</v>
      </c>
      <c r="V201" s="261" t="s">
        <v>542</v>
      </c>
      <c r="X201" s="14">
        <v>57207</v>
      </c>
      <c r="Y201" s="14">
        <v>28604</v>
      </c>
      <c r="Z201" s="258">
        <v>15303</v>
      </c>
      <c r="AA201" s="13"/>
      <c r="AB201" s="258" t="s">
        <v>1356</v>
      </c>
      <c r="AD201" s="258" t="str">
        <f t="shared" si="2"/>
        <v xml:space="preserve"> </v>
      </c>
      <c r="AE201" s="258" t="str">
        <f t="shared" si="3"/>
        <v xml:space="preserve"> </v>
      </c>
      <c r="AF201" s="258" t="str">
        <f t="shared" si="4"/>
        <v xml:space="preserve"> </v>
      </c>
      <c r="AG201" s="258">
        <f t="shared" si="5"/>
        <v>3705</v>
      </c>
    </row>
    <row r="202" spans="1:33" x14ac:dyDescent="0.25">
      <c r="A202" s="29"/>
      <c r="B202" s="31"/>
      <c r="C202" s="34"/>
      <c r="D202" s="34"/>
      <c r="E202" s="36"/>
      <c r="F202" s="36"/>
      <c r="G202" s="36"/>
      <c r="H202" s="38"/>
      <c r="I202" s="36"/>
      <c r="J202" s="9"/>
      <c r="K202" s="41"/>
      <c r="L202" s="40"/>
      <c r="M202" s="39"/>
      <c r="N202" s="9"/>
      <c r="O202" s="39"/>
      <c r="P202" s="40"/>
      <c r="Q202" s="39"/>
      <c r="R202" s="10"/>
      <c r="X202" s="14"/>
      <c r="Y202" s="14" t="s">
        <v>1356</v>
      </c>
      <c r="Z202" s="258" t="s">
        <v>1356</v>
      </c>
      <c r="AA202" s="13"/>
      <c r="AB202" s="258" t="s">
        <v>1356</v>
      </c>
      <c r="AD202" s="258" t="str">
        <f t="shared" si="2"/>
        <v xml:space="preserve"> </v>
      </c>
      <c r="AE202" s="258" t="str">
        <f t="shared" si="3"/>
        <v xml:space="preserve"> </v>
      </c>
      <c r="AF202" s="258" t="str">
        <f t="shared" si="4"/>
        <v xml:space="preserve"> </v>
      </c>
      <c r="AG202" s="258" t="str">
        <f t="shared" si="5"/>
        <v xml:space="preserve"> </v>
      </c>
    </row>
    <row r="203" spans="1:33" x14ac:dyDescent="0.25">
      <c r="A203" s="29" t="s">
        <v>557</v>
      </c>
      <c r="B203" s="31">
        <v>8</v>
      </c>
      <c r="C203" s="34" t="s">
        <v>558</v>
      </c>
      <c r="D203" s="34">
        <v>2013</v>
      </c>
      <c r="E203" s="36">
        <v>1471</v>
      </c>
      <c r="F203" s="36">
        <v>1842</v>
      </c>
      <c r="G203" s="36">
        <v>1173</v>
      </c>
      <c r="H203" s="38">
        <v>16310</v>
      </c>
      <c r="I203" s="36">
        <v>20796</v>
      </c>
      <c r="J203" s="9"/>
      <c r="K203" s="41">
        <f>ROUND((36450+27700)/8,0)</f>
        <v>8019</v>
      </c>
      <c r="L203" s="40">
        <f>ROUND(H203/8,0)</f>
        <v>2039</v>
      </c>
      <c r="M203" s="39">
        <f>ROUND(161980/8,0)</f>
        <v>20248</v>
      </c>
      <c r="N203" s="9"/>
      <c r="O203" s="39">
        <f>E203+F203</f>
        <v>3313</v>
      </c>
      <c r="P203" s="40">
        <f t="shared" ref="P203:Q203" si="488">H203</f>
        <v>16310</v>
      </c>
      <c r="Q203" s="39">
        <f t="shared" si="488"/>
        <v>20796</v>
      </c>
      <c r="R203" s="10"/>
      <c r="S203" s="266">
        <f t="shared" ref="S203:U203" si="489">O203/K203</f>
        <v>0.41314378351415387</v>
      </c>
      <c r="T203" s="264">
        <f t="shared" si="489"/>
        <v>7.9990191270230504</v>
      </c>
      <c r="U203" s="264">
        <f t="shared" si="489"/>
        <v>1.0270644014223627</v>
      </c>
      <c r="X203" s="14"/>
      <c r="Y203" s="14" t="s">
        <v>1356</v>
      </c>
      <c r="Z203" s="258" t="s">
        <v>1356</v>
      </c>
      <c r="AA203" s="13"/>
      <c r="AB203" s="258">
        <v>20248</v>
      </c>
      <c r="AD203" s="258" t="str">
        <f t="shared" si="2"/>
        <v xml:space="preserve"> </v>
      </c>
      <c r="AE203" s="258" t="str">
        <f t="shared" si="3"/>
        <v xml:space="preserve"> </v>
      </c>
      <c r="AF203" s="258" t="str">
        <f t="shared" si="4"/>
        <v xml:space="preserve"> </v>
      </c>
      <c r="AG203" s="258" t="str">
        <f t="shared" si="5"/>
        <v xml:space="preserve"> </v>
      </c>
    </row>
    <row r="204" spans="1:33" x14ac:dyDescent="0.25">
      <c r="A204" s="29" t="s">
        <v>557</v>
      </c>
      <c r="B204" s="31">
        <v>8</v>
      </c>
      <c r="C204" s="34" t="s">
        <v>558</v>
      </c>
      <c r="D204" s="34">
        <v>2014</v>
      </c>
      <c r="E204" s="36">
        <v>302</v>
      </c>
      <c r="F204" s="36">
        <v>367</v>
      </c>
      <c r="G204" s="36">
        <v>174</v>
      </c>
      <c r="H204" s="38">
        <v>5488</v>
      </c>
      <c r="I204" s="36">
        <v>6331</v>
      </c>
      <c r="J204" s="9"/>
      <c r="K204" s="39">
        <f t="shared" ref="K204:M204" si="490">K203*2</f>
        <v>16038</v>
      </c>
      <c r="L204" s="40">
        <f t="shared" si="490"/>
        <v>4078</v>
      </c>
      <c r="M204" s="39">
        <f t="shared" si="490"/>
        <v>40496</v>
      </c>
      <c r="N204" s="9"/>
      <c r="O204" s="39">
        <f t="shared" ref="O204:O208" si="491">E204+F204+O203</f>
        <v>3982</v>
      </c>
      <c r="P204" s="40">
        <f t="shared" ref="P204:Q204" si="492">H204+P203</f>
        <v>21798</v>
      </c>
      <c r="Q204" s="39">
        <f t="shared" si="492"/>
        <v>27127</v>
      </c>
      <c r="R204" s="10"/>
      <c r="S204" s="266">
        <f t="shared" ref="S204:U204" si="493">O204/K204</f>
        <v>0.24828532235939643</v>
      </c>
      <c r="T204" s="264">
        <f t="shared" si="493"/>
        <v>5.3452672878862186</v>
      </c>
      <c r="U204" s="264">
        <f t="shared" si="493"/>
        <v>0.66986862900039512</v>
      </c>
      <c r="X204" s="14"/>
      <c r="Y204" s="14" t="s">
        <v>1356</v>
      </c>
      <c r="Z204" s="258" t="s">
        <v>1356</v>
      </c>
      <c r="AA204" s="13"/>
      <c r="AB204" s="258" t="s">
        <v>1356</v>
      </c>
      <c r="AD204" s="258" t="str">
        <f t="shared" si="2"/>
        <v xml:space="preserve"> </v>
      </c>
      <c r="AE204" s="258" t="str">
        <f t="shared" si="3"/>
        <v xml:space="preserve"> </v>
      </c>
      <c r="AF204" s="258" t="str">
        <f t="shared" si="4"/>
        <v xml:space="preserve"> </v>
      </c>
      <c r="AG204" s="258" t="str">
        <f t="shared" si="5"/>
        <v xml:space="preserve"> </v>
      </c>
    </row>
    <row r="205" spans="1:33" x14ac:dyDescent="0.25">
      <c r="A205" s="29" t="s">
        <v>557</v>
      </c>
      <c r="B205" s="31">
        <v>8</v>
      </c>
      <c r="C205" s="34" t="s">
        <v>558</v>
      </c>
      <c r="D205" s="34">
        <v>2015</v>
      </c>
      <c r="E205" s="36">
        <v>318</v>
      </c>
      <c r="F205" s="36">
        <v>555</v>
      </c>
      <c r="G205" s="36">
        <v>278</v>
      </c>
      <c r="H205" s="38">
        <v>7222</v>
      </c>
      <c r="I205" s="36">
        <v>8373</v>
      </c>
      <c r="J205" s="9"/>
      <c r="K205" s="39">
        <f t="shared" ref="K205:M205" si="494">K203*3</f>
        <v>24057</v>
      </c>
      <c r="L205" s="40">
        <f t="shared" si="494"/>
        <v>6117</v>
      </c>
      <c r="M205" s="39">
        <f t="shared" si="494"/>
        <v>60744</v>
      </c>
      <c r="N205" s="9"/>
      <c r="O205" s="39">
        <f t="shared" si="491"/>
        <v>4855</v>
      </c>
      <c r="P205" s="40">
        <f t="shared" ref="P205:Q205" si="495">H205+P204</f>
        <v>29020</v>
      </c>
      <c r="Q205" s="39">
        <f t="shared" si="495"/>
        <v>35500</v>
      </c>
      <c r="R205" s="10"/>
      <c r="S205" s="266">
        <f t="shared" ref="S205:U205" si="496">O205/K205</f>
        <v>0.20181236230618946</v>
      </c>
      <c r="T205" s="264">
        <f t="shared" si="496"/>
        <v>4.7441556318456763</v>
      </c>
      <c r="U205" s="264">
        <f t="shared" si="496"/>
        <v>0.58441986039773475</v>
      </c>
      <c r="X205" s="14"/>
      <c r="Y205" s="14" t="s">
        <v>1356</v>
      </c>
      <c r="Z205" s="258" t="s">
        <v>1356</v>
      </c>
      <c r="AA205" s="13"/>
      <c r="AD205" s="258">
        <f t="shared" si="2"/>
        <v>8373</v>
      </c>
      <c r="AE205" s="258" t="str">
        <f t="shared" si="3"/>
        <v xml:space="preserve"> </v>
      </c>
      <c r="AF205" s="258" t="str">
        <f t="shared" si="4"/>
        <v xml:space="preserve"> </v>
      </c>
      <c r="AG205" s="258" t="str">
        <f t="shared" si="5"/>
        <v xml:space="preserve"> </v>
      </c>
    </row>
    <row r="206" spans="1:33" x14ac:dyDescent="0.25">
      <c r="A206" s="29" t="s">
        <v>557</v>
      </c>
      <c r="B206" s="31">
        <v>8</v>
      </c>
      <c r="C206" s="34" t="s">
        <v>558</v>
      </c>
      <c r="D206" s="34">
        <v>2016</v>
      </c>
      <c r="E206" s="36">
        <v>178</v>
      </c>
      <c r="F206" s="36">
        <v>639</v>
      </c>
      <c r="G206" s="36">
        <v>316</v>
      </c>
      <c r="H206" s="38">
        <v>9666</v>
      </c>
      <c r="I206" s="36">
        <f>E206+F206+G206+H206</f>
        <v>10799</v>
      </c>
      <c r="J206" s="9"/>
      <c r="K206" s="39">
        <f t="shared" ref="K206:M206" si="497">K203*4</f>
        <v>32076</v>
      </c>
      <c r="L206" s="40">
        <f t="shared" si="497"/>
        <v>8156</v>
      </c>
      <c r="M206" s="39">
        <f t="shared" si="497"/>
        <v>80992</v>
      </c>
      <c r="N206" s="9"/>
      <c r="O206" s="39">
        <f t="shared" si="491"/>
        <v>5672</v>
      </c>
      <c r="P206" s="40">
        <f t="shared" ref="P206:Q206" si="498">H206+P205</f>
        <v>38686</v>
      </c>
      <c r="Q206" s="39">
        <f t="shared" si="498"/>
        <v>46299</v>
      </c>
      <c r="R206" s="10"/>
      <c r="S206" s="266">
        <f t="shared" ref="S206:U206" si="499">O206/K206</f>
        <v>0.17683002868188052</v>
      </c>
      <c r="T206" s="264">
        <f t="shared" si="499"/>
        <v>4.743256498283472</v>
      </c>
      <c r="U206" s="264">
        <f t="shared" si="499"/>
        <v>0.57164905175819836</v>
      </c>
      <c r="X206" s="14"/>
      <c r="Y206" s="14" t="s">
        <v>1356</v>
      </c>
      <c r="Z206" s="258" t="s">
        <v>1356</v>
      </c>
      <c r="AA206" s="13"/>
      <c r="AB206" s="258" t="s">
        <v>1356</v>
      </c>
      <c r="AD206" s="258" t="str">
        <f t="shared" si="2"/>
        <v xml:space="preserve"> </v>
      </c>
      <c r="AE206" s="258">
        <f t="shared" si="3"/>
        <v>10799</v>
      </c>
      <c r="AF206" s="258" t="str">
        <f t="shared" si="4"/>
        <v xml:space="preserve"> </v>
      </c>
      <c r="AG206" s="258" t="str">
        <f t="shared" si="5"/>
        <v xml:space="preserve"> </v>
      </c>
    </row>
    <row r="207" spans="1:33" x14ac:dyDescent="0.25">
      <c r="A207" s="29" t="s">
        <v>557</v>
      </c>
      <c r="B207" s="31">
        <v>8</v>
      </c>
      <c r="C207" s="34" t="s">
        <v>558</v>
      </c>
      <c r="D207" s="34">
        <v>2017</v>
      </c>
      <c r="E207" s="36">
        <v>448</v>
      </c>
      <c r="F207" s="36">
        <v>540</v>
      </c>
      <c r="G207" s="36">
        <v>256</v>
      </c>
      <c r="H207" s="38">
        <v>8155</v>
      </c>
      <c r="I207" s="36">
        <v>9399</v>
      </c>
      <c r="J207" s="9"/>
      <c r="K207" s="39">
        <f t="shared" ref="K207:M207" si="500">K203*5</f>
        <v>40095</v>
      </c>
      <c r="L207" s="40">
        <f t="shared" si="500"/>
        <v>10195</v>
      </c>
      <c r="M207" s="39">
        <f t="shared" si="500"/>
        <v>101240</v>
      </c>
      <c r="N207" s="9"/>
      <c r="O207" s="39">
        <f t="shared" si="491"/>
        <v>6660</v>
      </c>
      <c r="P207" s="40">
        <f t="shared" ref="P207:Q207" si="501">H207+P206</f>
        <v>46841</v>
      </c>
      <c r="Q207" s="39">
        <f t="shared" si="501"/>
        <v>55698</v>
      </c>
      <c r="R207" s="10"/>
      <c r="S207" s="266">
        <f t="shared" ref="S207:U207" si="502">O207/K207</f>
        <v>0.16610549943883277</v>
      </c>
      <c r="T207" s="264">
        <f t="shared" si="502"/>
        <v>4.594507111329083</v>
      </c>
      <c r="U207" s="264">
        <f t="shared" si="502"/>
        <v>0.5501580403002766</v>
      </c>
      <c r="X207" s="14"/>
      <c r="Y207" s="14" t="s">
        <v>1356</v>
      </c>
      <c r="Z207" s="258" t="s">
        <v>1356</v>
      </c>
      <c r="AA207" s="13"/>
      <c r="AB207" s="258" t="s">
        <v>1356</v>
      </c>
      <c r="AD207" s="258" t="str">
        <f t="shared" si="2"/>
        <v xml:space="preserve"> </v>
      </c>
      <c r="AE207" s="258" t="str">
        <f t="shared" si="3"/>
        <v xml:space="preserve"> </v>
      </c>
      <c r="AF207" s="258">
        <f t="shared" si="4"/>
        <v>9399</v>
      </c>
      <c r="AG207" s="258" t="str">
        <f t="shared" si="5"/>
        <v xml:space="preserve"> </v>
      </c>
    </row>
    <row r="208" spans="1:33" x14ac:dyDescent="0.25">
      <c r="A208" s="29" t="s">
        <v>557</v>
      </c>
      <c r="B208" s="31">
        <v>8</v>
      </c>
      <c r="C208" s="34" t="s">
        <v>558</v>
      </c>
      <c r="D208" s="34">
        <v>2018</v>
      </c>
      <c r="E208" s="36">
        <v>270</v>
      </c>
      <c r="F208" s="36">
        <v>429</v>
      </c>
      <c r="G208" s="36">
        <v>293</v>
      </c>
      <c r="H208" s="38">
        <v>7682</v>
      </c>
      <c r="I208" s="36">
        <v>8674</v>
      </c>
      <c r="J208" s="9"/>
      <c r="K208" s="39">
        <f t="shared" ref="K208:M208" si="503">K203*6</f>
        <v>48114</v>
      </c>
      <c r="L208" s="40">
        <f t="shared" si="503"/>
        <v>12234</v>
      </c>
      <c r="M208" s="39">
        <f t="shared" si="503"/>
        <v>121488</v>
      </c>
      <c r="N208" s="9"/>
      <c r="O208" s="39">
        <f t="shared" si="491"/>
        <v>7359</v>
      </c>
      <c r="P208" s="40">
        <f t="shared" ref="P208:Q208" si="504">H208+P207</f>
        <v>54523</v>
      </c>
      <c r="Q208" s="39">
        <f t="shared" si="504"/>
        <v>64372</v>
      </c>
      <c r="R208" s="10"/>
      <c r="S208" s="266">
        <f t="shared" ref="S208:U208" si="505">O208/K208</f>
        <v>0.15294924554183814</v>
      </c>
      <c r="T208" s="264">
        <f t="shared" si="505"/>
        <v>4.4566781101847308</v>
      </c>
      <c r="U208" s="264">
        <f t="shared" si="505"/>
        <v>0.52986303173976035</v>
      </c>
      <c r="V208" s="261" t="s">
        <v>557</v>
      </c>
      <c r="X208" s="14">
        <f>161980</f>
        <v>161980</v>
      </c>
      <c r="Y208" s="14">
        <v>121488</v>
      </c>
      <c r="Z208" s="258">
        <v>64372</v>
      </c>
      <c r="AA208" s="13"/>
      <c r="AB208" s="258" t="s">
        <v>1356</v>
      </c>
      <c r="AD208" s="258" t="str">
        <f t="shared" si="2"/>
        <v xml:space="preserve"> </v>
      </c>
      <c r="AE208" s="258" t="str">
        <f t="shared" si="3"/>
        <v xml:space="preserve"> </v>
      </c>
      <c r="AF208" s="258" t="str">
        <f t="shared" si="4"/>
        <v xml:space="preserve"> </v>
      </c>
      <c r="AG208" s="258">
        <f t="shared" si="5"/>
        <v>8674</v>
      </c>
    </row>
    <row r="209" spans="1:33" x14ac:dyDescent="0.25">
      <c r="A209" s="46"/>
      <c r="B209" s="47"/>
      <c r="C209" s="32"/>
      <c r="D209" s="32"/>
      <c r="E209" s="48"/>
      <c r="F209" s="48"/>
      <c r="G209" s="48"/>
      <c r="H209" s="49"/>
      <c r="I209" s="48"/>
      <c r="J209" s="50"/>
      <c r="K209" s="51"/>
      <c r="L209" s="52"/>
      <c r="M209" s="51"/>
      <c r="N209" s="50"/>
      <c r="O209" s="51"/>
      <c r="P209" s="52"/>
      <c r="Q209" s="51"/>
      <c r="R209" s="53"/>
      <c r="W209" s="1"/>
      <c r="X209" s="14"/>
      <c r="Y209" s="14" t="s">
        <v>1356</v>
      </c>
      <c r="Z209" s="258" t="s">
        <v>1356</v>
      </c>
      <c r="AA209" s="54"/>
      <c r="AB209" s="258" t="s">
        <v>1356</v>
      </c>
      <c r="AD209" s="258" t="str">
        <f t="shared" si="2"/>
        <v xml:space="preserve"> </v>
      </c>
      <c r="AE209" s="258" t="str">
        <f t="shared" si="3"/>
        <v xml:space="preserve"> </v>
      </c>
      <c r="AF209" s="258" t="str">
        <f t="shared" si="4"/>
        <v xml:space="preserve"> </v>
      </c>
      <c r="AG209" s="258" t="str">
        <f t="shared" si="5"/>
        <v xml:space="preserve"> </v>
      </c>
    </row>
    <row r="210" spans="1:33" x14ac:dyDescent="0.25">
      <c r="A210" s="29" t="s">
        <v>575</v>
      </c>
      <c r="B210" s="31">
        <v>8</v>
      </c>
      <c r="C210" s="34" t="s">
        <v>412</v>
      </c>
      <c r="D210" s="34">
        <v>2015</v>
      </c>
      <c r="E210" s="36">
        <v>429</v>
      </c>
      <c r="F210" s="36">
        <v>179</v>
      </c>
      <c r="G210" s="36">
        <v>113</v>
      </c>
      <c r="H210" s="38">
        <v>2874</v>
      </c>
      <c r="I210" s="36">
        <v>3595</v>
      </c>
      <c r="J210" s="9"/>
      <c r="K210" s="39">
        <f>ROUND((6234+4639)/8,0)</f>
        <v>1359</v>
      </c>
      <c r="L210" s="87">
        <f>ROUND(12536/8,0)</f>
        <v>1567</v>
      </c>
      <c r="M210" s="39">
        <f>ROUND(28869/8,0)</f>
        <v>3609</v>
      </c>
      <c r="N210" s="9"/>
      <c r="O210" s="39">
        <f>E210+F210</f>
        <v>608</v>
      </c>
      <c r="P210" s="40">
        <f t="shared" ref="P210:Q210" si="506">H210</f>
        <v>2874</v>
      </c>
      <c r="Q210" s="39">
        <f t="shared" si="506"/>
        <v>3595</v>
      </c>
      <c r="R210" s="10"/>
      <c r="S210" s="266">
        <f t="shared" ref="S210:U210" si="507">O210/K210</f>
        <v>0.44738778513612953</v>
      </c>
      <c r="T210" s="264">
        <f t="shared" si="507"/>
        <v>1.834077855775367</v>
      </c>
      <c r="U210" s="264">
        <f t="shared" si="507"/>
        <v>0.99612080908839018</v>
      </c>
      <c r="X210" s="14"/>
      <c r="Y210" s="14" t="s">
        <v>1356</v>
      </c>
      <c r="Z210" s="258" t="s">
        <v>1356</v>
      </c>
      <c r="AA210" s="13"/>
      <c r="AB210" s="258">
        <v>3609</v>
      </c>
      <c r="AD210" s="258">
        <f t="shared" si="2"/>
        <v>3595</v>
      </c>
      <c r="AE210" s="258" t="str">
        <f t="shared" si="3"/>
        <v xml:space="preserve"> </v>
      </c>
      <c r="AF210" s="258" t="str">
        <f t="shared" si="4"/>
        <v xml:space="preserve"> </v>
      </c>
      <c r="AG210" s="258" t="str">
        <f t="shared" si="5"/>
        <v xml:space="preserve"> </v>
      </c>
    </row>
    <row r="211" spans="1:33" x14ac:dyDescent="0.25">
      <c r="A211" s="29" t="s">
        <v>575</v>
      </c>
      <c r="B211" s="31">
        <v>8</v>
      </c>
      <c r="C211" s="34" t="s">
        <v>412</v>
      </c>
      <c r="D211" s="34">
        <v>2016</v>
      </c>
      <c r="E211" s="36">
        <v>410</v>
      </c>
      <c r="F211" s="36">
        <v>353</v>
      </c>
      <c r="G211" s="36">
        <v>333</v>
      </c>
      <c r="H211" s="38">
        <v>3604</v>
      </c>
      <c r="I211" s="36">
        <v>4700</v>
      </c>
      <c r="J211" s="9"/>
      <c r="K211" s="39">
        <f t="shared" ref="K211:M211" si="508">K210*2</f>
        <v>2718</v>
      </c>
      <c r="L211" s="40">
        <f t="shared" si="508"/>
        <v>3134</v>
      </c>
      <c r="M211" s="39">
        <f t="shared" si="508"/>
        <v>7218</v>
      </c>
      <c r="N211" s="9"/>
      <c r="O211" s="39">
        <f t="shared" ref="O211:O213" si="509">E211+F211+O210</f>
        <v>1371</v>
      </c>
      <c r="P211" s="40">
        <f t="shared" ref="P211:Q211" si="510">H211+P210</f>
        <v>6478</v>
      </c>
      <c r="Q211" s="39">
        <f t="shared" si="510"/>
        <v>8295</v>
      </c>
      <c r="R211" s="10"/>
      <c r="S211" s="266">
        <f t="shared" ref="S211:U211" si="511">O211/K211</f>
        <v>0.50441501103752762</v>
      </c>
      <c r="T211" s="264">
        <f t="shared" si="511"/>
        <v>2.0670070197830248</v>
      </c>
      <c r="U211" s="264">
        <f t="shared" si="511"/>
        <v>1.1492103075644222</v>
      </c>
      <c r="X211" s="14"/>
      <c r="Y211" s="14" t="s">
        <v>1356</v>
      </c>
      <c r="Z211" s="258" t="s">
        <v>1356</v>
      </c>
      <c r="AA211" s="13"/>
      <c r="AB211" s="258" t="s">
        <v>1356</v>
      </c>
      <c r="AD211" s="258" t="str">
        <f t="shared" si="2"/>
        <v xml:space="preserve"> </v>
      </c>
      <c r="AE211" s="258">
        <f t="shared" si="3"/>
        <v>4700</v>
      </c>
      <c r="AF211" s="258" t="str">
        <f t="shared" si="4"/>
        <v xml:space="preserve"> </v>
      </c>
      <c r="AG211" s="258" t="str">
        <f t="shared" si="5"/>
        <v xml:space="preserve"> </v>
      </c>
    </row>
    <row r="212" spans="1:33" x14ac:dyDescent="0.25">
      <c r="A212" s="29" t="s">
        <v>575</v>
      </c>
      <c r="B212" s="31">
        <v>8</v>
      </c>
      <c r="C212" s="34" t="s">
        <v>412</v>
      </c>
      <c r="D212" s="34">
        <v>2017</v>
      </c>
      <c r="E212" s="36">
        <v>468</v>
      </c>
      <c r="F212" s="36">
        <v>427</v>
      </c>
      <c r="G212" s="36">
        <v>268</v>
      </c>
      <c r="H212" s="38">
        <v>4641</v>
      </c>
      <c r="I212" s="36">
        <v>5804</v>
      </c>
      <c r="J212" s="9"/>
      <c r="K212" s="39">
        <f t="shared" ref="K212:M212" si="512">K210*3</f>
        <v>4077</v>
      </c>
      <c r="L212" s="40">
        <f t="shared" si="512"/>
        <v>4701</v>
      </c>
      <c r="M212" s="39">
        <f t="shared" si="512"/>
        <v>10827</v>
      </c>
      <c r="N212" s="9"/>
      <c r="O212" s="39">
        <f t="shared" si="509"/>
        <v>2266</v>
      </c>
      <c r="P212" s="40">
        <f t="shared" ref="P212:Q212" si="513">H212+P211</f>
        <v>11119</v>
      </c>
      <c r="Q212" s="39">
        <f t="shared" si="513"/>
        <v>14099</v>
      </c>
      <c r="R212" s="10"/>
      <c r="S212" s="266">
        <f t="shared" ref="S212:U212" si="514">O212/K212</f>
        <v>0.55580083394652935</v>
      </c>
      <c r="T212" s="264">
        <f t="shared" si="514"/>
        <v>2.3652414379919167</v>
      </c>
      <c r="U212" s="264">
        <f t="shared" si="514"/>
        <v>1.3022074443520828</v>
      </c>
      <c r="X212" s="14"/>
      <c r="Y212" s="14" t="s">
        <v>1356</v>
      </c>
      <c r="Z212" s="258" t="s">
        <v>1356</v>
      </c>
      <c r="AA212" s="13"/>
      <c r="AB212" s="258" t="s">
        <v>1356</v>
      </c>
      <c r="AD212" s="258" t="str">
        <f t="shared" si="2"/>
        <v xml:space="preserve"> </v>
      </c>
      <c r="AE212" s="258" t="str">
        <f t="shared" si="3"/>
        <v xml:space="preserve"> </v>
      </c>
      <c r="AF212" s="258">
        <f t="shared" si="4"/>
        <v>5804</v>
      </c>
      <c r="AG212" s="258" t="str">
        <f t="shared" si="5"/>
        <v xml:space="preserve"> </v>
      </c>
    </row>
    <row r="213" spans="1:33" x14ac:dyDescent="0.25">
      <c r="A213" s="29" t="s">
        <v>575</v>
      </c>
      <c r="B213" s="31">
        <v>8</v>
      </c>
      <c r="C213" s="34" t="s">
        <v>412</v>
      </c>
      <c r="D213" s="34">
        <v>2018</v>
      </c>
      <c r="E213" s="36">
        <v>0</v>
      </c>
      <c r="F213" s="36">
        <v>922</v>
      </c>
      <c r="G213" s="36">
        <v>492</v>
      </c>
      <c r="H213" s="38">
        <v>4683</v>
      </c>
      <c r="I213" s="36">
        <v>6097</v>
      </c>
      <c r="J213" s="9"/>
      <c r="K213" s="39">
        <f t="shared" ref="K213:M213" si="515">K210*4</f>
        <v>5436</v>
      </c>
      <c r="L213" s="40">
        <f t="shared" si="515"/>
        <v>6268</v>
      </c>
      <c r="M213" s="39">
        <f t="shared" si="515"/>
        <v>14436</v>
      </c>
      <c r="N213" s="9"/>
      <c r="O213" s="39">
        <f t="shared" si="509"/>
        <v>3188</v>
      </c>
      <c r="P213" s="40">
        <f t="shared" ref="P213:Q213" si="516">H213+P212</f>
        <v>15802</v>
      </c>
      <c r="Q213" s="39">
        <f t="shared" si="516"/>
        <v>20196</v>
      </c>
      <c r="R213" s="10"/>
      <c r="S213" s="266">
        <f t="shared" ref="S213:U213" si="517">O213/K213</f>
        <v>0.58646063281824867</v>
      </c>
      <c r="T213" s="264">
        <f t="shared" si="517"/>
        <v>2.5210593490746649</v>
      </c>
      <c r="U213" s="264">
        <f t="shared" si="517"/>
        <v>1.3990024937655861</v>
      </c>
      <c r="V213" s="261" t="s">
        <v>575</v>
      </c>
      <c r="X213" s="14">
        <v>28869</v>
      </c>
      <c r="Y213" s="14">
        <v>14436</v>
      </c>
      <c r="Z213" s="258">
        <v>20196</v>
      </c>
      <c r="AA213" s="13"/>
      <c r="AB213" s="258" t="s">
        <v>1356</v>
      </c>
      <c r="AD213" s="258" t="str">
        <f t="shared" si="2"/>
        <v xml:space="preserve"> </v>
      </c>
      <c r="AE213" s="258" t="str">
        <f t="shared" si="3"/>
        <v xml:space="preserve"> </v>
      </c>
      <c r="AF213" s="258" t="str">
        <f t="shared" si="4"/>
        <v xml:space="preserve"> </v>
      </c>
      <c r="AG213" s="258">
        <f t="shared" si="5"/>
        <v>6097</v>
      </c>
    </row>
    <row r="214" spans="1:33" x14ac:dyDescent="0.25">
      <c r="A214" s="46"/>
      <c r="B214" s="47"/>
      <c r="C214" s="32"/>
      <c r="D214" s="32"/>
      <c r="E214" s="48"/>
      <c r="F214" s="48"/>
      <c r="G214" s="48"/>
      <c r="H214" s="49"/>
      <c r="I214" s="48"/>
      <c r="J214" s="50"/>
      <c r="K214" s="51"/>
      <c r="L214" s="52"/>
      <c r="M214" s="51"/>
      <c r="N214" s="50"/>
      <c r="O214" s="51"/>
      <c r="P214" s="52"/>
      <c r="Q214" s="51"/>
      <c r="R214" s="53"/>
      <c r="W214" s="1"/>
      <c r="X214" s="14"/>
      <c r="Y214" s="14" t="s">
        <v>1356</v>
      </c>
      <c r="Z214" s="258" t="s">
        <v>1356</v>
      </c>
      <c r="AA214" s="54"/>
      <c r="AB214" s="258" t="s">
        <v>1356</v>
      </c>
      <c r="AD214" s="258" t="str">
        <f t="shared" si="2"/>
        <v xml:space="preserve"> </v>
      </c>
      <c r="AE214" s="258" t="str">
        <f t="shared" si="3"/>
        <v xml:space="preserve"> </v>
      </c>
      <c r="AF214" s="258" t="str">
        <f t="shared" si="4"/>
        <v xml:space="preserve"> </v>
      </c>
      <c r="AG214" s="258" t="str">
        <f t="shared" si="5"/>
        <v xml:space="preserve"> </v>
      </c>
    </row>
    <row r="215" spans="1:33" x14ac:dyDescent="0.25">
      <c r="A215" s="29" t="s">
        <v>383</v>
      </c>
      <c r="B215" s="31">
        <v>8</v>
      </c>
      <c r="C215" s="34" t="s">
        <v>126</v>
      </c>
      <c r="D215" s="34">
        <v>2016</v>
      </c>
      <c r="E215" s="36">
        <v>1</v>
      </c>
      <c r="F215" s="36">
        <v>134</v>
      </c>
      <c r="G215" s="36">
        <v>98</v>
      </c>
      <c r="H215" s="38">
        <v>1407</v>
      </c>
      <c r="I215" s="36">
        <v>1640</v>
      </c>
      <c r="J215" s="9"/>
      <c r="K215" s="39">
        <f>ROUND((9485+6500)/8,0)</f>
        <v>1998</v>
      </c>
      <c r="L215" s="40">
        <f>ROUND(17310/8,0)</f>
        <v>2164</v>
      </c>
      <c r="M215" s="39">
        <f>ROUND(40360/8,0)</f>
        <v>5045</v>
      </c>
      <c r="N215" s="9"/>
      <c r="O215" s="39">
        <f>E215+F215</f>
        <v>135</v>
      </c>
      <c r="P215" s="40">
        <f t="shared" ref="P215:Q215" si="518">H215</f>
        <v>1407</v>
      </c>
      <c r="Q215" s="39">
        <f t="shared" si="518"/>
        <v>1640</v>
      </c>
      <c r="R215" s="10"/>
      <c r="S215" s="266">
        <f t="shared" ref="S215:U215" si="519">O215/K215</f>
        <v>6.7567567567567571E-2</v>
      </c>
      <c r="T215" s="264">
        <f t="shared" si="519"/>
        <v>0.65018484288354894</v>
      </c>
      <c r="U215" s="264">
        <f t="shared" si="519"/>
        <v>0.32507433102081268</v>
      </c>
      <c r="X215" s="14"/>
      <c r="Y215" s="14" t="s">
        <v>1356</v>
      </c>
      <c r="Z215" s="258" t="s">
        <v>1356</v>
      </c>
      <c r="AA215" s="13"/>
      <c r="AB215" s="258">
        <v>5045</v>
      </c>
      <c r="AD215" s="258" t="str">
        <f t="shared" si="2"/>
        <v xml:space="preserve"> </v>
      </c>
      <c r="AE215" s="258">
        <f t="shared" si="3"/>
        <v>1640</v>
      </c>
      <c r="AF215" s="258" t="str">
        <f t="shared" si="4"/>
        <v xml:space="preserve"> </v>
      </c>
      <c r="AG215" s="258" t="str">
        <f t="shared" si="5"/>
        <v xml:space="preserve"> </v>
      </c>
    </row>
    <row r="216" spans="1:33" x14ac:dyDescent="0.25">
      <c r="A216" s="29" t="s">
        <v>383</v>
      </c>
      <c r="B216" s="31">
        <v>8</v>
      </c>
      <c r="C216" s="34" t="s">
        <v>126</v>
      </c>
      <c r="D216" s="34">
        <v>2017</v>
      </c>
      <c r="E216" s="36">
        <v>216</v>
      </c>
      <c r="F216" s="36">
        <v>97</v>
      </c>
      <c r="G216" s="36">
        <v>143</v>
      </c>
      <c r="H216" s="38">
        <v>1164</v>
      </c>
      <c r="I216" s="36">
        <v>1620</v>
      </c>
      <c r="J216" s="9"/>
      <c r="K216" s="39">
        <f t="shared" ref="K216:M216" si="520">K215*2</f>
        <v>3996</v>
      </c>
      <c r="L216" s="40">
        <f t="shared" si="520"/>
        <v>4328</v>
      </c>
      <c r="M216" s="39">
        <f t="shared" si="520"/>
        <v>10090</v>
      </c>
      <c r="N216" s="9"/>
      <c r="O216" s="39">
        <f t="shared" ref="O216:O217" si="521">E216+F216+O215</f>
        <v>448</v>
      </c>
      <c r="P216" s="40">
        <f t="shared" ref="P216:Q216" si="522">H216+P215</f>
        <v>2571</v>
      </c>
      <c r="Q216" s="39">
        <f t="shared" si="522"/>
        <v>3260</v>
      </c>
      <c r="R216" s="10"/>
      <c r="S216" s="266">
        <f t="shared" ref="S216:U216" si="523">O216/K216</f>
        <v>0.11211211211211211</v>
      </c>
      <c r="T216" s="264">
        <f t="shared" si="523"/>
        <v>0.59403881700554528</v>
      </c>
      <c r="U216" s="264">
        <f t="shared" si="523"/>
        <v>0.32309217046580774</v>
      </c>
      <c r="X216" s="14"/>
      <c r="Y216" s="14" t="s">
        <v>1356</v>
      </c>
      <c r="Z216" s="258" t="s">
        <v>1356</v>
      </c>
      <c r="AA216" s="13"/>
      <c r="AB216" s="258" t="s">
        <v>1356</v>
      </c>
      <c r="AD216" s="258" t="str">
        <f t="shared" si="2"/>
        <v xml:space="preserve"> </v>
      </c>
      <c r="AE216" s="258" t="str">
        <f t="shared" si="3"/>
        <v xml:space="preserve"> </v>
      </c>
      <c r="AF216" s="258">
        <f t="shared" si="4"/>
        <v>1620</v>
      </c>
      <c r="AG216" s="258" t="str">
        <f t="shared" si="5"/>
        <v xml:space="preserve"> </v>
      </c>
    </row>
    <row r="217" spans="1:33" x14ac:dyDescent="0.25">
      <c r="A217" s="29" t="s">
        <v>383</v>
      </c>
      <c r="B217" s="31">
        <v>8</v>
      </c>
      <c r="C217" s="34" t="s">
        <v>126</v>
      </c>
      <c r="D217" s="34">
        <v>2018</v>
      </c>
      <c r="E217" s="36">
        <v>4</v>
      </c>
      <c r="F217" s="36">
        <v>9</v>
      </c>
      <c r="G217" s="36">
        <v>139</v>
      </c>
      <c r="H217" s="38">
        <v>2426</v>
      </c>
      <c r="I217" s="36">
        <v>2578</v>
      </c>
      <c r="J217" s="9"/>
      <c r="K217" s="39">
        <f t="shared" ref="K217:M217" si="524">K215*3</f>
        <v>5994</v>
      </c>
      <c r="L217" s="40">
        <f t="shared" si="524"/>
        <v>6492</v>
      </c>
      <c r="M217" s="39">
        <f t="shared" si="524"/>
        <v>15135</v>
      </c>
      <c r="N217" s="9"/>
      <c r="O217" s="39">
        <f t="shared" si="521"/>
        <v>461</v>
      </c>
      <c r="P217" s="40">
        <f t="shared" ref="P217:Q217" si="525">H217+P216</f>
        <v>4997</v>
      </c>
      <c r="Q217" s="39">
        <f t="shared" si="525"/>
        <v>5838</v>
      </c>
      <c r="R217" s="10"/>
      <c r="S217" s="266">
        <f t="shared" ref="S217:U217" si="526">O217/K217</f>
        <v>7.6910243576910245E-2</v>
      </c>
      <c r="T217" s="264">
        <f t="shared" si="526"/>
        <v>0.76971657424522488</v>
      </c>
      <c r="U217" s="264">
        <f t="shared" si="526"/>
        <v>0.38572844400396433</v>
      </c>
      <c r="V217" s="261" t="s">
        <v>383</v>
      </c>
      <c r="X217" s="14">
        <v>40360</v>
      </c>
      <c r="Y217" s="14">
        <v>15135</v>
      </c>
      <c r="Z217" s="258">
        <v>5838</v>
      </c>
      <c r="AA217" s="13"/>
      <c r="AB217" s="258" t="s">
        <v>1356</v>
      </c>
      <c r="AD217" s="258" t="str">
        <f t="shared" si="2"/>
        <v xml:space="preserve"> </v>
      </c>
      <c r="AE217" s="258" t="str">
        <f t="shared" si="3"/>
        <v xml:space="preserve"> </v>
      </c>
      <c r="AF217" s="258" t="str">
        <f t="shared" si="4"/>
        <v xml:space="preserve"> </v>
      </c>
      <c r="AG217" s="258">
        <f t="shared" si="5"/>
        <v>2578</v>
      </c>
    </row>
    <row r="218" spans="1:33" x14ac:dyDescent="0.25">
      <c r="A218" s="29"/>
      <c r="B218" s="31"/>
      <c r="C218" s="34"/>
      <c r="D218" s="34"/>
      <c r="E218" s="36"/>
      <c r="F218" s="36"/>
      <c r="G218" s="36"/>
      <c r="H218" s="38"/>
      <c r="I218" s="36"/>
      <c r="J218" s="9"/>
      <c r="K218" s="39"/>
      <c r="L218" s="40"/>
      <c r="M218" s="39"/>
      <c r="N218" s="9"/>
      <c r="O218" s="39"/>
      <c r="P218" s="40"/>
      <c r="Q218" s="39"/>
      <c r="R218" s="10"/>
      <c r="X218" s="14"/>
      <c r="Y218" s="14" t="s">
        <v>1356</v>
      </c>
      <c r="Z218" s="258" t="s">
        <v>1356</v>
      </c>
      <c r="AA218" s="13"/>
      <c r="AB218" s="258" t="s">
        <v>1356</v>
      </c>
      <c r="AD218" s="258" t="str">
        <f t="shared" si="2"/>
        <v xml:space="preserve"> </v>
      </c>
      <c r="AE218" s="258" t="str">
        <f t="shared" si="3"/>
        <v xml:space="preserve"> </v>
      </c>
      <c r="AF218" s="258" t="str">
        <f t="shared" si="4"/>
        <v xml:space="preserve"> </v>
      </c>
      <c r="AG218" s="258" t="str">
        <f t="shared" si="5"/>
        <v xml:space="preserve"> </v>
      </c>
    </row>
    <row r="219" spans="1:33" x14ac:dyDescent="0.25">
      <c r="A219" s="29" t="s">
        <v>583</v>
      </c>
      <c r="B219" s="31">
        <v>5</v>
      </c>
      <c r="C219" s="34" t="s">
        <v>69</v>
      </c>
      <c r="D219" s="34">
        <v>2014</v>
      </c>
      <c r="E219" s="36">
        <v>94</v>
      </c>
      <c r="F219" s="36">
        <v>59</v>
      </c>
      <c r="G219" s="36">
        <v>108</v>
      </c>
      <c r="H219" s="38">
        <v>702</v>
      </c>
      <c r="I219" s="36">
        <v>963</v>
      </c>
      <c r="J219" s="9"/>
      <c r="K219" s="39">
        <f>ROUND((1020+641)/5,0)</f>
        <v>332</v>
      </c>
      <c r="L219" s="40">
        <v>342</v>
      </c>
      <c r="M219" s="39">
        <v>818</v>
      </c>
      <c r="N219" s="9"/>
      <c r="O219" s="39">
        <f>E219+F219</f>
        <v>153</v>
      </c>
      <c r="P219" s="40">
        <f t="shared" ref="P219:Q219" si="527">H219</f>
        <v>702</v>
      </c>
      <c r="Q219" s="39">
        <f t="shared" si="527"/>
        <v>963</v>
      </c>
      <c r="R219" s="10"/>
      <c r="S219" s="266">
        <f t="shared" ref="S219:U219" si="528">O219/K219</f>
        <v>0.46084337349397592</v>
      </c>
      <c r="T219" s="264">
        <f t="shared" si="528"/>
        <v>2.0526315789473686</v>
      </c>
      <c r="U219" s="264">
        <f t="shared" si="528"/>
        <v>1.1772616136919316</v>
      </c>
      <c r="X219" s="14"/>
      <c r="Y219" s="14" t="s">
        <v>1356</v>
      </c>
      <c r="Z219" s="258" t="s">
        <v>1356</v>
      </c>
      <c r="AA219" s="13"/>
      <c r="AB219" s="258">
        <f>M219</f>
        <v>818</v>
      </c>
      <c r="AD219" s="258" t="str">
        <f t="shared" si="2"/>
        <v xml:space="preserve"> </v>
      </c>
      <c r="AE219" s="258" t="str">
        <f t="shared" si="3"/>
        <v xml:space="preserve"> </v>
      </c>
      <c r="AF219" s="258" t="str">
        <f t="shared" si="4"/>
        <v xml:space="preserve"> </v>
      </c>
      <c r="AG219" s="258" t="str">
        <f t="shared" si="5"/>
        <v xml:space="preserve"> </v>
      </c>
    </row>
    <row r="220" spans="1:33" x14ac:dyDescent="0.25">
      <c r="A220" s="29" t="s">
        <v>583</v>
      </c>
      <c r="B220" s="31">
        <v>5</v>
      </c>
      <c r="C220" s="34" t="s">
        <v>69</v>
      </c>
      <c r="D220" s="34">
        <v>2015</v>
      </c>
      <c r="E220" s="36">
        <v>58</v>
      </c>
      <c r="F220" s="36">
        <v>33</v>
      </c>
      <c r="G220" s="36">
        <v>110</v>
      </c>
      <c r="H220" s="38">
        <v>625</v>
      </c>
      <c r="I220" s="36">
        <v>826</v>
      </c>
      <c r="J220" s="9"/>
      <c r="K220" s="39">
        <f t="shared" ref="K220:M220" si="529">K219*2</f>
        <v>664</v>
      </c>
      <c r="L220" s="40">
        <f t="shared" si="529"/>
        <v>684</v>
      </c>
      <c r="M220" s="39">
        <f t="shared" si="529"/>
        <v>1636</v>
      </c>
      <c r="N220" s="9"/>
      <c r="O220" s="39">
        <f t="shared" ref="O220:O223" si="530">E220+F220+O219</f>
        <v>244</v>
      </c>
      <c r="P220" s="40">
        <f t="shared" ref="P220:Q220" si="531">H220+P219</f>
        <v>1327</v>
      </c>
      <c r="Q220" s="39">
        <f t="shared" si="531"/>
        <v>1789</v>
      </c>
      <c r="R220" s="10"/>
      <c r="S220" s="266">
        <f t="shared" ref="S220:U220" si="532">O220/K220</f>
        <v>0.36746987951807231</v>
      </c>
      <c r="T220" s="264">
        <f t="shared" si="532"/>
        <v>1.9400584795321638</v>
      </c>
      <c r="U220" s="264">
        <f t="shared" si="532"/>
        <v>1.093520782396088</v>
      </c>
      <c r="X220" s="14"/>
      <c r="Y220" s="14" t="s">
        <v>1356</v>
      </c>
      <c r="Z220" s="258" t="s">
        <v>1356</v>
      </c>
      <c r="AA220" s="13"/>
      <c r="AD220" s="258">
        <f t="shared" si="2"/>
        <v>826</v>
      </c>
      <c r="AE220" s="258" t="str">
        <f t="shared" si="3"/>
        <v xml:space="preserve"> </v>
      </c>
      <c r="AF220" s="258" t="str">
        <f t="shared" si="4"/>
        <v xml:space="preserve"> </v>
      </c>
      <c r="AG220" s="258" t="str">
        <f t="shared" si="5"/>
        <v xml:space="preserve"> </v>
      </c>
    </row>
    <row r="221" spans="1:33" x14ac:dyDescent="0.25">
      <c r="A221" s="29" t="s">
        <v>583</v>
      </c>
      <c r="B221" s="31">
        <v>5</v>
      </c>
      <c r="C221" s="34" t="s">
        <v>69</v>
      </c>
      <c r="D221" s="34">
        <v>2016</v>
      </c>
      <c r="E221" s="36">
        <v>84</v>
      </c>
      <c r="F221" s="36">
        <v>71</v>
      </c>
      <c r="G221" s="36">
        <v>101</v>
      </c>
      <c r="H221" s="38">
        <v>540</v>
      </c>
      <c r="I221" s="36">
        <v>796</v>
      </c>
      <c r="J221" s="9"/>
      <c r="K221" s="39">
        <f t="shared" ref="K221:M221" si="533">K219*3</f>
        <v>996</v>
      </c>
      <c r="L221" s="40">
        <f t="shared" si="533"/>
        <v>1026</v>
      </c>
      <c r="M221" s="39">
        <f t="shared" si="533"/>
        <v>2454</v>
      </c>
      <c r="N221" s="9"/>
      <c r="O221" s="39">
        <f t="shared" si="530"/>
        <v>399</v>
      </c>
      <c r="P221" s="40">
        <f t="shared" ref="P221:Q221" si="534">H221+P220</f>
        <v>1867</v>
      </c>
      <c r="Q221" s="39">
        <f t="shared" si="534"/>
        <v>2585</v>
      </c>
      <c r="R221" s="10"/>
      <c r="S221" s="266">
        <f t="shared" ref="S221:U221" si="535">O221/K221</f>
        <v>0.4006024096385542</v>
      </c>
      <c r="T221" s="264">
        <f t="shared" si="535"/>
        <v>1.8196881091617934</v>
      </c>
      <c r="U221" s="264">
        <f t="shared" si="535"/>
        <v>1.0533822330888345</v>
      </c>
      <c r="X221" s="14"/>
      <c r="Y221" s="14" t="s">
        <v>1356</v>
      </c>
      <c r="Z221" s="258" t="s">
        <v>1356</v>
      </c>
      <c r="AA221" s="13"/>
      <c r="AB221" s="258" t="s">
        <v>1356</v>
      </c>
      <c r="AD221" s="258" t="str">
        <f t="shared" si="2"/>
        <v xml:space="preserve"> </v>
      </c>
      <c r="AE221" s="258">
        <f t="shared" si="3"/>
        <v>796</v>
      </c>
      <c r="AF221" s="258" t="str">
        <f t="shared" si="4"/>
        <v xml:space="preserve"> </v>
      </c>
      <c r="AG221" s="258" t="str">
        <f t="shared" si="5"/>
        <v xml:space="preserve"> </v>
      </c>
    </row>
    <row r="222" spans="1:33" x14ac:dyDescent="0.25">
      <c r="A222" s="29" t="s">
        <v>583</v>
      </c>
      <c r="B222" s="31">
        <v>5</v>
      </c>
      <c r="C222" s="34" t="s">
        <v>69</v>
      </c>
      <c r="D222" s="34">
        <v>2017</v>
      </c>
      <c r="E222" s="36">
        <v>105</v>
      </c>
      <c r="F222" s="36">
        <v>50</v>
      </c>
      <c r="G222" s="36">
        <v>196</v>
      </c>
      <c r="H222" s="38">
        <v>714</v>
      </c>
      <c r="I222" s="36">
        <v>1065</v>
      </c>
      <c r="J222" s="9"/>
      <c r="K222" s="39">
        <f t="shared" ref="K222:M222" si="536">K219*4</f>
        <v>1328</v>
      </c>
      <c r="L222" s="40">
        <f t="shared" si="536"/>
        <v>1368</v>
      </c>
      <c r="M222" s="39">
        <f t="shared" si="536"/>
        <v>3272</v>
      </c>
      <c r="N222" s="9"/>
      <c r="O222" s="39">
        <f t="shared" si="530"/>
        <v>554</v>
      </c>
      <c r="P222" s="40">
        <f t="shared" ref="P222:Q222" si="537">H222+P221</f>
        <v>2581</v>
      </c>
      <c r="Q222" s="39">
        <f t="shared" si="537"/>
        <v>3650</v>
      </c>
      <c r="R222" s="10"/>
      <c r="S222" s="266">
        <f t="shared" ref="S222:U222" si="538">O222/K222</f>
        <v>0.41716867469879521</v>
      </c>
      <c r="T222" s="264">
        <f t="shared" si="538"/>
        <v>1.8866959064327486</v>
      </c>
      <c r="U222" s="264">
        <f t="shared" si="538"/>
        <v>1.1155256723716382</v>
      </c>
      <c r="X222" s="14"/>
      <c r="Y222" s="14" t="s">
        <v>1356</v>
      </c>
      <c r="Z222" s="258" t="s">
        <v>1356</v>
      </c>
      <c r="AA222" s="13"/>
      <c r="AB222" s="258" t="s">
        <v>1356</v>
      </c>
      <c r="AD222" s="258" t="str">
        <f t="shared" si="2"/>
        <v xml:space="preserve"> </v>
      </c>
      <c r="AE222" s="258" t="str">
        <f t="shared" si="3"/>
        <v xml:space="preserve"> </v>
      </c>
      <c r="AF222" s="258">
        <f t="shared" si="4"/>
        <v>1065</v>
      </c>
      <c r="AG222" s="258" t="str">
        <f t="shared" si="5"/>
        <v xml:space="preserve"> </v>
      </c>
    </row>
    <row r="223" spans="1:33" x14ac:dyDescent="0.25">
      <c r="A223" s="29" t="s">
        <v>583</v>
      </c>
      <c r="B223" s="31">
        <v>5</v>
      </c>
      <c r="C223" s="34" t="s">
        <v>69</v>
      </c>
      <c r="D223" s="34">
        <v>2018</v>
      </c>
      <c r="E223" s="36">
        <v>136</v>
      </c>
      <c r="F223" s="36">
        <v>59</v>
      </c>
      <c r="G223" s="36">
        <v>36</v>
      </c>
      <c r="H223" s="38">
        <v>682</v>
      </c>
      <c r="I223" s="36">
        <v>913</v>
      </c>
      <c r="J223" s="9"/>
      <c r="K223" s="39">
        <f t="shared" ref="K223:M223" si="539">K219*5</f>
        <v>1660</v>
      </c>
      <c r="L223" s="40">
        <f t="shared" si="539"/>
        <v>1710</v>
      </c>
      <c r="M223" s="39">
        <f t="shared" si="539"/>
        <v>4090</v>
      </c>
      <c r="N223" s="9"/>
      <c r="O223" s="39">
        <f t="shared" si="530"/>
        <v>749</v>
      </c>
      <c r="P223" s="40">
        <f t="shared" ref="P223:Q223" si="540">H223+P222</f>
        <v>3263</v>
      </c>
      <c r="Q223" s="39">
        <f t="shared" si="540"/>
        <v>4563</v>
      </c>
      <c r="R223" s="10"/>
      <c r="S223" s="266">
        <f t="shared" ref="S223:U223" si="541">O223/K223</f>
        <v>0.45120481927710843</v>
      </c>
      <c r="T223" s="264">
        <f t="shared" si="541"/>
        <v>1.908187134502924</v>
      </c>
      <c r="U223" s="264">
        <f t="shared" si="541"/>
        <v>1.1156479217603912</v>
      </c>
      <c r="V223" s="261" t="s">
        <v>583</v>
      </c>
      <c r="X223" s="14">
        <v>4091</v>
      </c>
      <c r="Y223" s="14">
        <v>4090</v>
      </c>
      <c r="Z223" s="258">
        <v>4563</v>
      </c>
      <c r="AA223" s="13"/>
      <c r="AB223" s="258" t="s">
        <v>1356</v>
      </c>
      <c r="AD223" s="258" t="str">
        <f t="shared" si="2"/>
        <v xml:space="preserve"> </v>
      </c>
      <c r="AE223" s="258" t="str">
        <f t="shared" si="3"/>
        <v xml:space="preserve"> </v>
      </c>
      <c r="AF223" s="258" t="str">
        <f t="shared" si="4"/>
        <v xml:space="preserve"> </v>
      </c>
      <c r="AG223" s="258">
        <f t="shared" si="5"/>
        <v>913</v>
      </c>
    </row>
    <row r="224" spans="1:33" x14ac:dyDescent="0.25">
      <c r="A224" s="46"/>
      <c r="B224" s="47"/>
      <c r="C224" s="32"/>
      <c r="D224" s="32"/>
      <c r="E224" s="48"/>
      <c r="F224" s="48"/>
      <c r="G224" s="48"/>
      <c r="H224" s="49"/>
      <c r="I224" s="48"/>
      <c r="J224" s="50"/>
      <c r="K224" s="51"/>
      <c r="L224" s="52"/>
      <c r="M224" s="51"/>
      <c r="N224" s="50"/>
      <c r="O224" s="51"/>
      <c r="P224" s="52"/>
      <c r="Q224" s="51"/>
      <c r="R224" s="53"/>
      <c r="W224" s="1"/>
      <c r="X224" s="14"/>
      <c r="Y224" s="14" t="s">
        <v>1356</v>
      </c>
      <c r="Z224" s="258" t="s">
        <v>1356</v>
      </c>
      <c r="AA224" s="54"/>
      <c r="AB224" s="258" t="s">
        <v>1356</v>
      </c>
      <c r="AD224" s="258" t="str">
        <f t="shared" si="2"/>
        <v xml:space="preserve"> </v>
      </c>
      <c r="AE224" s="258" t="str">
        <f t="shared" si="3"/>
        <v xml:space="preserve"> </v>
      </c>
      <c r="AF224" s="258" t="str">
        <f t="shared" si="4"/>
        <v xml:space="preserve"> </v>
      </c>
      <c r="AG224" s="258" t="str">
        <f t="shared" si="5"/>
        <v xml:space="preserve"> </v>
      </c>
    </row>
    <row r="225" spans="1:33" x14ac:dyDescent="0.25">
      <c r="A225" s="29" t="s">
        <v>595</v>
      </c>
      <c r="B225" s="31">
        <v>8</v>
      </c>
      <c r="C225" s="34" t="s">
        <v>412</v>
      </c>
      <c r="D225" s="34">
        <v>2015</v>
      </c>
      <c r="E225" s="36">
        <v>235</v>
      </c>
      <c r="F225" s="36">
        <v>131</v>
      </c>
      <c r="G225" s="36">
        <v>145</v>
      </c>
      <c r="H225" s="38">
        <v>3107</v>
      </c>
      <c r="I225" s="36">
        <v>3618</v>
      </c>
      <c r="J225" s="9"/>
      <c r="K225" s="39">
        <f>ROUND((4594+2507)/8,0)</f>
        <v>888</v>
      </c>
      <c r="L225" s="40">
        <f>ROUND(6486/8,0)</f>
        <v>811</v>
      </c>
      <c r="M225" s="39">
        <v>2052</v>
      </c>
      <c r="N225" s="9"/>
      <c r="O225" s="39">
        <f>E225+F225</f>
        <v>366</v>
      </c>
      <c r="P225" s="40">
        <f t="shared" ref="P225:Q225" si="542">H225</f>
        <v>3107</v>
      </c>
      <c r="Q225" s="39">
        <f t="shared" si="542"/>
        <v>3618</v>
      </c>
      <c r="R225" s="10"/>
      <c r="S225" s="266">
        <f t="shared" ref="S225:U225" si="543">O225/K225</f>
        <v>0.41216216216216217</v>
      </c>
      <c r="T225" s="264">
        <f t="shared" si="543"/>
        <v>3.8310727496917387</v>
      </c>
      <c r="U225" s="264">
        <f t="shared" si="543"/>
        <v>1.763157894736842</v>
      </c>
      <c r="X225" s="14"/>
      <c r="Y225" s="14" t="s">
        <v>1356</v>
      </c>
      <c r="Z225" s="258" t="s">
        <v>1356</v>
      </c>
      <c r="AA225" s="13"/>
      <c r="AB225" s="258">
        <v>2052</v>
      </c>
      <c r="AD225" s="258">
        <f t="shared" si="2"/>
        <v>3618</v>
      </c>
      <c r="AE225" s="258" t="str">
        <f t="shared" si="3"/>
        <v xml:space="preserve"> </v>
      </c>
      <c r="AF225" s="258" t="str">
        <f t="shared" si="4"/>
        <v xml:space="preserve"> </v>
      </c>
      <c r="AG225" s="258" t="str">
        <f t="shared" si="5"/>
        <v xml:space="preserve"> </v>
      </c>
    </row>
    <row r="226" spans="1:33" x14ac:dyDescent="0.25">
      <c r="A226" s="29" t="s">
        <v>595</v>
      </c>
      <c r="B226" s="31">
        <v>8</v>
      </c>
      <c r="C226" s="34" t="s">
        <v>412</v>
      </c>
      <c r="D226" s="34">
        <v>2016</v>
      </c>
      <c r="E226" s="36">
        <v>82</v>
      </c>
      <c r="F226" s="36">
        <v>57</v>
      </c>
      <c r="G226" s="36">
        <v>139</v>
      </c>
      <c r="H226" s="38">
        <v>1378</v>
      </c>
      <c r="I226" s="36">
        <v>1656</v>
      </c>
      <c r="J226" s="9"/>
      <c r="K226" s="39">
        <f t="shared" ref="K226:M226" si="544">K225*2</f>
        <v>1776</v>
      </c>
      <c r="L226" s="40">
        <f t="shared" si="544"/>
        <v>1622</v>
      </c>
      <c r="M226" s="39">
        <f t="shared" si="544"/>
        <v>4104</v>
      </c>
      <c r="N226" s="9"/>
      <c r="O226" s="39">
        <f t="shared" ref="O226:O228" si="545">E226+F226+O225</f>
        <v>505</v>
      </c>
      <c r="P226" s="40">
        <f t="shared" ref="P226:Q226" si="546">H226+P225</f>
        <v>4485</v>
      </c>
      <c r="Q226" s="39">
        <f t="shared" si="546"/>
        <v>5274</v>
      </c>
      <c r="R226" s="10"/>
      <c r="S226" s="266">
        <f t="shared" ref="S226:U226" si="547">O226/K226</f>
        <v>0.28434684684684686</v>
      </c>
      <c r="T226" s="264">
        <f t="shared" si="547"/>
        <v>2.7651048088779286</v>
      </c>
      <c r="U226" s="264">
        <f t="shared" si="547"/>
        <v>1.2850877192982457</v>
      </c>
      <c r="X226" s="14"/>
      <c r="Y226" s="14" t="s">
        <v>1356</v>
      </c>
      <c r="Z226" s="258" t="s">
        <v>1356</v>
      </c>
      <c r="AA226" s="13"/>
      <c r="AB226" s="258" t="s">
        <v>1356</v>
      </c>
      <c r="AD226" s="258" t="str">
        <f t="shared" si="2"/>
        <v xml:space="preserve"> </v>
      </c>
      <c r="AE226" s="258">
        <f t="shared" si="3"/>
        <v>1656</v>
      </c>
      <c r="AF226" s="258" t="str">
        <f t="shared" si="4"/>
        <v xml:space="preserve"> </v>
      </c>
      <c r="AG226" s="258" t="str">
        <f t="shared" si="5"/>
        <v xml:space="preserve"> </v>
      </c>
    </row>
    <row r="227" spans="1:33" x14ac:dyDescent="0.25">
      <c r="A227" s="29" t="s">
        <v>595</v>
      </c>
      <c r="B227" s="31">
        <v>8</v>
      </c>
      <c r="C227" s="34" t="s">
        <v>412</v>
      </c>
      <c r="D227" s="34">
        <v>2017</v>
      </c>
      <c r="E227" s="36">
        <v>185</v>
      </c>
      <c r="F227" s="36">
        <v>297</v>
      </c>
      <c r="G227" s="36">
        <v>54</v>
      </c>
      <c r="H227" s="38">
        <v>1037</v>
      </c>
      <c r="I227" s="36">
        <v>1573</v>
      </c>
      <c r="J227" s="9"/>
      <c r="K227" s="39">
        <f t="shared" ref="K227:M227" si="548">K225*3</f>
        <v>2664</v>
      </c>
      <c r="L227" s="40">
        <f t="shared" si="548"/>
        <v>2433</v>
      </c>
      <c r="M227" s="39">
        <f t="shared" si="548"/>
        <v>6156</v>
      </c>
      <c r="N227" s="9"/>
      <c r="O227" s="39">
        <f t="shared" si="545"/>
        <v>987</v>
      </c>
      <c r="P227" s="40">
        <f t="shared" ref="P227:Q227" si="549">H227+P226</f>
        <v>5522</v>
      </c>
      <c r="Q227" s="39">
        <f t="shared" si="549"/>
        <v>6847</v>
      </c>
      <c r="R227" s="10"/>
      <c r="S227" s="266">
        <f t="shared" ref="S227:U227" si="550">O227/K227</f>
        <v>0.37049549549549549</v>
      </c>
      <c r="T227" s="264">
        <f t="shared" si="550"/>
        <v>2.2696259761611182</v>
      </c>
      <c r="U227" s="264">
        <f t="shared" si="550"/>
        <v>1.1122482131254061</v>
      </c>
      <c r="X227" s="14"/>
      <c r="Y227" s="14" t="s">
        <v>1356</v>
      </c>
      <c r="Z227" s="258" t="s">
        <v>1356</v>
      </c>
      <c r="AA227" s="13"/>
      <c r="AB227" s="258" t="s">
        <v>1356</v>
      </c>
      <c r="AD227" s="258" t="str">
        <f t="shared" si="2"/>
        <v xml:space="preserve"> </v>
      </c>
      <c r="AE227" s="258" t="str">
        <f t="shared" si="3"/>
        <v xml:space="preserve"> </v>
      </c>
      <c r="AF227" s="258">
        <f t="shared" si="4"/>
        <v>1573</v>
      </c>
      <c r="AG227" s="258" t="str">
        <f t="shared" si="5"/>
        <v xml:space="preserve"> </v>
      </c>
    </row>
    <row r="228" spans="1:33" x14ac:dyDescent="0.25">
      <c r="A228" s="29" t="s">
        <v>595</v>
      </c>
      <c r="B228" s="31">
        <v>8</v>
      </c>
      <c r="C228" s="34" t="s">
        <v>412</v>
      </c>
      <c r="D228" s="34">
        <v>2018</v>
      </c>
      <c r="E228" s="36">
        <v>64</v>
      </c>
      <c r="F228" s="36">
        <v>192</v>
      </c>
      <c r="G228" s="36">
        <v>97</v>
      </c>
      <c r="H228" s="38">
        <v>1072</v>
      </c>
      <c r="I228" s="36">
        <v>1425</v>
      </c>
      <c r="J228" s="9"/>
      <c r="K228" s="39">
        <f t="shared" ref="K228:M228" si="551">K225*4</f>
        <v>3552</v>
      </c>
      <c r="L228" s="40">
        <f t="shared" si="551"/>
        <v>3244</v>
      </c>
      <c r="M228" s="39">
        <f t="shared" si="551"/>
        <v>8208</v>
      </c>
      <c r="N228" s="9"/>
      <c r="O228" s="39">
        <f t="shared" si="545"/>
        <v>1243</v>
      </c>
      <c r="P228" s="40">
        <f t="shared" ref="P228:Q228" si="552">H228+P227</f>
        <v>6594</v>
      </c>
      <c r="Q228" s="39">
        <f t="shared" si="552"/>
        <v>8272</v>
      </c>
      <c r="R228" s="10"/>
      <c r="S228" s="266">
        <f t="shared" ref="S228:U228" si="553">O228/K228</f>
        <v>0.34994369369369371</v>
      </c>
      <c r="T228" s="264">
        <f t="shared" si="553"/>
        <v>2.0326757090012331</v>
      </c>
      <c r="U228" s="264">
        <f t="shared" si="553"/>
        <v>1.0077972709551657</v>
      </c>
      <c r="V228" s="261" t="s">
        <v>595</v>
      </c>
      <c r="X228" s="14">
        <v>16418</v>
      </c>
      <c r="Y228" s="14">
        <v>8208</v>
      </c>
      <c r="Z228" s="258">
        <v>8272</v>
      </c>
      <c r="AA228" s="13"/>
      <c r="AB228" s="258" t="s">
        <v>1356</v>
      </c>
      <c r="AD228" s="258" t="str">
        <f t="shared" si="2"/>
        <v xml:space="preserve"> </v>
      </c>
      <c r="AE228" s="258" t="str">
        <f t="shared" si="3"/>
        <v xml:space="preserve"> </v>
      </c>
      <c r="AF228" s="258" t="str">
        <f t="shared" si="4"/>
        <v xml:space="preserve"> </v>
      </c>
      <c r="AG228" s="258">
        <f t="shared" si="5"/>
        <v>1425</v>
      </c>
    </row>
    <row r="229" spans="1:33" x14ac:dyDescent="0.25">
      <c r="A229" s="46"/>
      <c r="B229" s="47"/>
      <c r="C229" s="32"/>
      <c r="D229" s="32"/>
      <c r="E229" s="48"/>
      <c r="F229" s="48"/>
      <c r="G229" s="48"/>
      <c r="H229" s="49"/>
      <c r="I229" s="48"/>
      <c r="J229" s="50"/>
      <c r="K229" s="51"/>
      <c r="L229" s="52"/>
      <c r="M229" s="51"/>
      <c r="N229" s="50"/>
      <c r="O229" s="51"/>
      <c r="P229" s="52"/>
      <c r="Q229" s="51"/>
      <c r="R229" s="53"/>
      <c r="W229" s="1"/>
      <c r="X229" s="14"/>
      <c r="Y229" s="14" t="s">
        <v>1356</v>
      </c>
      <c r="Z229" s="258" t="s">
        <v>1356</v>
      </c>
      <c r="AA229" s="54"/>
      <c r="AB229" s="258" t="s">
        <v>1356</v>
      </c>
      <c r="AD229" s="258" t="str">
        <f t="shared" si="2"/>
        <v xml:space="preserve"> </v>
      </c>
      <c r="AE229" s="258" t="str">
        <f t="shared" si="3"/>
        <v xml:space="preserve"> </v>
      </c>
      <c r="AF229" s="258" t="str">
        <f t="shared" si="4"/>
        <v xml:space="preserve"> </v>
      </c>
      <c r="AG229" s="258" t="str">
        <f t="shared" si="5"/>
        <v xml:space="preserve"> </v>
      </c>
    </row>
    <row r="230" spans="1:33" x14ac:dyDescent="0.25">
      <c r="A230" s="29" t="s">
        <v>602</v>
      </c>
      <c r="B230" s="31">
        <v>8</v>
      </c>
      <c r="C230" s="34" t="s">
        <v>603</v>
      </c>
      <c r="D230" s="34">
        <v>2015</v>
      </c>
      <c r="E230" s="36">
        <v>54</v>
      </c>
      <c r="F230" s="36">
        <v>45</v>
      </c>
      <c r="G230" s="36">
        <v>443</v>
      </c>
      <c r="H230" s="38">
        <v>771</v>
      </c>
      <c r="I230" s="36">
        <v>1313</v>
      </c>
      <c r="J230" s="9"/>
      <c r="K230" s="39">
        <f>ROUND((2626+1810)/8,0)</f>
        <v>555</v>
      </c>
      <c r="L230" s="40">
        <f>ROUND(4545/8,0)</f>
        <v>568</v>
      </c>
      <c r="M230" s="39">
        <f>ROUND(11030/8,0)</f>
        <v>1379</v>
      </c>
      <c r="N230" s="9"/>
      <c r="O230" s="39">
        <f>E230+F230</f>
        <v>99</v>
      </c>
      <c r="P230" s="40">
        <f t="shared" ref="P230:Q230" si="554">H230</f>
        <v>771</v>
      </c>
      <c r="Q230" s="39">
        <f t="shared" si="554"/>
        <v>1313</v>
      </c>
      <c r="R230" s="10"/>
      <c r="S230" s="266">
        <f t="shared" ref="S230:U230" si="555">O230/K230</f>
        <v>0.17837837837837839</v>
      </c>
      <c r="T230" s="264">
        <f t="shared" si="555"/>
        <v>1.357394366197183</v>
      </c>
      <c r="U230" s="264">
        <f t="shared" si="555"/>
        <v>0.95213923132704859</v>
      </c>
      <c r="X230" s="14"/>
      <c r="Y230" s="14" t="s">
        <v>1356</v>
      </c>
      <c r="Z230" s="258" t="s">
        <v>1356</v>
      </c>
      <c r="AA230" s="13"/>
      <c r="AB230" s="258">
        <v>1379</v>
      </c>
      <c r="AD230" s="258">
        <f t="shared" si="2"/>
        <v>1313</v>
      </c>
      <c r="AE230" s="258" t="str">
        <f t="shared" si="3"/>
        <v xml:space="preserve"> </v>
      </c>
      <c r="AF230" s="258" t="str">
        <f t="shared" si="4"/>
        <v xml:space="preserve"> </v>
      </c>
      <c r="AG230" s="258" t="str">
        <f t="shared" si="5"/>
        <v xml:space="preserve"> </v>
      </c>
    </row>
    <row r="231" spans="1:33" x14ac:dyDescent="0.25">
      <c r="A231" s="29" t="s">
        <v>602</v>
      </c>
      <c r="B231" s="31">
        <v>8</v>
      </c>
      <c r="C231" s="34" t="s">
        <v>603</v>
      </c>
      <c r="D231" s="34">
        <v>2016</v>
      </c>
      <c r="E231" s="36">
        <v>123</v>
      </c>
      <c r="F231" s="36">
        <v>112</v>
      </c>
      <c r="G231" s="36">
        <v>27</v>
      </c>
      <c r="H231" s="38">
        <v>594</v>
      </c>
      <c r="I231" s="36">
        <v>856</v>
      </c>
      <c r="J231" s="9"/>
      <c r="K231" s="39">
        <f t="shared" ref="K231:M231" si="556">K230*2</f>
        <v>1110</v>
      </c>
      <c r="L231" s="40">
        <f t="shared" si="556"/>
        <v>1136</v>
      </c>
      <c r="M231" s="39">
        <f t="shared" si="556"/>
        <v>2758</v>
      </c>
      <c r="N231" s="9"/>
      <c r="O231" s="39">
        <f t="shared" ref="O231:O233" si="557">E231+F231+O230</f>
        <v>334</v>
      </c>
      <c r="P231" s="40">
        <f t="shared" ref="P231:Q231" si="558">H231+P230</f>
        <v>1365</v>
      </c>
      <c r="Q231" s="39">
        <f t="shared" si="558"/>
        <v>2169</v>
      </c>
      <c r="R231" s="10"/>
      <c r="S231" s="266">
        <f t="shared" ref="S231:U231" si="559">O231/K231</f>
        <v>0.30090090090090088</v>
      </c>
      <c r="T231" s="264">
        <f t="shared" si="559"/>
        <v>1.2015845070422535</v>
      </c>
      <c r="U231" s="264">
        <f t="shared" si="559"/>
        <v>0.78643944887599715</v>
      </c>
      <c r="X231" s="14"/>
      <c r="Y231" s="14" t="s">
        <v>1356</v>
      </c>
      <c r="Z231" s="258" t="s">
        <v>1356</v>
      </c>
      <c r="AA231" s="13"/>
      <c r="AB231" s="258" t="s">
        <v>1356</v>
      </c>
      <c r="AD231" s="258" t="str">
        <f t="shared" si="2"/>
        <v xml:space="preserve"> </v>
      </c>
      <c r="AE231" s="258">
        <f t="shared" si="3"/>
        <v>856</v>
      </c>
      <c r="AF231" s="258" t="str">
        <f t="shared" si="4"/>
        <v xml:space="preserve"> </v>
      </c>
      <c r="AG231" s="258" t="str">
        <f t="shared" si="5"/>
        <v xml:space="preserve"> </v>
      </c>
    </row>
    <row r="232" spans="1:33" x14ac:dyDescent="0.25">
      <c r="A232" s="29" t="s">
        <v>602</v>
      </c>
      <c r="B232" s="31">
        <v>8</v>
      </c>
      <c r="C232" s="34" t="s">
        <v>603</v>
      </c>
      <c r="D232" s="34">
        <v>2017</v>
      </c>
      <c r="E232" s="36">
        <v>8</v>
      </c>
      <c r="F232" s="36">
        <v>4</v>
      </c>
      <c r="G232" s="36">
        <v>447</v>
      </c>
      <c r="H232" s="38">
        <v>552</v>
      </c>
      <c r="I232" s="36">
        <v>1011</v>
      </c>
      <c r="J232" s="9"/>
      <c r="K232" s="39">
        <f t="shared" ref="K232:M232" si="560">K230*3</f>
        <v>1665</v>
      </c>
      <c r="L232" s="40">
        <f t="shared" si="560"/>
        <v>1704</v>
      </c>
      <c r="M232" s="39">
        <f t="shared" si="560"/>
        <v>4137</v>
      </c>
      <c r="N232" s="9"/>
      <c r="O232" s="39">
        <f t="shared" si="557"/>
        <v>346</v>
      </c>
      <c r="P232" s="40">
        <f t="shared" ref="P232:Q232" si="561">H232+P231</f>
        <v>1917</v>
      </c>
      <c r="Q232" s="39">
        <f t="shared" si="561"/>
        <v>3180</v>
      </c>
      <c r="R232" s="10"/>
      <c r="S232" s="266">
        <f t="shared" ref="S232:U232" si="562">O232/K232</f>
        <v>0.2078078078078078</v>
      </c>
      <c r="T232" s="264">
        <f t="shared" si="562"/>
        <v>1.125</v>
      </c>
      <c r="U232" s="264">
        <f t="shared" si="562"/>
        <v>0.76867295141406822</v>
      </c>
      <c r="X232" s="14"/>
      <c r="Y232" s="14" t="s">
        <v>1356</v>
      </c>
      <c r="Z232" s="258" t="s">
        <v>1356</v>
      </c>
      <c r="AA232" s="13"/>
      <c r="AB232" s="258" t="s">
        <v>1356</v>
      </c>
      <c r="AD232" s="258" t="str">
        <f t="shared" si="2"/>
        <v xml:space="preserve"> </v>
      </c>
      <c r="AE232" s="258" t="str">
        <f t="shared" si="3"/>
        <v xml:space="preserve"> </v>
      </c>
      <c r="AF232" s="258">
        <f t="shared" si="4"/>
        <v>1011</v>
      </c>
      <c r="AG232" s="258" t="str">
        <f t="shared" si="5"/>
        <v xml:space="preserve"> </v>
      </c>
    </row>
    <row r="233" spans="1:33" x14ac:dyDescent="0.25">
      <c r="A233" s="29" t="s">
        <v>602</v>
      </c>
      <c r="B233" s="31">
        <v>8</v>
      </c>
      <c r="C233" s="34" t="s">
        <v>603</v>
      </c>
      <c r="D233" s="34">
        <v>2018</v>
      </c>
      <c r="E233" s="36">
        <v>88</v>
      </c>
      <c r="F233" s="36">
        <v>246</v>
      </c>
      <c r="G233" s="36">
        <v>87</v>
      </c>
      <c r="H233" s="38">
        <v>627</v>
      </c>
      <c r="I233" s="36">
        <v>1048</v>
      </c>
      <c r="J233" s="9"/>
      <c r="K233" s="39">
        <f t="shared" ref="K233:M233" si="563">K230*4</f>
        <v>2220</v>
      </c>
      <c r="L233" s="40">
        <f t="shared" si="563"/>
        <v>2272</v>
      </c>
      <c r="M233" s="39">
        <f t="shared" si="563"/>
        <v>5516</v>
      </c>
      <c r="N233" s="9"/>
      <c r="O233" s="39">
        <f t="shared" si="557"/>
        <v>680</v>
      </c>
      <c r="P233" s="40">
        <f t="shared" ref="P233:Q233" si="564">H233+P232</f>
        <v>2544</v>
      </c>
      <c r="Q233" s="39">
        <f t="shared" si="564"/>
        <v>4228</v>
      </c>
      <c r="R233" s="10"/>
      <c r="S233" s="266">
        <f t="shared" ref="S233:U233" si="565">O233/K233</f>
        <v>0.30630630630630629</v>
      </c>
      <c r="T233" s="264">
        <f t="shared" si="565"/>
        <v>1.119718309859155</v>
      </c>
      <c r="U233" s="264">
        <f t="shared" si="565"/>
        <v>0.76649746192893398</v>
      </c>
      <c r="V233" s="261" t="s">
        <v>602</v>
      </c>
      <c r="X233" s="14">
        <v>11030</v>
      </c>
      <c r="Y233" s="14">
        <v>5516</v>
      </c>
      <c r="Z233" s="258">
        <v>4228</v>
      </c>
      <c r="AA233" s="13"/>
      <c r="AB233" s="258" t="s">
        <v>1356</v>
      </c>
      <c r="AD233" s="258" t="str">
        <f t="shared" si="2"/>
        <v xml:space="preserve"> </v>
      </c>
      <c r="AE233" s="258" t="str">
        <f t="shared" si="3"/>
        <v xml:space="preserve"> </v>
      </c>
      <c r="AF233" s="258" t="str">
        <f t="shared" si="4"/>
        <v xml:space="preserve"> </v>
      </c>
      <c r="AG233" s="258">
        <f t="shared" si="5"/>
        <v>1048</v>
      </c>
    </row>
    <row r="234" spans="1:33" x14ac:dyDescent="0.25">
      <c r="A234" s="46"/>
      <c r="B234" s="47"/>
      <c r="C234" s="32"/>
      <c r="D234" s="32"/>
      <c r="E234" s="48"/>
      <c r="F234" s="48"/>
      <c r="G234" s="48"/>
      <c r="H234" s="49"/>
      <c r="I234" s="48"/>
      <c r="J234" s="50"/>
      <c r="K234" s="51"/>
      <c r="L234" s="52"/>
      <c r="M234" s="51"/>
      <c r="N234" s="50"/>
      <c r="O234" s="51"/>
      <c r="P234" s="52"/>
      <c r="Q234" s="51"/>
      <c r="R234" s="53"/>
      <c r="W234" s="1"/>
      <c r="X234" s="14"/>
      <c r="Y234" s="14" t="s">
        <v>1356</v>
      </c>
      <c r="Z234" s="258" t="s">
        <v>1356</v>
      </c>
      <c r="AA234" s="54"/>
      <c r="AB234" s="258" t="s">
        <v>1356</v>
      </c>
      <c r="AD234" s="258" t="str">
        <f t="shared" si="2"/>
        <v xml:space="preserve"> </v>
      </c>
      <c r="AE234" s="258" t="str">
        <f t="shared" si="3"/>
        <v xml:space="preserve"> </v>
      </c>
      <c r="AF234" s="258" t="str">
        <f t="shared" si="4"/>
        <v xml:space="preserve"> </v>
      </c>
      <c r="AG234" s="258" t="str">
        <f t="shared" si="5"/>
        <v xml:space="preserve"> </v>
      </c>
    </row>
    <row r="235" spans="1:33" x14ac:dyDescent="0.25">
      <c r="A235" s="29" t="s">
        <v>614</v>
      </c>
      <c r="B235" s="31">
        <v>8</v>
      </c>
      <c r="C235" s="34" t="s">
        <v>412</v>
      </c>
      <c r="D235" s="34">
        <v>2015</v>
      </c>
      <c r="E235" s="36">
        <v>204</v>
      </c>
      <c r="F235" s="36">
        <v>456</v>
      </c>
      <c r="G235" s="36">
        <v>196</v>
      </c>
      <c r="H235" s="38">
        <v>5298</v>
      </c>
      <c r="I235" s="36">
        <v>6154</v>
      </c>
      <c r="J235" s="9"/>
      <c r="K235" s="39">
        <f>ROUND((15158+9542)/8,0)</f>
        <v>3088</v>
      </c>
      <c r="L235" s="40">
        <f>ROUND(22500/8,0)</f>
        <v>2813</v>
      </c>
      <c r="M235" s="39">
        <f>ROUND(58836/8,0)</f>
        <v>7355</v>
      </c>
      <c r="N235" s="9"/>
      <c r="O235" s="39">
        <f>E235+F235</f>
        <v>660</v>
      </c>
      <c r="P235" s="40">
        <f t="shared" ref="P235:Q235" si="566">H235</f>
        <v>5298</v>
      </c>
      <c r="Q235" s="39">
        <f t="shared" si="566"/>
        <v>6154</v>
      </c>
      <c r="R235" s="10"/>
      <c r="S235" s="266">
        <f t="shared" ref="S235:U235" si="567">O235/K235</f>
        <v>0.21373056994818654</v>
      </c>
      <c r="T235" s="264">
        <f t="shared" si="567"/>
        <v>1.8833985069321009</v>
      </c>
      <c r="U235" s="264">
        <f t="shared" si="567"/>
        <v>0.83670972127804211</v>
      </c>
      <c r="X235" s="14"/>
      <c r="Y235" s="14" t="s">
        <v>1356</v>
      </c>
      <c r="Z235" s="258" t="s">
        <v>1356</v>
      </c>
      <c r="AA235" s="13"/>
      <c r="AB235" s="258">
        <v>7355</v>
      </c>
      <c r="AD235" s="258">
        <f t="shared" si="2"/>
        <v>6154</v>
      </c>
      <c r="AE235" s="258" t="str">
        <f t="shared" si="3"/>
        <v xml:space="preserve"> </v>
      </c>
      <c r="AF235" s="258" t="str">
        <f t="shared" si="4"/>
        <v xml:space="preserve"> </v>
      </c>
      <c r="AG235" s="258" t="str">
        <f t="shared" si="5"/>
        <v xml:space="preserve"> </v>
      </c>
    </row>
    <row r="236" spans="1:33" x14ac:dyDescent="0.25">
      <c r="A236" s="29" t="s">
        <v>614</v>
      </c>
      <c r="B236" s="31">
        <v>8</v>
      </c>
      <c r="C236" s="34" t="s">
        <v>412</v>
      </c>
      <c r="D236" s="34">
        <v>2016</v>
      </c>
      <c r="E236" s="36">
        <v>387</v>
      </c>
      <c r="F236" s="36">
        <v>149</v>
      </c>
      <c r="G236" s="36">
        <v>88</v>
      </c>
      <c r="H236" s="38">
        <v>3801</v>
      </c>
      <c r="I236" s="36">
        <v>4425</v>
      </c>
      <c r="J236" s="9"/>
      <c r="K236" s="39">
        <f t="shared" ref="K236:M236" si="568">K235*2</f>
        <v>6176</v>
      </c>
      <c r="L236" s="40">
        <f t="shared" si="568"/>
        <v>5626</v>
      </c>
      <c r="M236" s="39">
        <f t="shared" si="568"/>
        <v>14710</v>
      </c>
      <c r="N236" s="9"/>
      <c r="O236" s="39">
        <f t="shared" ref="O236:O238" si="569">E236+F236+O235</f>
        <v>1196</v>
      </c>
      <c r="P236" s="40">
        <f t="shared" ref="P236:Q236" si="570">H236+P235</f>
        <v>9099</v>
      </c>
      <c r="Q236" s="39">
        <f t="shared" si="570"/>
        <v>10579</v>
      </c>
      <c r="R236" s="10"/>
      <c r="S236" s="266">
        <f t="shared" ref="S236:U236" si="571">O236/K236</f>
        <v>0.19365284974093264</v>
      </c>
      <c r="T236" s="264">
        <f t="shared" si="571"/>
        <v>1.6173124777817276</v>
      </c>
      <c r="U236" s="264">
        <f t="shared" si="571"/>
        <v>0.71917063222297761</v>
      </c>
      <c r="X236" s="14"/>
      <c r="Y236" s="14" t="s">
        <v>1356</v>
      </c>
      <c r="Z236" s="258" t="s">
        <v>1356</v>
      </c>
      <c r="AA236" s="13"/>
      <c r="AB236" s="258" t="s">
        <v>1356</v>
      </c>
      <c r="AD236" s="258" t="str">
        <f t="shared" si="2"/>
        <v xml:space="preserve"> </v>
      </c>
      <c r="AE236" s="258">
        <f t="shared" si="3"/>
        <v>4425</v>
      </c>
      <c r="AF236" s="258" t="str">
        <f t="shared" si="4"/>
        <v xml:space="preserve"> </v>
      </c>
      <c r="AG236" s="258" t="str">
        <f t="shared" si="5"/>
        <v xml:space="preserve"> </v>
      </c>
    </row>
    <row r="237" spans="1:33" x14ac:dyDescent="0.25">
      <c r="A237" s="29" t="s">
        <v>614</v>
      </c>
      <c r="B237" s="31">
        <v>8</v>
      </c>
      <c r="C237" s="34" t="s">
        <v>412</v>
      </c>
      <c r="D237" s="34">
        <v>2017</v>
      </c>
      <c r="E237" s="36">
        <v>364</v>
      </c>
      <c r="F237" s="36">
        <v>275</v>
      </c>
      <c r="G237" s="36">
        <v>401</v>
      </c>
      <c r="H237" s="38">
        <v>6828</v>
      </c>
      <c r="I237" s="36">
        <v>7868</v>
      </c>
      <c r="J237" s="9"/>
      <c r="K237" s="39">
        <f t="shared" ref="K237:M237" si="572">K235*3</f>
        <v>9264</v>
      </c>
      <c r="L237" s="40">
        <f t="shared" si="572"/>
        <v>8439</v>
      </c>
      <c r="M237" s="39">
        <f t="shared" si="572"/>
        <v>22065</v>
      </c>
      <c r="N237" s="9"/>
      <c r="O237" s="39">
        <f t="shared" si="569"/>
        <v>1835</v>
      </c>
      <c r="P237" s="40">
        <f t="shared" ref="P237:Q237" si="573">H237+P236</f>
        <v>15927</v>
      </c>
      <c r="Q237" s="39">
        <f t="shared" si="573"/>
        <v>18447</v>
      </c>
      <c r="R237" s="10"/>
      <c r="S237" s="266">
        <f t="shared" ref="S237:U237" si="574">O237/K237</f>
        <v>0.19807858376511225</v>
      </c>
      <c r="T237" s="264">
        <f t="shared" si="574"/>
        <v>1.8873089228581585</v>
      </c>
      <c r="U237" s="264">
        <f t="shared" si="574"/>
        <v>0.83602991162474505</v>
      </c>
      <c r="X237" s="14"/>
      <c r="Y237" s="14" t="s">
        <v>1356</v>
      </c>
      <c r="Z237" s="258" t="s">
        <v>1356</v>
      </c>
      <c r="AA237" s="13"/>
      <c r="AB237" s="258" t="s">
        <v>1356</v>
      </c>
      <c r="AD237" s="258" t="str">
        <f t="shared" si="2"/>
        <v xml:space="preserve"> </v>
      </c>
      <c r="AE237" s="258" t="str">
        <f t="shared" si="3"/>
        <v xml:space="preserve"> </v>
      </c>
      <c r="AF237" s="258">
        <f t="shared" si="4"/>
        <v>7868</v>
      </c>
      <c r="AG237" s="258" t="str">
        <f t="shared" si="5"/>
        <v xml:space="preserve"> </v>
      </c>
    </row>
    <row r="238" spans="1:33" x14ac:dyDescent="0.25">
      <c r="A238" s="29" t="s">
        <v>614</v>
      </c>
      <c r="B238" s="31">
        <v>8</v>
      </c>
      <c r="C238" s="34" t="s">
        <v>412</v>
      </c>
      <c r="D238" s="34">
        <v>2018</v>
      </c>
      <c r="E238" s="36">
        <v>286</v>
      </c>
      <c r="F238" s="36">
        <v>85</v>
      </c>
      <c r="G238" s="36">
        <v>1731</v>
      </c>
      <c r="H238" s="38">
        <v>5378</v>
      </c>
      <c r="I238" s="36">
        <v>7480</v>
      </c>
      <c r="J238" s="9"/>
      <c r="K238" s="39">
        <f t="shared" ref="K238:M238" si="575">K235*4</f>
        <v>12352</v>
      </c>
      <c r="L238" s="40">
        <f t="shared" si="575"/>
        <v>11252</v>
      </c>
      <c r="M238" s="39">
        <f t="shared" si="575"/>
        <v>29420</v>
      </c>
      <c r="N238" s="9"/>
      <c r="O238" s="39">
        <f t="shared" si="569"/>
        <v>2206</v>
      </c>
      <c r="P238" s="40">
        <f t="shared" ref="P238:Q238" si="576">H238+P237</f>
        <v>21305</v>
      </c>
      <c r="Q238" s="39">
        <f t="shared" si="576"/>
        <v>25927</v>
      </c>
      <c r="R238" s="10"/>
      <c r="S238" s="266">
        <f t="shared" ref="S238:U238" si="577">O238/K238</f>
        <v>0.17859455958549222</v>
      </c>
      <c r="T238" s="264">
        <f t="shared" si="577"/>
        <v>1.8934411660149306</v>
      </c>
      <c r="U238" s="264">
        <f t="shared" si="577"/>
        <v>0.88127124405166557</v>
      </c>
      <c r="V238" s="261" t="s">
        <v>614</v>
      </c>
      <c r="X238" s="14">
        <v>58836</v>
      </c>
      <c r="Y238" s="14">
        <v>29420</v>
      </c>
      <c r="Z238" s="258">
        <v>25927</v>
      </c>
      <c r="AA238" s="13"/>
      <c r="AB238" s="258" t="s">
        <v>1356</v>
      </c>
      <c r="AD238" s="258" t="str">
        <f t="shared" si="2"/>
        <v xml:space="preserve"> </v>
      </c>
      <c r="AE238" s="258" t="str">
        <f t="shared" si="3"/>
        <v xml:space="preserve"> </v>
      </c>
      <c r="AF238" s="258" t="str">
        <f t="shared" si="4"/>
        <v xml:space="preserve"> </v>
      </c>
      <c r="AG238" s="258">
        <f t="shared" si="5"/>
        <v>7480</v>
      </c>
    </row>
    <row r="239" spans="1:33" x14ac:dyDescent="0.25">
      <c r="A239" s="46"/>
      <c r="B239" s="47"/>
      <c r="C239" s="32"/>
      <c r="D239" s="32"/>
      <c r="E239" s="48"/>
      <c r="F239" s="48"/>
      <c r="G239" s="48"/>
      <c r="H239" s="49"/>
      <c r="I239" s="48"/>
      <c r="J239" s="50"/>
      <c r="K239" s="51"/>
      <c r="L239" s="52"/>
      <c r="M239" s="51"/>
      <c r="N239" s="50"/>
      <c r="O239" s="51"/>
      <c r="P239" s="52"/>
      <c r="Q239" s="51"/>
      <c r="R239" s="53"/>
      <c r="W239" s="1"/>
      <c r="X239" s="14"/>
      <c r="Y239" s="14" t="s">
        <v>1356</v>
      </c>
      <c r="Z239" s="258" t="s">
        <v>1356</v>
      </c>
      <c r="AA239" s="54"/>
      <c r="AB239" s="258" t="s">
        <v>1356</v>
      </c>
      <c r="AD239" s="258" t="str">
        <f t="shared" si="2"/>
        <v xml:space="preserve"> </v>
      </c>
      <c r="AE239" s="258" t="str">
        <f t="shared" si="3"/>
        <v xml:space="preserve"> </v>
      </c>
      <c r="AF239" s="258" t="str">
        <f t="shared" si="4"/>
        <v xml:space="preserve"> </v>
      </c>
      <c r="AG239" s="258" t="str">
        <f t="shared" si="5"/>
        <v xml:space="preserve"> </v>
      </c>
    </row>
    <row r="240" spans="1:33" x14ac:dyDescent="0.25">
      <c r="A240" s="29" t="s">
        <v>621</v>
      </c>
      <c r="B240" s="31">
        <v>8</v>
      </c>
      <c r="C240" s="34" t="s">
        <v>126</v>
      </c>
      <c r="D240" s="34">
        <v>2016</v>
      </c>
      <c r="E240" s="36">
        <v>63</v>
      </c>
      <c r="F240" s="36">
        <v>40</v>
      </c>
      <c r="G240" s="36">
        <v>151</v>
      </c>
      <c r="H240" s="38">
        <v>98</v>
      </c>
      <c r="I240" s="36">
        <v>352</v>
      </c>
      <c r="J240" s="9"/>
      <c r="K240" s="39">
        <f>ROUND((734+480)/8,0)</f>
        <v>152</v>
      </c>
      <c r="L240" s="40">
        <v>159</v>
      </c>
      <c r="M240" s="39">
        <v>381</v>
      </c>
      <c r="N240" s="9"/>
      <c r="O240" s="39">
        <f>E240+F240</f>
        <v>103</v>
      </c>
      <c r="P240" s="40">
        <f t="shared" ref="P240:Q240" si="578">H240</f>
        <v>98</v>
      </c>
      <c r="Q240" s="39">
        <f t="shared" si="578"/>
        <v>352</v>
      </c>
      <c r="R240" s="10"/>
      <c r="S240" s="266">
        <f t="shared" ref="S240:U240" si="579">O240/K240</f>
        <v>0.67763157894736847</v>
      </c>
      <c r="T240" s="264">
        <f t="shared" si="579"/>
        <v>0.61635220125786161</v>
      </c>
      <c r="U240" s="264">
        <f t="shared" si="579"/>
        <v>0.92388451443569553</v>
      </c>
      <c r="X240" s="14"/>
      <c r="Y240" s="14" t="s">
        <v>1356</v>
      </c>
      <c r="Z240" s="258" t="s">
        <v>1356</v>
      </c>
      <c r="AA240" s="13"/>
      <c r="AB240" s="258">
        <v>381</v>
      </c>
      <c r="AD240" s="258" t="str">
        <f t="shared" si="2"/>
        <v xml:space="preserve"> </v>
      </c>
      <c r="AE240" s="258">
        <f t="shared" si="3"/>
        <v>352</v>
      </c>
      <c r="AF240" s="258" t="str">
        <f t="shared" si="4"/>
        <v xml:space="preserve"> </v>
      </c>
      <c r="AG240" s="258" t="str">
        <f t="shared" si="5"/>
        <v xml:space="preserve"> </v>
      </c>
    </row>
    <row r="241" spans="1:33" x14ac:dyDescent="0.25">
      <c r="A241" s="29" t="s">
        <v>621</v>
      </c>
      <c r="B241" s="31">
        <v>8</v>
      </c>
      <c r="C241" s="34" t="s">
        <v>126</v>
      </c>
      <c r="D241" s="34">
        <v>2017</v>
      </c>
      <c r="E241" s="36">
        <v>1</v>
      </c>
      <c r="F241" s="36">
        <v>19</v>
      </c>
      <c r="G241" s="36">
        <v>119</v>
      </c>
      <c r="H241" s="38">
        <v>308</v>
      </c>
      <c r="I241" s="36">
        <v>447</v>
      </c>
      <c r="J241" s="9"/>
      <c r="K241" s="39">
        <f t="shared" ref="K241:M241" si="580">K240*2</f>
        <v>304</v>
      </c>
      <c r="L241" s="40">
        <f t="shared" si="580"/>
        <v>318</v>
      </c>
      <c r="M241" s="39">
        <f t="shared" si="580"/>
        <v>762</v>
      </c>
      <c r="N241" s="9"/>
      <c r="O241" s="39">
        <f t="shared" ref="O241:O242" si="581">E241+F241+O240</f>
        <v>123</v>
      </c>
      <c r="P241" s="40">
        <f t="shared" ref="P241:Q241" si="582">H241+P240</f>
        <v>406</v>
      </c>
      <c r="Q241" s="39">
        <f t="shared" si="582"/>
        <v>799</v>
      </c>
      <c r="R241" s="10"/>
      <c r="S241" s="266">
        <f t="shared" ref="S241:U241" si="583">O241/K241</f>
        <v>0.40460526315789475</v>
      </c>
      <c r="T241" s="264">
        <f t="shared" si="583"/>
        <v>1.2767295597484276</v>
      </c>
      <c r="U241" s="264">
        <f t="shared" si="583"/>
        <v>1.0485564304461943</v>
      </c>
      <c r="X241" s="14"/>
      <c r="Y241" s="14" t="s">
        <v>1356</v>
      </c>
      <c r="Z241" s="258" t="s">
        <v>1356</v>
      </c>
      <c r="AA241" s="13"/>
      <c r="AB241" s="258" t="s">
        <v>1356</v>
      </c>
      <c r="AD241" s="258" t="str">
        <f t="shared" si="2"/>
        <v xml:space="preserve"> </v>
      </c>
      <c r="AE241" s="258" t="str">
        <f t="shared" si="3"/>
        <v xml:space="preserve"> </v>
      </c>
      <c r="AF241" s="258">
        <f t="shared" si="4"/>
        <v>447</v>
      </c>
      <c r="AG241" s="258" t="str">
        <f t="shared" si="5"/>
        <v xml:space="preserve"> </v>
      </c>
    </row>
    <row r="242" spans="1:33" x14ac:dyDescent="0.25">
      <c r="A242" s="29" t="s">
        <v>621</v>
      </c>
      <c r="B242" s="31">
        <v>8</v>
      </c>
      <c r="C242" s="34" t="s">
        <v>126</v>
      </c>
      <c r="D242" s="34">
        <v>2018</v>
      </c>
      <c r="E242" s="36">
        <v>6</v>
      </c>
      <c r="F242" s="36">
        <v>68</v>
      </c>
      <c r="G242" s="36">
        <v>30</v>
      </c>
      <c r="H242" s="38">
        <v>201</v>
      </c>
      <c r="I242" s="36">
        <v>305</v>
      </c>
      <c r="J242" s="9"/>
      <c r="K242" s="39">
        <f t="shared" ref="K242:M242" si="584">K240*3</f>
        <v>456</v>
      </c>
      <c r="L242" s="40">
        <f t="shared" si="584"/>
        <v>477</v>
      </c>
      <c r="M242" s="39">
        <f t="shared" si="584"/>
        <v>1143</v>
      </c>
      <c r="N242" s="9"/>
      <c r="O242" s="39">
        <f t="shared" si="581"/>
        <v>197</v>
      </c>
      <c r="P242" s="40">
        <f t="shared" ref="P242:Q242" si="585">H242+P241</f>
        <v>607</v>
      </c>
      <c r="Q242" s="39">
        <f t="shared" si="585"/>
        <v>1104</v>
      </c>
      <c r="R242" s="10"/>
      <c r="S242" s="266">
        <f t="shared" ref="S242:U242" si="586">O242/K242</f>
        <v>0.43201754385964913</v>
      </c>
      <c r="T242" s="264">
        <f t="shared" si="586"/>
        <v>1.2725366876310273</v>
      </c>
      <c r="U242" s="264">
        <f t="shared" si="586"/>
        <v>0.9658792650918635</v>
      </c>
      <c r="V242" s="261" t="s">
        <v>621</v>
      </c>
      <c r="X242" s="14">
        <v>3044</v>
      </c>
      <c r="Y242" s="14">
        <v>1143</v>
      </c>
      <c r="Z242" s="258">
        <v>1104</v>
      </c>
      <c r="AA242" s="13"/>
      <c r="AB242" s="258" t="s">
        <v>1356</v>
      </c>
      <c r="AD242" s="258" t="str">
        <f t="shared" si="2"/>
        <v xml:space="preserve"> </v>
      </c>
      <c r="AE242" s="258" t="str">
        <f t="shared" si="3"/>
        <v xml:space="preserve"> </v>
      </c>
      <c r="AF242" s="258" t="str">
        <f t="shared" si="4"/>
        <v xml:space="preserve"> </v>
      </c>
      <c r="AG242" s="258">
        <f t="shared" si="5"/>
        <v>305</v>
      </c>
    </row>
    <row r="243" spans="1:33" x14ac:dyDescent="0.25">
      <c r="A243" s="29"/>
      <c r="B243" s="31"/>
      <c r="C243" s="34"/>
      <c r="D243" s="34"/>
      <c r="E243" s="36"/>
      <c r="F243" s="36"/>
      <c r="G243" s="36"/>
      <c r="H243" s="38"/>
      <c r="I243" s="36"/>
      <c r="J243" s="9"/>
      <c r="K243" s="39"/>
      <c r="L243" s="40"/>
      <c r="M243" s="39"/>
      <c r="N243" s="9"/>
      <c r="O243" s="39"/>
      <c r="P243" s="40"/>
      <c r="Q243" s="39"/>
      <c r="R243" s="10"/>
      <c r="X243" s="14"/>
      <c r="Y243" s="14" t="s">
        <v>1356</v>
      </c>
      <c r="Z243" s="258" t="s">
        <v>1356</v>
      </c>
      <c r="AA243" s="13"/>
      <c r="AB243" s="258" t="s">
        <v>1356</v>
      </c>
      <c r="AD243" s="258" t="str">
        <f t="shared" si="2"/>
        <v xml:space="preserve"> </v>
      </c>
      <c r="AE243" s="258" t="str">
        <f t="shared" si="3"/>
        <v xml:space="preserve"> </v>
      </c>
      <c r="AF243" s="258" t="str">
        <f t="shared" si="4"/>
        <v xml:space="preserve"> </v>
      </c>
      <c r="AG243" s="258" t="str">
        <f t="shared" si="5"/>
        <v xml:space="preserve"> </v>
      </c>
    </row>
    <row r="244" spans="1:33" x14ac:dyDescent="0.25">
      <c r="A244" s="29" t="s">
        <v>631</v>
      </c>
      <c r="B244" s="31">
        <v>5</v>
      </c>
      <c r="C244" s="34" t="s">
        <v>69</v>
      </c>
      <c r="D244" s="34">
        <v>2014</v>
      </c>
      <c r="E244" s="36">
        <v>0</v>
      </c>
      <c r="F244" s="36">
        <v>2</v>
      </c>
      <c r="G244" s="36">
        <v>17</v>
      </c>
      <c r="H244" s="38">
        <v>83</v>
      </c>
      <c r="I244" s="36">
        <v>102</v>
      </c>
      <c r="J244" s="9"/>
      <c r="K244" s="39">
        <f>ROUND((540+340)/5,0)</f>
        <v>176</v>
      </c>
      <c r="L244" s="40">
        <v>188</v>
      </c>
      <c r="M244" s="39">
        <v>440</v>
      </c>
      <c r="N244" s="9"/>
      <c r="O244" s="39">
        <f>E244+F244</f>
        <v>2</v>
      </c>
      <c r="P244" s="40">
        <f t="shared" ref="P244:Q244" si="587">H244</f>
        <v>83</v>
      </c>
      <c r="Q244" s="39">
        <f t="shared" si="587"/>
        <v>102</v>
      </c>
      <c r="R244" s="10"/>
      <c r="S244" s="266">
        <f t="shared" ref="S244:U244" si="588">O244/K244</f>
        <v>1.1363636363636364E-2</v>
      </c>
      <c r="T244" s="264">
        <f t="shared" si="588"/>
        <v>0.44148936170212766</v>
      </c>
      <c r="U244" s="264">
        <f t="shared" si="588"/>
        <v>0.23181818181818181</v>
      </c>
      <c r="X244" s="14"/>
      <c r="Y244" s="14" t="s">
        <v>1356</v>
      </c>
      <c r="Z244" s="258" t="s">
        <v>1356</v>
      </c>
      <c r="AA244" s="13"/>
      <c r="AB244" s="258">
        <v>440</v>
      </c>
      <c r="AD244" s="258" t="str">
        <f t="shared" si="2"/>
        <v xml:space="preserve"> </v>
      </c>
      <c r="AE244" s="258" t="str">
        <f t="shared" si="3"/>
        <v xml:space="preserve"> </v>
      </c>
      <c r="AF244" s="258" t="str">
        <f t="shared" si="4"/>
        <v xml:space="preserve"> </v>
      </c>
      <c r="AG244" s="258" t="str">
        <f t="shared" si="5"/>
        <v xml:space="preserve"> </v>
      </c>
    </row>
    <row r="245" spans="1:33" x14ac:dyDescent="0.25">
      <c r="A245" s="29" t="s">
        <v>631</v>
      </c>
      <c r="B245" s="31">
        <v>5</v>
      </c>
      <c r="C245" s="34" t="s">
        <v>69</v>
      </c>
      <c r="D245" s="34">
        <v>2015</v>
      </c>
      <c r="E245" s="36">
        <v>42</v>
      </c>
      <c r="F245" s="36">
        <v>61</v>
      </c>
      <c r="G245" s="36">
        <v>82</v>
      </c>
      <c r="H245" s="38">
        <v>175</v>
      </c>
      <c r="I245" s="36">
        <v>360</v>
      </c>
      <c r="J245" s="9"/>
      <c r="K245" s="39">
        <f t="shared" ref="K245:M245" si="589">K244*2</f>
        <v>352</v>
      </c>
      <c r="L245" s="40">
        <f t="shared" si="589"/>
        <v>376</v>
      </c>
      <c r="M245" s="39">
        <f t="shared" si="589"/>
        <v>880</v>
      </c>
      <c r="N245" s="9"/>
      <c r="O245" s="39">
        <f t="shared" ref="O245:O248" si="590">E245+F245+O244</f>
        <v>105</v>
      </c>
      <c r="P245" s="40">
        <f t="shared" ref="P245:Q245" si="591">H245+P244</f>
        <v>258</v>
      </c>
      <c r="Q245" s="39">
        <f t="shared" si="591"/>
        <v>462</v>
      </c>
      <c r="R245" s="10"/>
      <c r="S245" s="266">
        <f t="shared" ref="S245:U245" si="592">O245/K245</f>
        <v>0.29829545454545453</v>
      </c>
      <c r="T245" s="264">
        <f t="shared" si="592"/>
        <v>0.68617021276595747</v>
      </c>
      <c r="U245" s="264">
        <f t="shared" si="592"/>
        <v>0.52500000000000002</v>
      </c>
      <c r="X245" s="14"/>
      <c r="Y245" s="14" t="s">
        <v>1356</v>
      </c>
      <c r="Z245" s="258" t="s">
        <v>1356</v>
      </c>
      <c r="AA245" s="13"/>
      <c r="AD245" s="258">
        <f t="shared" si="2"/>
        <v>360</v>
      </c>
      <c r="AE245" s="258" t="str">
        <f t="shared" si="3"/>
        <v xml:space="preserve"> </v>
      </c>
      <c r="AF245" s="258" t="str">
        <f t="shared" si="4"/>
        <v xml:space="preserve"> </v>
      </c>
      <c r="AG245" s="258" t="str">
        <f t="shared" si="5"/>
        <v xml:space="preserve"> </v>
      </c>
    </row>
    <row r="246" spans="1:33" x14ac:dyDescent="0.25">
      <c r="A246" s="29" t="s">
        <v>631</v>
      </c>
      <c r="B246" s="31">
        <v>5</v>
      </c>
      <c r="C246" s="34" t="s">
        <v>69</v>
      </c>
      <c r="D246" s="34">
        <v>2016</v>
      </c>
      <c r="E246" s="36">
        <v>2</v>
      </c>
      <c r="F246" s="36">
        <v>4</v>
      </c>
      <c r="G246" s="36">
        <v>47</v>
      </c>
      <c r="H246" s="38">
        <v>137</v>
      </c>
      <c r="I246" s="36">
        <v>190</v>
      </c>
      <c r="J246" s="9"/>
      <c r="K246" s="39">
        <f t="shared" ref="K246:M246" si="593">K244*3</f>
        <v>528</v>
      </c>
      <c r="L246" s="40">
        <f t="shared" si="593"/>
        <v>564</v>
      </c>
      <c r="M246" s="39">
        <f t="shared" si="593"/>
        <v>1320</v>
      </c>
      <c r="N246" s="9"/>
      <c r="O246" s="39">
        <f t="shared" si="590"/>
        <v>111</v>
      </c>
      <c r="P246" s="40">
        <f t="shared" ref="P246:Q246" si="594">H246+P245</f>
        <v>395</v>
      </c>
      <c r="Q246" s="39">
        <f t="shared" si="594"/>
        <v>652</v>
      </c>
      <c r="R246" s="10"/>
      <c r="S246" s="266">
        <f t="shared" ref="S246:U246" si="595">O246/K246</f>
        <v>0.21022727272727273</v>
      </c>
      <c r="T246" s="264">
        <f t="shared" si="595"/>
        <v>0.70035460992907805</v>
      </c>
      <c r="U246" s="264">
        <f t="shared" si="595"/>
        <v>0.49393939393939396</v>
      </c>
      <c r="X246" s="14"/>
      <c r="Y246" s="14" t="s">
        <v>1356</v>
      </c>
      <c r="Z246" s="258" t="s">
        <v>1356</v>
      </c>
      <c r="AA246" s="13"/>
      <c r="AB246" s="258" t="s">
        <v>1356</v>
      </c>
      <c r="AD246" s="258" t="str">
        <f t="shared" si="2"/>
        <v xml:space="preserve"> </v>
      </c>
      <c r="AE246" s="258">
        <f t="shared" si="3"/>
        <v>190</v>
      </c>
      <c r="AF246" s="258" t="str">
        <f t="shared" si="4"/>
        <v xml:space="preserve"> </v>
      </c>
      <c r="AG246" s="258" t="str">
        <f t="shared" si="5"/>
        <v xml:space="preserve"> </v>
      </c>
    </row>
    <row r="247" spans="1:33" x14ac:dyDescent="0.25">
      <c r="A247" s="29" t="s">
        <v>631</v>
      </c>
      <c r="B247" s="31">
        <v>5</v>
      </c>
      <c r="C247" s="34" t="s">
        <v>69</v>
      </c>
      <c r="D247" s="34">
        <v>2017</v>
      </c>
      <c r="E247" s="36">
        <v>27</v>
      </c>
      <c r="F247" s="36">
        <v>28</v>
      </c>
      <c r="G247" s="36">
        <v>218</v>
      </c>
      <c r="H247" s="38">
        <v>161</v>
      </c>
      <c r="I247" s="36">
        <v>434</v>
      </c>
      <c r="J247" s="9"/>
      <c r="K247" s="39">
        <f t="shared" ref="K247:M247" si="596">K244*4</f>
        <v>704</v>
      </c>
      <c r="L247" s="40">
        <f t="shared" si="596"/>
        <v>752</v>
      </c>
      <c r="M247" s="39">
        <f t="shared" si="596"/>
        <v>1760</v>
      </c>
      <c r="N247" s="9"/>
      <c r="O247" s="39">
        <f t="shared" si="590"/>
        <v>166</v>
      </c>
      <c r="P247" s="40">
        <f t="shared" ref="P247:Q247" si="597">H247+P246</f>
        <v>556</v>
      </c>
      <c r="Q247" s="39">
        <f t="shared" si="597"/>
        <v>1086</v>
      </c>
      <c r="R247" s="10"/>
      <c r="S247" s="266">
        <f t="shared" ref="S247:U247" si="598">O247/K247</f>
        <v>0.23579545454545456</v>
      </c>
      <c r="T247" s="264">
        <f t="shared" si="598"/>
        <v>0.73936170212765961</v>
      </c>
      <c r="U247" s="264">
        <f t="shared" si="598"/>
        <v>0.61704545454545456</v>
      </c>
      <c r="X247" s="14"/>
      <c r="Y247" s="14" t="s">
        <v>1356</v>
      </c>
      <c r="Z247" s="258" t="s">
        <v>1356</v>
      </c>
      <c r="AA247" s="13"/>
      <c r="AB247" s="258" t="s">
        <v>1356</v>
      </c>
      <c r="AD247" s="258" t="str">
        <f t="shared" si="2"/>
        <v xml:space="preserve"> </v>
      </c>
      <c r="AE247" s="258" t="str">
        <f t="shared" si="3"/>
        <v xml:space="preserve"> </v>
      </c>
      <c r="AF247" s="258">
        <f t="shared" si="4"/>
        <v>434</v>
      </c>
      <c r="AG247" s="258" t="str">
        <f t="shared" si="5"/>
        <v xml:space="preserve"> </v>
      </c>
    </row>
    <row r="248" spans="1:33" x14ac:dyDescent="0.25">
      <c r="A248" s="29" t="s">
        <v>631</v>
      </c>
      <c r="B248" s="31">
        <v>5</v>
      </c>
      <c r="C248" s="34" t="s">
        <v>69</v>
      </c>
      <c r="D248" s="34">
        <v>2018</v>
      </c>
      <c r="E248" s="36">
        <v>12</v>
      </c>
      <c r="F248" s="36">
        <v>118</v>
      </c>
      <c r="G248" s="36">
        <v>43</v>
      </c>
      <c r="H248" s="38">
        <v>280</v>
      </c>
      <c r="I248" s="36">
        <v>453</v>
      </c>
      <c r="J248" s="9"/>
      <c r="K248" s="39">
        <f t="shared" ref="K248:M248" si="599">K244*5</f>
        <v>880</v>
      </c>
      <c r="L248" s="40">
        <f t="shared" si="599"/>
        <v>940</v>
      </c>
      <c r="M248" s="39">
        <f t="shared" si="599"/>
        <v>2200</v>
      </c>
      <c r="N248" s="9"/>
      <c r="O248" s="39">
        <f t="shared" si="590"/>
        <v>296</v>
      </c>
      <c r="P248" s="40">
        <f t="shared" ref="P248:Q248" si="600">H248+P247</f>
        <v>836</v>
      </c>
      <c r="Q248" s="39">
        <f t="shared" si="600"/>
        <v>1539</v>
      </c>
      <c r="R248" s="10"/>
      <c r="S248" s="266">
        <f t="shared" ref="S248:U248" si="601">O248/K248</f>
        <v>0.33636363636363636</v>
      </c>
      <c r="T248" s="264">
        <f t="shared" si="601"/>
        <v>0.88936170212765953</v>
      </c>
      <c r="U248" s="264">
        <f t="shared" si="601"/>
        <v>0.69954545454545458</v>
      </c>
      <c r="V248" s="261" t="s">
        <v>631</v>
      </c>
      <c r="X248" s="14">
        <v>2200</v>
      </c>
      <c r="Y248" s="14">
        <v>2200</v>
      </c>
      <c r="Z248" s="258">
        <v>1539</v>
      </c>
      <c r="AA248" s="13"/>
      <c r="AB248" s="258" t="s">
        <v>1356</v>
      </c>
      <c r="AD248" s="258" t="str">
        <f t="shared" si="2"/>
        <v xml:space="preserve"> </v>
      </c>
      <c r="AE248" s="258" t="str">
        <f t="shared" si="3"/>
        <v xml:space="preserve"> </v>
      </c>
      <c r="AF248" s="258" t="str">
        <f t="shared" si="4"/>
        <v xml:space="preserve"> </v>
      </c>
      <c r="AG248" s="258">
        <f t="shared" si="5"/>
        <v>453</v>
      </c>
    </row>
    <row r="249" spans="1:33" x14ac:dyDescent="0.25">
      <c r="A249" s="29"/>
      <c r="B249" s="31"/>
      <c r="C249" s="34"/>
      <c r="D249" s="34"/>
      <c r="E249" s="36"/>
      <c r="F249" s="36"/>
      <c r="G249" s="36"/>
      <c r="H249" s="38"/>
      <c r="I249" s="36"/>
      <c r="J249" s="9"/>
      <c r="K249" s="39"/>
      <c r="L249" s="40"/>
      <c r="M249" s="39"/>
      <c r="N249" s="9"/>
      <c r="O249" s="39"/>
      <c r="P249" s="40"/>
      <c r="Q249" s="39"/>
      <c r="R249" s="10"/>
      <c r="X249" s="14"/>
      <c r="Y249" s="14" t="s">
        <v>1356</v>
      </c>
      <c r="Z249" s="258" t="s">
        <v>1356</v>
      </c>
      <c r="AA249" s="13"/>
      <c r="AB249" s="258" t="s">
        <v>1356</v>
      </c>
      <c r="AD249" s="258" t="str">
        <f t="shared" si="2"/>
        <v xml:space="preserve"> </v>
      </c>
      <c r="AE249" s="258" t="str">
        <f t="shared" si="3"/>
        <v xml:space="preserve"> </v>
      </c>
      <c r="AF249" s="258" t="str">
        <f t="shared" si="4"/>
        <v xml:space="preserve"> </v>
      </c>
      <c r="AG249" s="258" t="str">
        <f t="shared" si="5"/>
        <v xml:space="preserve"> </v>
      </c>
    </row>
    <row r="250" spans="1:33" x14ac:dyDescent="0.25">
      <c r="A250" s="29" t="s">
        <v>640</v>
      </c>
      <c r="B250" s="31">
        <v>5</v>
      </c>
      <c r="C250" s="34" t="s">
        <v>69</v>
      </c>
      <c r="D250" s="34">
        <v>2014</v>
      </c>
      <c r="E250" s="36">
        <v>0</v>
      </c>
      <c r="F250" s="36">
        <v>0</v>
      </c>
      <c r="G250" s="36">
        <v>0</v>
      </c>
      <c r="H250" s="38">
        <v>0</v>
      </c>
      <c r="I250" s="36">
        <v>0</v>
      </c>
      <c r="J250" s="9"/>
      <c r="K250" s="39">
        <f>ROUND((2+2)/5,0)</f>
        <v>1</v>
      </c>
      <c r="L250" s="40">
        <f>ROUND(1/5,0)</f>
        <v>0</v>
      </c>
      <c r="M250" s="39">
        <f t="shared" ref="M250:M254" si="602">K250+L250</f>
        <v>1</v>
      </c>
      <c r="N250" s="9"/>
      <c r="O250" s="39">
        <f t="shared" ref="O250:O254" si="603">E250+F250</f>
        <v>0</v>
      </c>
      <c r="P250" s="40">
        <f t="shared" ref="P250:Q250" si="604">H250</f>
        <v>0</v>
      </c>
      <c r="Q250" s="39">
        <f t="shared" si="604"/>
        <v>0</v>
      </c>
      <c r="R250" s="10"/>
      <c r="S250" s="266">
        <f t="shared" ref="S250:S254" si="605">O250/K250</f>
        <v>0</v>
      </c>
      <c r="T250" s="264">
        <v>0</v>
      </c>
      <c r="U250" s="264">
        <f>Q250/M250</f>
        <v>0</v>
      </c>
      <c r="X250" s="14"/>
      <c r="Y250" s="14"/>
      <c r="AA250" s="13"/>
      <c r="AB250" s="258">
        <f>M250</f>
        <v>1</v>
      </c>
      <c r="AD250" s="258" t="str">
        <f t="shared" si="2"/>
        <v xml:space="preserve"> </v>
      </c>
      <c r="AE250" s="258" t="str">
        <f t="shared" si="3"/>
        <v xml:space="preserve"> </v>
      </c>
      <c r="AF250" s="258" t="str">
        <f t="shared" si="4"/>
        <v xml:space="preserve"> </v>
      </c>
      <c r="AG250" s="258" t="str">
        <f t="shared" si="5"/>
        <v xml:space="preserve"> </v>
      </c>
    </row>
    <row r="251" spans="1:33" x14ac:dyDescent="0.25">
      <c r="A251" s="29" t="s">
        <v>640</v>
      </c>
      <c r="B251" s="31">
        <v>5</v>
      </c>
      <c r="C251" s="34" t="s">
        <v>69</v>
      </c>
      <c r="D251" s="34">
        <v>2015</v>
      </c>
      <c r="E251" s="36">
        <v>0</v>
      </c>
      <c r="F251" s="36">
        <v>0</v>
      </c>
      <c r="G251" s="36">
        <v>0</v>
      </c>
      <c r="H251" s="38">
        <v>0</v>
      </c>
      <c r="I251" s="36">
        <v>0</v>
      </c>
      <c r="J251" s="9"/>
      <c r="K251" s="39">
        <f>K250*2</f>
        <v>2</v>
      </c>
      <c r="L251" s="87">
        <v>1</v>
      </c>
      <c r="M251" s="39">
        <f t="shared" si="602"/>
        <v>3</v>
      </c>
      <c r="N251" s="9"/>
      <c r="O251" s="39">
        <f t="shared" si="603"/>
        <v>0</v>
      </c>
      <c r="P251" s="40">
        <f t="shared" ref="P251:Q251" si="606">H251</f>
        <v>0</v>
      </c>
      <c r="Q251" s="39">
        <f t="shared" si="606"/>
        <v>0</v>
      </c>
      <c r="R251" s="10"/>
      <c r="S251" s="266">
        <f t="shared" si="605"/>
        <v>0</v>
      </c>
      <c r="T251" s="264">
        <f t="shared" ref="T251:U251" si="607">P251/L251</f>
        <v>0</v>
      </c>
      <c r="U251" s="264">
        <f t="shared" si="607"/>
        <v>0</v>
      </c>
      <c r="X251" s="14"/>
      <c r="Y251" s="14"/>
      <c r="AA251" s="13"/>
      <c r="AD251" s="258">
        <f t="shared" si="2"/>
        <v>0</v>
      </c>
      <c r="AE251" s="258" t="str">
        <f t="shared" si="3"/>
        <v xml:space="preserve"> </v>
      </c>
      <c r="AF251" s="258" t="str">
        <f t="shared" si="4"/>
        <v xml:space="preserve"> </v>
      </c>
      <c r="AG251" s="258" t="str">
        <f t="shared" si="5"/>
        <v xml:space="preserve"> </v>
      </c>
    </row>
    <row r="252" spans="1:33" x14ac:dyDescent="0.25">
      <c r="A252" s="29" t="s">
        <v>640</v>
      </c>
      <c r="B252" s="31">
        <v>5</v>
      </c>
      <c r="C252" s="34" t="s">
        <v>69</v>
      </c>
      <c r="D252" s="34">
        <v>2016</v>
      </c>
      <c r="E252" s="36">
        <v>0</v>
      </c>
      <c r="F252" s="36">
        <v>0</v>
      </c>
      <c r="G252" s="36">
        <v>0</v>
      </c>
      <c r="H252" s="38">
        <v>0</v>
      </c>
      <c r="I252" s="36">
        <v>0</v>
      </c>
      <c r="J252" s="9"/>
      <c r="K252" s="39">
        <f>K250*3</f>
        <v>3</v>
      </c>
      <c r="L252" s="87">
        <v>1</v>
      </c>
      <c r="M252" s="39">
        <f t="shared" si="602"/>
        <v>4</v>
      </c>
      <c r="N252" s="9"/>
      <c r="O252" s="39">
        <f t="shared" si="603"/>
        <v>0</v>
      </c>
      <c r="P252" s="40">
        <f t="shared" ref="P252:Q252" si="608">H252</f>
        <v>0</v>
      </c>
      <c r="Q252" s="39">
        <f t="shared" si="608"/>
        <v>0</v>
      </c>
      <c r="R252" s="10"/>
      <c r="S252" s="266">
        <f t="shared" si="605"/>
        <v>0</v>
      </c>
      <c r="T252" s="264">
        <f t="shared" ref="T252:U252" si="609">P252/L252</f>
        <v>0</v>
      </c>
      <c r="U252" s="264">
        <f t="shared" si="609"/>
        <v>0</v>
      </c>
      <c r="X252" s="14"/>
      <c r="Y252" s="14"/>
      <c r="AA252" s="13"/>
      <c r="AD252" s="258" t="str">
        <f t="shared" si="2"/>
        <v xml:space="preserve"> </v>
      </c>
      <c r="AE252" s="258">
        <f t="shared" si="3"/>
        <v>0</v>
      </c>
      <c r="AF252" s="258" t="str">
        <f t="shared" si="4"/>
        <v xml:space="preserve"> </v>
      </c>
      <c r="AG252" s="258" t="str">
        <f t="shared" si="5"/>
        <v xml:space="preserve"> </v>
      </c>
    </row>
    <row r="253" spans="1:33" x14ac:dyDescent="0.25">
      <c r="A253" s="29" t="s">
        <v>640</v>
      </c>
      <c r="B253" s="31">
        <v>5</v>
      </c>
      <c r="C253" s="34" t="s">
        <v>69</v>
      </c>
      <c r="D253" s="34">
        <v>2017</v>
      </c>
      <c r="E253" s="36">
        <v>0</v>
      </c>
      <c r="F253" s="36">
        <v>0</v>
      </c>
      <c r="G253" s="36">
        <v>0</v>
      </c>
      <c r="H253" s="38">
        <v>0</v>
      </c>
      <c r="I253" s="36">
        <v>0</v>
      </c>
      <c r="J253" s="9"/>
      <c r="K253" s="39">
        <f>K250*4</f>
        <v>4</v>
      </c>
      <c r="L253" s="87">
        <v>2</v>
      </c>
      <c r="M253" s="39">
        <f t="shared" si="602"/>
        <v>6</v>
      </c>
      <c r="N253" s="9"/>
      <c r="O253" s="39">
        <f t="shared" si="603"/>
        <v>0</v>
      </c>
      <c r="P253" s="40">
        <f t="shared" ref="P253:Q253" si="610">H253</f>
        <v>0</v>
      </c>
      <c r="Q253" s="39">
        <f t="shared" si="610"/>
        <v>0</v>
      </c>
      <c r="R253" s="10"/>
      <c r="S253" s="266">
        <f t="shared" si="605"/>
        <v>0</v>
      </c>
      <c r="T253" s="264">
        <f t="shared" ref="T253:U253" si="611">P253/L253</f>
        <v>0</v>
      </c>
      <c r="U253" s="264">
        <f t="shared" si="611"/>
        <v>0</v>
      </c>
      <c r="X253" s="14"/>
      <c r="Y253" s="14"/>
      <c r="AA253" s="13"/>
      <c r="AD253" s="258" t="str">
        <f t="shared" si="2"/>
        <v xml:space="preserve"> </v>
      </c>
      <c r="AE253" s="258" t="str">
        <f t="shared" si="3"/>
        <v xml:space="preserve"> </v>
      </c>
      <c r="AF253" s="258">
        <f t="shared" si="4"/>
        <v>0</v>
      </c>
      <c r="AG253" s="258" t="str">
        <f t="shared" si="5"/>
        <v xml:space="preserve"> </v>
      </c>
    </row>
    <row r="254" spans="1:33" x14ac:dyDescent="0.25">
      <c r="A254" s="29" t="s">
        <v>640</v>
      </c>
      <c r="B254" s="31">
        <v>5</v>
      </c>
      <c r="C254" s="34" t="s">
        <v>69</v>
      </c>
      <c r="D254" s="34">
        <v>2018</v>
      </c>
      <c r="E254" s="36">
        <v>0</v>
      </c>
      <c r="F254" s="36">
        <v>0</v>
      </c>
      <c r="G254" s="36">
        <v>0</v>
      </c>
      <c r="H254" s="38">
        <v>0</v>
      </c>
      <c r="I254" s="36">
        <v>0</v>
      </c>
      <c r="J254" s="9"/>
      <c r="K254" s="41">
        <v>4</v>
      </c>
      <c r="L254" s="87">
        <v>2</v>
      </c>
      <c r="M254" s="39">
        <f t="shared" si="602"/>
        <v>6</v>
      </c>
      <c r="N254" s="9"/>
      <c r="O254" s="39">
        <f t="shared" si="603"/>
        <v>0</v>
      </c>
      <c r="P254" s="40">
        <f t="shared" ref="P254:Q254" si="612">H254</f>
        <v>0</v>
      </c>
      <c r="Q254" s="39">
        <f t="shared" si="612"/>
        <v>0</v>
      </c>
      <c r="R254" s="10"/>
      <c r="S254" s="266">
        <f t="shared" si="605"/>
        <v>0</v>
      </c>
      <c r="T254" s="264">
        <f t="shared" ref="T254:U254" si="613">P254/L254</f>
        <v>0</v>
      </c>
      <c r="U254" s="264">
        <f t="shared" si="613"/>
        <v>0</v>
      </c>
      <c r="V254" s="261" t="s">
        <v>640</v>
      </c>
      <c r="X254" s="14">
        <v>6</v>
      </c>
      <c r="Y254" s="14">
        <v>6</v>
      </c>
      <c r="Z254" s="258">
        <v>0</v>
      </c>
      <c r="AA254" s="13"/>
      <c r="AD254" s="258" t="str">
        <f t="shared" si="2"/>
        <v xml:space="preserve"> </v>
      </c>
      <c r="AE254" s="258" t="str">
        <f t="shared" si="3"/>
        <v xml:space="preserve"> </v>
      </c>
      <c r="AF254" s="258" t="str">
        <f t="shared" si="4"/>
        <v xml:space="preserve"> </v>
      </c>
      <c r="AG254" s="258">
        <f t="shared" si="5"/>
        <v>0</v>
      </c>
    </row>
    <row r="255" spans="1:33" x14ac:dyDescent="0.25">
      <c r="A255" s="29"/>
      <c r="B255" s="31"/>
      <c r="C255" s="34"/>
      <c r="D255" s="34"/>
      <c r="E255" s="36"/>
      <c r="F255" s="36"/>
      <c r="G255" s="36"/>
      <c r="H255" s="38"/>
      <c r="I255" s="36"/>
      <c r="J255" s="9"/>
      <c r="K255" s="39"/>
      <c r="L255" s="40"/>
      <c r="M255" s="39"/>
      <c r="N255" s="9"/>
      <c r="O255" s="39"/>
      <c r="P255" s="40"/>
      <c r="Q255" s="39"/>
      <c r="R255" s="10"/>
      <c r="X255" s="14"/>
      <c r="Y255" s="14"/>
      <c r="AA255" s="13"/>
      <c r="AD255" s="258" t="str">
        <f t="shared" si="2"/>
        <v xml:space="preserve"> </v>
      </c>
      <c r="AE255" s="258" t="str">
        <f t="shared" si="3"/>
        <v xml:space="preserve"> </v>
      </c>
      <c r="AF255" s="258" t="str">
        <f t="shared" si="4"/>
        <v xml:space="preserve"> </v>
      </c>
      <c r="AG255" s="258" t="str">
        <f t="shared" si="5"/>
        <v xml:space="preserve"> </v>
      </c>
    </row>
    <row r="256" spans="1:33" x14ac:dyDescent="0.25">
      <c r="A256" s="29" t="s">
        <v>651</v>
      </c>
      <c r="B256" s="31">
        <v>5</v>
      </c>
      <c r="C256" s="34" t="s">
        <v>69</v>
      </c>
      <c r="D256" s="34">
        <v>2014</v>
      </c>
      <c r="E256" s="36">
        <v>0</v>
      </c>
      <c r="F256" s="36">
        <v>0</v>
      </c>
      <c r="G256" s="36">
        <v>0</v>
      </c>
      <c r="H256" s="38">
        <v>1</v>
      </c>
      <c r="I256" s="36">
        <v>1</v>
      </c>
      <c r="J256" s="9"/>
      <c r="K256" s="39">
        <v>44</v>
      </c>
      <c r="L256" s="40">
        <v>45</v>
      </c>
      <c r="M256" s="39">
        <f>ROUND(530/5,0)</f>
        <v>106</v>
      </c>
      <c r="N256" s="9"/>
      <c r="O256" s="39">
        <f>E256+F256</f>
        <v>0</v>
      </c>
      <c r="P256" s="40">
        <f t="shared" ref="P256:Q256" si="614">H256</f>
        <v>1</v>
      </c>
      <c r="Q256" s="39">
        <f t="shared" si="614"/>
        <v>1</v>
      </c>
      <c r="R256" s="10"/>
      <c r="S256" s="266">
        <f t="shared" ref="S256:U256" si="615">O256/K256</f>
        <v>0</v>
      </c>
      <c r="T256" s="264">
        <f t="shared" si="615"/>
        <v>2.2222222222222223E-2</v>
      </c>
      <c r="U256" s="264">
        <f t="shared" si="615"/>
        <v>9.433962264150943E-3</v>
      </c>
      <c r="X256" s="14"/>
      <c r="Y256" s="14" t="s">
        <v>1356</v>
      </c>
      <c r="Z256" s="258" t="s">
        <v>1356</v>
      </c>
      <c r="AA256" s="13"/>
      <c r="AB256" s="258">
        <v>106</v>
      </c>
      <c r="AD256" s="258" t="str">
        <f t="shared" si="2"/>
        <v xml:space="preserve"> </v>
      </c>
      <c r="AE256" s="258" t="str">
        <f t="shared" si="3"/>
        <v xml:space="preserve"> </v>
      </c>
      <c r="AF256" s="258" t="str">
        <f t="shared" si="4"/>
        <v xml:space="preserve"> </v>
      </c>
      <c r="AG256" s="258" t="str">
        <f t="shared" si="5"/>
        <v xml:space="preserve"> </v>
      </c>
    </row>
    <row r="257" spans="1:33" x14ac:dyDescent="0.25">
      <c r="A257" s="29" t="s">
        <v>651</v>
      </c>
      <c r="B257" s="31">
        <v>5</v>
      </c>
      <c r="C257" s="34" t="s">
        <v>69</v>
      </c>
      <c r="D257" s="34">
        <v>2015</v>
      </c>
      <c r="E257" s="36">
        <v>0</v>
      </c>
      <c r="F257" s="36">
        <v>1</v>
      </c>
      <c r="G257" s="36">
        <v>3</v>
      </c>
      <c r="H257" s="38">
        <v>1</v>
      </c>
      <c r="I257" s="36">
        <v>5</v>
      </c>
      <c r="J257" s="9"/>
      <c r="K257" s="39">
        <f t="shared" ref="K257:M257" si="616">K256*2</f>
        <v>88</v>
      </c>
      <c r="L257" s="40">
        <f t="shared" si="616"/>
        <v>90</v>
      </c>
      <c r="M257" s="39">
        <f t="shared" si="616"/>
        <v>212</v>
      </c>
      <c r="N257" s="9"/>
      <c r="O257" s="39">
        <f t="shared" ref="O257:O260" si="617">E257+F257+O256</f>
        <v>1</v>
      </c>
      <c r="P257" s="40">
        <f t="shared" ref="P257:Q257" si="618">H257+P256</f>
        <v>2</v>
      </c>
      <c r="Q257" s="39">
        <f t="shared" si="618"/>
        <v>6</v>
      </c>
      <c r="R257" s="10"/>
      <c r="S257" s="266">
        <f t="shared" ref="S257:U257" si="619">O257/K257</f>
        <v>1.1363636363636364E-2</v>
      </c>
      <c r="T257" s="264">
        <f t="shared" si="619"/>
        <v>2.2222222222222223E-2</v>
      </c>
      <c r="U257" s="264">
        <f t="shared" si="619"/>
        <v>2.8301886792452831E-2</v>
      </c>
      <c r="X257" s="14"/>
      <c r="Y257" s="14" t="s">
        <v>1356</v>
      </c>
      <c r="Z257" s="258" t="s">
        <v>1356</v>
      </c>
      <c r="AA257" s="13"/>
      <c r="AD257" s="258">
        <f t="shared" si="2"/>
        <v>5</v>
      </c>
      <c r="AE257" s="258" t="str">
        <f t="shared" si="3"/>
        <v xml:space="preserve"> </v>
      </c>
      <c r="AF257" s="258" t="str">
        <f t="shared" si="4"/>
        <v xml:space="preserve"> </v>
      </c>
      <c r="AG257" s="258" t="str">
        <f t="shared" si="5"/>
        <v xml:space="preserve"> </v>
      </c>
    </row>
    <row r="258" spans="1:33" x14ac:dyDescent="0.25">
      <c r="A258" s="29" t="s">
        <v>651</v>
      </c>
      <c r="B258" s="31">
        <v>5</v>
      </c>
      <c r="C258" s="34" t="s">
        <v>69</v>
      </c>
      <c r="D258" s="34">
        <v>2016</v>
      </c>
      <c r="E258" s="36">
        <v>0</v>
      </c>
      <c r="F258" s="36">
        <v>0</v>
      </c>
      <c r="G258" s="36">
        <v>0</v>
      </c>
      <c r="H258" s="38">
        <v>1</v>
      </c>
      <c r="I258" s="36">
        <v>1</v>
      </c>
      <c r="J258" s="9"/>
      <c r="K258" s="39">
        <f t="shared" ref="K258:M258" si="620">K256*3</f>
        <v>132</v>
      </c>
      <c r="L258" s="40">
        <f t="shared" si="620"/>
        <v>135</v>
      </c>
      <c r="M258" s="39">
        <f t="shared" si="620"/>
        <v>318</v>
      </c>
      <c r="N258" s="9"/>
      <c r="O258" s="39">
        <f t="shared" si="617"/>
        <v>1</v>
      </c>
      <c r="P258" s="40">
        <f t="shared" ref="P258:Q258" si="621">H258+P257</f>
        <v>3</v>
      </c>
      <c r="Q258" s="39">
        <f t="shared" si="621"/>
        <v>7</v>
      </c>
      <c r="R258" s="10"/>
      <c r="S258" s="266">
        <f t="shared" ref="S258:U258" si="622">O258/K258</f>
        <v>7.575757575757576E-3</v>
      </c>
      <c r="T258" s="264">
        <f t="shared" si="622"/>
        <v>2.2222222222222223E-2</v>
      </c>
      <c r="U258" s="264">
        <f t="shared" si="622"/>
        <v>2.20125786163522E-2</v>
      </c>
      <c r="X258" s="14"/>
      <c r="Y258" s="14" t="s">
        <v>1356</v>
      </c>
      <c r="Z258" s="258" t="s">
        <v>1356</v>
      </c>
      <c r="AA258" s="13"/>
      <c r="AB258" s="258" t="s">
        <v>1356</v>
      </c>
      <c r="AD258" s="258" t="str">
        <f t="shared" si="2"/>
        <v xml:space="preserve"> </v>
      </c>
      <c r="AE258" s="258">
        <f t="shared" si="3"/>
        <v>1</v>
      </c>
      <c r="AF258" s="258" t="str">
        <f t="shared" si="4"/>
        <v xml:space="preserve"> </v>
      </c>
      <c r="AG258" s="258" t="str">
        <f t="shared" si="5"/>
        <v xml:space="preserve"> </v>
      </c>
    </row>
    <row r="259" spans="1:33" x14ac:dyDescent="0.25">
      <c r="A259" s="29" t="s">
        <v>651</v>
      </c>
      <c r="B259" s="31">
        <v>5</v>
      </c>
      <c r="C259" s="34" t="s">
        <v>69</v>
      </c>
      <c r="D259" s="34">
        <v>2017</v>
      </c>
      <c r="E259" s="36">
        <v>0</v>
      </c>
      <c r="F259" s="36">
        <v>0</v>
      </c>
      <c r="G259" s="36">
        <v>4</v>
      </c>
      <c r="H259" s="38">
        <v>1</v>
      </c>
      <c r="I259" s="36">
        <v>5</v>
      </c>
      <c r="J259" s="9"/>
      <c r="K259" s="39">
        <f t="shared" ref="K259:M259" si="623">K256*4</f>
        <v>176</v>
      </c>
      <c r="L259" s="40">
        <f t="shared" si="623"/>
        <v>180</v>
      </c>
      <c r="M259" s="39">
        <f t="shared" si="623"/>
        <v>424</v>
      </c>
      <c r="N259" s="9"/>
      <c r="O259" s="39">
        <f t="shared" si="617"/>
        <v>1</v>
      </c>
      <c r="P259" s="40">
        <f t="shared" ref="P259:Q259" si="624">H259+P258</f>
        <v>4</v>
      </c>
      <c r="Q259" s="39">
        <f t="shared" si="624"/>
        <v>12</v>
      </c>
      <c r="R259" s="10"/>
      <c r="S259" s="266">
        <f t="shared" ref="S259:U259" si="625">O259/K259</f>
        <v>5.681818181818182E-3</v>
      </c>
      <c r="T259" s="264">
        <f t="shared" si="625"/>
        <v>2.2222222222222223E-2</v>
      </c>
      <c r="U259" s="264">
        <f t="shared" si="625"/>
        <v>2.8301886792452831E-2</v>
      </c>
      <c r="X259" s="14"/>
      <c r="Y259" s="14" t="s">
        <v>1356</v>
      </c>
      <c r="Z259" s="258" t="s">
        <v>1356</v>
      </c>
      <c r="AA259" s="13"/>
      <c r="AB259" s="258" t="s">
        <v>1356</v>
      </c>
      <c r="AD259" s="258" t="str">
        <f t="shared" si="2"/>
        <v xml:space="preserve"> </v>
      </c>
      <c r="AE259" s="258" t="str">
        <f t="shared" si="3"/>
        <v xml:space="preserve"> </v>
      </c>
      <c r="AF259" s="258">
        <f t="shared" si="4"/>
        <v>5</v>
      </c>
      <c r="AG259" s="258" t="str">
        <f t="shared" si="5"/>
        <v xml:space="preserve"> </v>
      </c>
    </row>
    <row r="260" spans="1:33" x14ac:dyDescent="0.25">
      <c r="A260" s="29" t="s">
        <v>651</v>
      </c>
      <c r="B260" s="31">
        <v>5</v>
      </c>
      <c r="C260" s="34" t="s">
        <v>69</v>
      </c>
      <c r="D260" s="34">
        <v>2018</v>
      </c>
      <c r="E260" s="36">
        <v>0</v>
      </c>
      <c r="F260" s="36">
        <v>0</v>
      </c>
      <c r="G260" s="36">
        <v>1</v>
      </c>
      <c r="H260" s="38">
        <v>2</v>
      </c>
      <c r="I260" s="36">
        <v>3</v>
      </c>
      <c r="J260" s="9"/>
      <c r="K260" s="39">
        <f t="shared" ref="K260:M260" si="626">K256*5</f>
        <v>220</v>
      </c>
      <c r="L260" s="40">
        <f t="shared" si="626"/>
        <v>225</v>
      </c>
      <c r="M260" s="39">
        <f t="shared" si="626"/>
        <v>530</v>
      </c>
      <c r="N260" s="9"/>
      <c r="O260" s="39">
        <f t="shared" si="617"/>
        <v>1</v>
      </c>
      <c r="P260" s="40">
        <f t="shared" ref="P260:Q260" si="627">H260+P259</f>
        <v>6</v>
      </c>
      <c r="Q260" s="39">
        <f t="shared" si="627"/>
        <v>15</v>
      </c>
      <c r="R260" s="10"/>
      <c r="S260" s="266">
        <f t="shared" ref="S260:U260" si="628">O260/K260</f>
        <v>4.5454545454545452E-3</v>
      </c>
      <c r="T260" s="264">
        <f t="shared" si="628"/>
        <v>2.6666666666666668E-2</v>
      </c>
      <c r="U260" s="264">
        <f t="shared" si="628"/>
        <v>2.8301886792452831E-2</v>
      </c>
      <c r="V260" s="261" t="s">
        <v>651</v>
      </c>
      <c r="X260" s="14">
        <v>530</v>
      </c>
      <c r="Y260" s="14">
        <v>530</v>
      </c>
      <c r="Z260" s="258">
        <v>15</v>
      </c>
      <c r="AA260" s="13"/>
      <c r="AB260" s="258" t="s">
        <v>1356</v>
      </c>
      <c r="AD260" s="258" t="str">
        <f t="shared" si="2"/>
        <v xml:space="preserve"> </v>
      </c>
      <c r="AE260" s="258" t="str">
        <f t="shared" si="3"/>
        <v xml:space="preserve"> </v>
      </c>
      <c r="AF260" s="258" t="str">
        <f t="shared" si="4"/>
        <v xml:space="preserve"> </v>
      </c>
      <c r="AG260" s="258">
        <f t="shared" si="5"/>
        <v>3</v>
      </c>
    </row>
    <row r="261" spans="1:33" x14ac:dyDescent="0.25">
      <c r="A261" s="46"/>
      <c r="B261" s="47"/>
      <c r="C261" s="32"/>
      <c r="D261" s="32"/>
      <c r="E261" s="48"/>
      <c r="F261" s="48"/>
      <c r="G261" s="48"/>
      <c r="H261" s="49"/>
      <c r="I261" s="48"/>
      <c r="J261" s="50"/>
      <c r="K261" s="51"/>
      <c r="L261" s="52"/>
      <c r="M261" s="51"/>
      <c r="N261" s="50"/>
      <c r="O261" s="51"/>
      <c r="P261" s="52"/>
      <c r="Q261" s="51"/>
      <c r="R261" s="53"/>
      <c r="W261" s="1"/>
      <c r="X261" s="14"/>
      <c r="Y261" s="14" t="s">
        <v>1356</v>
      </c>
      <c r="Z261" s="258" t="s">
        <v>1356</v>
      </c>
      <c r="AA261" s="54"/>
      <c r="AB261" s="258" t="s">
        <v>1356</v>
      </c>
      <c r="AD261" s="258" t="str">
        <f t="shared" si="2"/>
        <v xml:space="preserve"> </v>
      </c>
      <c r="AE261" s="258" t="str">
        <f t="shared" si="3"/>
        <v xml:space="preserve"> </v>
      </c>
      <c r="AF261" s="258" t="str">
        <f t="shared" si="4"/>
        <v xml:space="preserve"> </v>
      </c>
      <c r="AG261" s="258" t="str">
        <f t="shared" si="5"/>
        <v xml:space="preserve"> </v>
      </c>
    </row>
    <row r="262" spans="1:33" x14ac:dyDescent="0.25">
      <c r="A262" s="29" t="s">
        <v>663</v>
      </c>
      <c r="B262" s="31">
        <v>8</v>
      </c>
      <c r="C262" s="34" t="s">
        <v>412</v>
      </c>
      <c r="D262" s="34">
        <v>2015</v>
      </c>
      <c r="E262" s="36">
        <v>20</v>
      </c>
      <c r="F262" s="36">
        <v>58</v>
      </c>
      <c r="G262" s="36">
        <v>581</v>
      </c>
      <c r="H262" s="38">
        <v>764</v>
      </c>
      <c r="I262" s="36">
        <v>1423</v>
      </c>
      <c r="J262" s="9"/>
      <c r="K262" s="39">
        <v>327</v>
      </c>
      <c r="L262" s="40">
        <v>414</v>
      </c>
      <c r="M262" s="39">
        <v>872</v>
      </c>
      <c r="N262" s="9"/>
      <c r="O262" s="39">
        <f>E262+F262</f>
        <v>78</v>
      </c>
      <c r="P262" s="40">
        <f t="shared" ref="P262:Q262" si="629">H262</f>
        <v>764</v>
      </c>
      <c r="Q262" s="39">
        <f t="shared" si="629"/>
        <v>1423</v>
      </c>
      <c r="R262" s="10"/>
      <c r="S262" s="266">
        <f t="shared" ref="S262:U262" si="630">O262/K262</f>
        <v>0.23853211009174313</v>
      </c>
      <c r="T262" s="264">
        <f t="shared" si="630"/>
        <v>1.8454106280193237</v>
      </c>
      <c r="U262" s="264">
        <f t="shared" si="630"/>
        <v>1.6318807339449541</v>
      </c>
      <c r="X262" s="14"/>
      <c r="Y262" s="14" t="s">
        <v>1356</v>
      </c>
      <c r="Z262" s="258" t="s">
        <v>1356</v>
      </c>
      <c r="AA262" s="13"/>
      <c r="AB262" s="258">
        <v>872</v>
      </c>
      <c r="AD262" s="258">
        <f t="shared" si="2"/>
        <v>1423</v>
      </c>
      <c r="AE262" s="258" t="str">
        <f t="shared" si="3"/>
        <v xml:space="preserve"> </v>
      </c>
      <c r="AF262" s="258" t="str">
        <f t="shared" si="4"/>
        <v xml:space="preserve"> </v>
      </c>
      <c r="AG262" s="258" t="str">
        <f t="shared" si="5"/>
        <v xml:space="preserve"> </v>
      </c>
    </row>
    <row r="263" spans="1:33" x14ac:dyDescent="0.25">
      <c r="A263" s="29" t="s">
        <v>663</v>
      </c>
      <c r="B263" s="31">
        <v>8</v>
      </c>
      <c r="C263" s="34" t="s">
        <v>412</v>
      </c>
      <c r="D263" s="34">
        <v>2016</v>
      </c>
      <c r="E263" s="36">
        <v>3</v>
      </c>
      <c r="F263" s="36">
        <v>64</v>
      </c>
      <c r="G263" s="36">
        <v>240</v>
      </c>
      <c r="H263" s="38">
        <v>692</v>
      </c>
      <c r="I263" s="36">
        <v>999</v>
      </c>
      <c r="J263" s="9"/>
      <c r="K263" s="39">
        <f t="shared" ref="K263:M263" si="631">K262*2</f>
        <v>654</v>
      </c>
      <c r="L263" s="40">
        <f t="shared" si="631"/>
        <v>828</v>
      </c>
      <c r="M263" s="39">
        <f t="shared" si="631"/>
        <v>1744</v>
      </c>
      <c r="N263" s="9"/>
      <c r="O263" s="39">
        <f t="shared" ref="O263:O265" si="632">E263+F263+O262</f>
        <v>145</v>
      </c>
      <c r="P263" s="40">
        <f t="shared" ref="P263:Q263" si="633">H263+P262</f>
        <v>1456</v>
      </c>
      <c r="Q263" s="39">
        <f t="shared" si="633"/>
        <v>2422</v>
      </c>
      <c r="R263" s="10"/>
      <c r="S263" s="266">
        <f t="shared" ref="S263:U263" si="634">O263/K263</f>
        <v>0.22171253822629969</v>
      </c>
      <c r="T263" s="264">
        <f t="shared" si="634"/>
        <v>1.7584541062801933</v>
      </c>
      <c r="U263" s="264">
        <f t="shared" si="634"/>
        <v>1.3887614678899083</v>
      </c>
      <c r="X263" s="14"/>
      <c r="Y263" s="14" t="s">
        <v>1356</v>
      </c>
      <c r="Z263" s="258" t="s">
        <v>1356</v>
      </c>
      <c r="AA263" s="13"/>
      <c r="AB263" s="258" t="s">
        <v>1356</v>
      </c>
      <c r="AD263" s="258" t="str">
        <f t="shared" si="2"/>
        <v xml:space="preserve"> </v>
      </c>
      <c r="AE263" s="258">
        <f t="shared" si="3"/>
        <v>999</v>
      </c>
      <c r="AF263" s="258" t="str">
        <f t="shared" si="4"/>
        <v xml:space="preserve"> </v>
      </c>
      <c r="AG263" s="258" t="str">
        <f t="shared" si="5"/>
        <v xml:space="preserve"> </v>
      </c>
    </row>
    <row r="264" spans="1:33" x14ac:dyDescent="0.25">
      <c r="A264" s="29" t="s">
        <v>663</v>
      </c>
      <c r="B264" s="31">
        <v>8</v>
      </c>
      <c r="C264" s="34" t="s">
        <v>412</v>
      </c>
      <c r="D264" s="34">
        <v>2017</v>
      </c>
      <c r="E264" s="36">
        <v>15</v>
      </c>
      <c r="F264" s="36">
        <v>36</v>
      </c>
      <c r="G264" s="36">
        <v>293</v>
      </c>
      <c r="H264" s="38">
        <v>757</v>
      </c>
      <c r="I264" s="36">
        <v>1101</v>
      </c>
      <c r="J264" s="9"/>
      <c r="K264" s="39">
        <f t="shared" ref="K264:M264" si="635">K262*3</f>
        <v>981</v>
      </c>
      <c r="L264" s="40">
        <f t="shared" si="635"/>
        <v>1242</v>
      </c>
      <c r="M264" s="39">
        <f t="shared" si="635"/>
        <v>2616</v>
      </c>
      <c r="N264" s="9"/>
      <c r="O264" s="39">
        <f t="shared" si="632"/>
        <v>196</v>
      </c>
      <c r="P264" s="40">
        <f t="shared" ref="P264:Q264" si="636">H264+P263</f>
        <v>2213</v>
      </c>
      <c r="Q264" s="39">
        <f t="shared" si="636"/>
        <v>3523</v>
      </c>
      <c r="R264" s="10"/>
      <c r="S264" s="266">
        <f t="shared" ref="S264:U264" si="637">O264/K264</f>
        <v>0.199796126401631</v>
      </c>
      <c r="T264" s="264">
        <f t="shared" si="637"/>
        <v>1.7818035426731078</v>
      </c>
      <c r="U264" s="264">
        <f t="shared" si="637"/>
        <v>1.3467125382262997</v>
      </c>
      <c r="X264" s="14"/>
      <c r="Y264" s="14" t="s">
        <v>1356</v>
      </c>
      <c r="Z264" s="258" t="s">
        <v>1356</v>
      </c>
      <c r="AA264" s="13"/>
      <c r="AB264" s="258" t="s">
        <v>1356</v>
      </c>
      <c r="AD264" s="258" t="str">
        <f t="shared" si="2"/>
        <v xml:space="preserve"> </v>
      </c>
      <c r="AE264" s="258" t="str">
        <f t="shared" si="3"/>
        <v xml:space="preserve"> </v>
      </c>
      <c r="AF264" s="258">
        <f t="shared" si="4"/>
        <v>1101</v>
      </c>
      <c r="AG264" s="258" t="str">
        <f t="shared" si="5"/>
        <v xml:space="preserve"> </v>
      </c>
    </row>
    <row r="265" spans="1:33" x14ac:dyDescent="0.25">
      <c r="A265" s="29" t="s">
        <v>663</v>
      </c>
      <c r="B265" s="31">
        <v>8</v>
      </c>
      <c r="C265" s="34" t="s">
        <v>412</v>
      </c>
      <c r="D265" s="34">
        <v>2018</v>
      </c>
      <c r="E265" s="36">
        <v>15</v>
      </c>
      <c r="F265" s="36">
        <v>41</v>
      </c>
      <c r="G265" s="36">
        <v>10</v>
      </c>
      <c r="H265" s="38">
        <v>595</v>
      </c>
      <c r="I265" s="36">
        <v>661</v>
      </c>
      <c r="J265" s="9"/>
      <c r="K265" s="39">
        <f t="shared" ref="K265:M265" si="638">K262*4</f>
        <v>1308</v>
      </c>
      <c r="L265" s="40">
        <f t="shared" si="638"/>
        <v>1656</v>
      </c>
      <c r="M265" s="39">
        <f t="shared" si="638"/>
        <v>3488</v>
      </c>
      <c r="N265" s="9"/>
      <c r="O265" s="39">
        <f t="shared" si="632"/>
        <v>252</v>
      </c>
      <c r="P265" s="40">
        <f t="shared" ref="P265:Q265" si="639">H265+P264</f>
        <v>2808</v>
      </c>
      <c r="Q265" s="39">
        <f t="shared" si="639"/>
        <v>4184</v>
      </c>
      <c r="R265" s="10"/>
      <c r="S265" s="266">
        <f t="shared" ref="S265:U265" si="640">O265/K265</f>
        <v>0.19266055045871561</v>
      </c>
      <c r="T265" s="264">
        <f t="shared" si="640"/>
        <v>1.6956521739130435</v>
      </c>
      <c r="U265" s="264">
        <f t="shared" si="640"/>
        <v>1.1995412844036697</v>
      </c>
      <c r="V265" s="261" t="s">
        <v>663</v>
      </c>
      <c r="X265" s="14">
        <v>6977</v>
      </c>
      <c r="Y265" s="14">
        <v>3488</v>
      </c>
      <c r="Z265" s="258">
        <v>4184</v>
      </c>
      <c r="AA265" s="13"/>
      <c r="AB265" s="258" t="s">
        <v>1356</v>
      </c>
      <c r="AD265" s="258" t="str">
        <f t="shared" si="2"/>
        <v xml:space="preserve"> </v>
      </c>
      <c r="AE265" s="258" t="str">
        <f t="shared" si="3"/>
        <v xml:space="preserve"> </v>
      </c>
      <c r="AF265" s="258" t="str">
        <f t="shared" si="4"/>
        <v xml:space="preserve"> </v>
      </c>
      <c r="AG265" s="258">
        <f t="shared" si="5"/>
        <v>661</v>
      </c>
    </row>
    <row r="266" spans="1:33" x14ac:dyDescent="0.25">
      <c r="A266" s="46"/>
      <c r="B266" s="47"/>
      <c r="C266" s="32"/>
      <c r="D266" s="32"/>
      <c r="E266" s="48"/>
      <c r="F266" s="48"/>
      <c r="G266" s="48"/>
      <c r="H266" s="49"/>
      <c r="I266" s="48"/>
      <c r="J266" s="50"/>
      <c r="K266" s="51"/>
      <c r="L266" s="52"/>
      <c r="M266" s="51"/>
      <c r="N266" s="50"/>
      <c r="O266" s="51"/>
      <c r="P266" s="52"/>
      <c r="Q266" s="51"/>
      <c r="R266" s="53"/>
      <c r="W266" s="1"/>
      <c r="X266" s="14"/>
      <c r="Y266" s="14" t="s">
        <v>1356</v>
      </c>
      <c r="Z266" s="258" t="s">
        <v>1356</v>
      </c>
      <c r="AA266" s="54"/>
      <c r="AB266" s="258" t="s">
        <v>1356</v>
      </c>
      <c r="AD266" s="258" t="str">
        <f t="shared" si="2"/>
        <v xml:space="preserve"> </v>
      </c>
      <c r="AE266" s="258" t="str">
        <f t="shared" si="3"/>
        <v xml:space="preserve"> </v>
      </c>
      <c r="AF266" s="258" t="str">
        <f t="shared" si="4"/>
        <v xml:space="preserve"> </v>
      </c>
      <c r="AG266" s="258" t="str">
        <f t="shared" si="5"/>
        <v xml:space="preserve"> </v>
      </c>
    </row>
    <row r="267" spans="1:33" x14ac:dyDescent="0.25">
      <c r="A267" s="29" t="s">
        <v>669</v>
      </c>
      <c r="B267" s="31">
        <v>8</v>
      </c>
      <c r="C267" s="34" t="s">
        <v>412</v>
      </c>
      <c r="D267" s="34">
        <v>2015</v>
      </c>
      <c r="E267" s="36">
        <v>50</v>
      </c>
      <c r="F267" s="36">
        <v>80</v>
      </c>
      <c r="G267" s="36">
        <v>73</v>
      </c>
      <c r="H267" s="38">
        <v>760</v>
      </c>
      <c r="I267" s="36">
        <v>963</v>
      </c>
      <c r="J267" s="9"/>
      <c r="K267" s="39">
        <v>364</v>
      </c>
      <c r="L267" s="40">
        <v>522</v>
      </c>
      <c r="M267" s="39">
        <v>1056</v>
      </c>
      <c r="N267" s="9"/>
      <c r="O267" s="39">
        <f>E267+F267</f>
        <v>130</v>
      </c>
      <c r="P267" s="40">
        <f t="shared" ref="P267:Q267" si="641">H267</f>
        <v>760</v>
      </c>
      <c r="Q267" s="39">
        <f t="shared" si="641"/>
        <v>963</v>
      </c>
      <c r="R267" s="10"/>
      <c r="S267" s="266">
        <f t="shared" ref="S267:U267" si="642">O267/K267</f>
        <v>0.35714285714285715</v>
      </c>
      <c r="T267" s="264">
        <f t="shared" si="642"/>
        <v>1.4559386973180077</v>
      </c>
      <c r="U267" s="264">
        <f t="shared" si="642"/>
        <v>0.91193181818181823</v>
      </c>
      <c r="X267" s="14"/>
      <c r="Y267" s="14" t="s">
        <v>1356</v>
      </c>
      <c r="Z267" s="258" t="s">
        <v>1356</v>
      </c>
      <c r="AA267" s="13"/>
      <c r="AB267" s="258">
        <v>1056</v>
      </c>
      <c r="AD267" s="258">
        <f t="shared" si="2"/>
        <v>963</v>
      </c>
      <c r="AE267" s="258" t="str">
        <f t="shared" si="3"/>
        <v xml:space="preserve"> </v>
      </c>
      <c r="AF267" s="258" t="str">
        <f t="shared" si="4"/>
        <v xml:space="preserve"> </v>
      </c>
      <c r="AG267" s="258" t="str">
        <f t="shared" si="5"/>
        <v xml:space="preserve"> </v>
      </c>
    </row>
    <row r="268" spans="1:33" x14ac:dyDescent="0.25">
      <c r="A268" s="29" t="s">
        <v>669</v>
      </c>
      <c r="B268" s="31">
        <v>8</v>
      </c>
      <c r="C268" s="34" t="s">
        <v>412</v>
      </c>
      <c r="D268" s="34">
        <v>2016</v>
      </c>
      <c r="E268" s="36">
        <v>119</v>
      </c>
      <c r="F268" s="36">
        <v>27</v>
      </c>
      <c r="G268" s="36">
        <v>92</v>
      </c>
      <c r="H268" s="38">
        <v>836</v>
      </c>
      <c r="I268" s="36">
        <v>1074</v>
      </c>
      <c r="J268" s="9"/>
      <c r="K268" s="39">
        <f t="shared" ref="K268:M268" si="643">K267*2</f>
        <v>728</v>
      </c>
      <c r="L268" s="40">
        <f t="shared" si="643"/>
        <v>1044</v>
      </c>
      <c r="M268" s="39">
        <f t="shared" si="643"/>
        <v>2112</v>
      </c>
      <c r="N268" s="9"/>
      <c r="O268" s="39">
        <f t="shared" ref="O268:O270" si="644">E268+F268+O267</f>
        <v>276</v>
      </c>
      <c r="P268" s="40">
        <f t="shared" ref="P268:Q268" si="645">H268+P267</f>
        <v>1596</v>
      </c>
      <c r="Q268" s="39">
        <f t="shared" si="645"/>
        <v>2037</v>
      </c>
      <c r="R268" s="10"/>
      <c r="S268" s="266">
        <f t="shared" ref="S268:U268" si="646">O268/K268</f>
        <v>0.37912087912087911</v>
      </c>
      <c r="T268" s="264">
        <f t="shared" si="646"/>
        <v>1.5287356321839081</v>
      </c>
      <c r="U268" s="264">
        <f t="shared" si="646"/>
        <v>0.96448863636363635</v>
      </c>
      <c r="X268" s="14"/>
      <c r="Y268" s="14" t="s">
        <v>1356</v>
      </c>
      <c r="Z268" s="258" t="s">
        <v>1356</v>
      </c>
      <c r="AA268" s="13"/>
      <c r="AB268" s="258" t="s">
        <v>1356</v>
      </c>
      <c r="AD268" s="258" t="str">
        <f t="shared" si="2"/>
        <v xml:space="preserve"> </v>
      </c>
      <c r="AE268" s="258">
        <f t="shared" si="3"/>
        <v>1074</v>
      </c>
      <c r="AF268" s="258" t="str">
        <f t="shared" si="4"/>
        <v xml:space="preserve"> </v>
      </c>
      <c r="AG268" s="258" t="str">
        <f t="shared" si="5"/>
        <v xml:space="preserve"> </v>
      </c>
    </row>
    <row r="269" spans="1:33" x14ac:dyDescent="0.25">
      <c r="A269" s="29" t="s">
        <v>669</v>
      </c>
      <c r="B269" s="31">
        <v>8</v>
      </c>
      <c r="C269" s="34" t="s">
        <v>412</v>
      </c>
      <c r="D269" s="34">
        <v>2017</v>
      </c>
      <c r="E269" s="36">
        <v>80</v>
      </c>
      <c r="F269" s="36">
        <v>78</v>
      </c>
      <c r="G269" s="36">
        <v>144</v>
      </c>
      <c r="H269" s="38">
        <v>819</v>
      </c>
      <c r="I269" s="36">
        <v>1121</v>
      </c>
      <c r="J269" s="9"/>
      <c r="K269" s="39">
        <f t="shared" ref="K269:M269" si="647">K267*3</f>
        <v>1092</v>
      </c>
      <c r="L269" s="40">
        <f t="shared" si="647"/>
        <v>1566</v>
      </c>
      <c r="M269" s="39">
        <f t="shared" si="647"/>
        <v>3168</v>
      </c>
      <c r="N269" s="9"/>
      <c r="O269" s="39">
        <f t="shared" si="644"/>
        <v>434</v>
      </c>
      <c r="P269" s="40">
        <f t="shared" ref="P269:Q269" si="648">H269+P268</f>
        <v>2415</v>
      </c>
      <c r="Q269" s="39">
        <f t="shared" si="648"/>
        <v>3158</v>
      </c>
      <c r="R269" s="10"/>
      <c r="S269" s="266">
        <f t="shared" ref="S269:U269" si="649">O269/K269</f>
        <v>0.39743589743589741</v>
      </c>
      <c r="T269" s="264">
        <f t="shared" si="649"/>
        <v>1.5421455938697317</v>
      </c>
      <c r="U269" s="264">
        <f t="shared" si="649"/>
        <v>0.99684343434343436</v>
      </c>
      <c r="X269" s="14"/>
      <c r="Y269" s="14" t="s">
        <v>1356</v>
      </c>
      <c r="Z269" s="258" t="s">
        <v>1356</v>
      </c>
      <c r="AA269" s="13"/>
      <c r="AB269" s="258" t="s">
        <v>1356</v>
      </c>
      <c r="AD269" s="258" t="str">
        <f t="shared" si="2"/>
        <v xml:space="preserve"> </v>
      </c>
      <c r="AE269" s="258" t="str">
        <f t="shared" si="3"/>
        <v xml:space="preserve"> </v>
      </c>
      <c r="AF269" s="258">
        <f t="shared" si="4"/>
        <v>1121</v>
      </c>
      <c r="AG269" s="258" t="str">
        <f t="shared" si="5"/>
        <v xml:space="preserve"> </v>
      </c>
    </row>
    <row r="270" spans="1:33" x14ac:dyDescent="0.25">
      <c r="A270" s="29" t="s">
        <v>669</v>
      </c>
      <c r="B270" s="31">
        <v>8</v>
      </c>
      <c r="C270" s="34" t="s">
        <v>412</v>
      </c>
      <c r="D270" s="34">
        <v>2018</v>
      </c>
      <c r="E270" s="36">
        <v>124</v>
      </c>
      <c r="F270" s="36">
        <v>210</v>
      </c>
      <c r="G270" s="36">
        <v>134</v>
      </c>
      <c r="H270" s="38">
        <v>637</v>
      </c>
      <c r="I270" s="36">
        <v>1105</v>
      </c>
      <c r="J270" s="9"/>
      <c r="K270" s="39">
        <f t="shared" ref="K270:M270" si="650">K267*4</f>
        <v>1456</v>
      </c>
      <c r="L270" s="40">
        <f t="shared" si="650"/>
        <v>2088</v>
      </c>
      <c r="M270" s="39">
        <f t="shared" si="650"/>
        <v>4224</v>
      </c>
      <c r="N270" s="9"/>
      <c r="O270" s="39">
        <f t="shared" si="644"/>
        <v>768</v>
      </c>
      <c r="P270" s="40">
        <f t="shared" ref="P270:Q270" si="651">H270+P269</f>
        <v>3052</v>
      </c>
      <c r="Q270" s="39">
        <f t="shared" si="651"/>
        <v>4263</v>
      </c>
      <c r="R270" s="10"/>
      <c r="S270" s="266">
        <f t="shared" ref="S270:U270" si="652">O270/K270</f>
        <v>0.52747252747252749</v>
      </c>
      <c r="T270" s="264">
        <f t="shared" si="652"/>
        <v>1.4616858237547892</v>
      </c>
      <c r="U270" s="264">
        <f t="shared" si="652"/>
        <v>1.0092329545454546</v>
      </c>
      <c r="V270" s="261" t="s">
        <v>669</v>
      </c>
      <c r="X270" s="14">
        <v>8444</v>
      </c>
      <c r="Y270" s="14">
        <v>4224</v>
      </c>
      <c r="Z270" s="258">
        <v>4263</v>
      </c>
      <c r="AA270" s="13"/>
      <c r="AB270" s="258" t="s">
        <v>1356</v>
      </c>
      <c r="AD270" s="258" t="str">
        <f t="shared" si="2"/>
        <v xml:space="preserve"> </v>
      </c>
      <c r="AE270" s="258" t="str">
        <f t="shared" si="3"/>
        <v xml:space="preserve"> </v>
      </c>
      <c r="AF270" s="258" t="str">
        <f t="shared" si="4"/>
        <v xml:space="preserve"> </v>
      </c>
      <c r="AG270" s="258">
        <f t="shared" si="5"/>
        <v>1105</v>
      </c>
    </row>
    <row r="271" spans="1:33" x14ac:dyDescent="0.25">
      <c r="A271" s="46"/>
      <c r="B271" s="47"/>
      <c r="C271" s="32"/>
      <c r="D271" s="32"/>
      <c r="E271" s="48"/>
      <c r="F271" s="48"/>
      <c r="G271" s="48"/>
      <c r="H271" s="49"/>
      <c r="I271" s="48"/>
      <c r="J271" s="50"/>
      <c r="K271" s="51"/>
      <c r="L271" s="52"/>
      <c r="M271" s="51"/>
      <c r="N271" s="50"/>
      <c r="O271" s="51"/>
      <c r="P271" s="52"/>
      <c r="Q271" s="51"/>
      <c r="R271" s="53"/>
      <c r="W271" s="1"/>
      <c r="X271" s="14"/>
      <c r="Y271" s="14" t="s">
        <v>1356</v>
      </c>
      <c r="Z271" s="258" t="s">
        <v>1356</v>
      </c>
      <c r="AA271" s="54"/>
      <c r="AB271" s="258" t="s">
        <v>1356</v>
      </c>
      <c r="AD271" s="258" t="str">
        <f t="shared" si="2"/>
        <v xml:space="preserve"> </v>
      </c>
      <c r="AE271" s="258" t="str">
        <f t="shared" si="3"/>
        <v xml:space="preserve"> </v>
      </c>
      <c r="AF271" s="258" t="str">
        <f t="shared" si="4"/>
        <v xml:space="preserve"> </v>
      </c>
      <c r="AG271" s="258" t="str">
        <f t="shared" si="5"/>
        <v xml:space="preserve"> </v>
      </c>
    </row>
    <row r="272" spans="1:33" x14ac:dyDescent="0.25">
      <c r="A272" s="29" t="s">
        <v>679</v>
      </c>
      <c r="B272" s="31">
        <v>8</v>
      </c>
      <c r="C272" s="34" t="s">
        <v>126</v>
      </c>
      <c r="D272" s="34">
        <v>2016</v>
      </c>
      <c r="E272" s="36">
        <v>34</v>
      </c>
      <c r="F272" s="36">
        <v>218</v>
      </c>
      <c r="G272" s="36">
        <v>610</v>
      </c>
      <c r="H272" s="38">
        <v>400</v>
      </c>
      <c r="I272" s="36">
        <v>1262</v>
      </c>
      <c r="J272" s="9"/>
      <c r="K272" s="39">
        <f>ROUND((5225+3350)/8,0)</f>
        <v>1072</v>
      </c>
      <c r="L272" s="40">
        <f>ROUND(9085/8,0)</f>
        <v>1136</v>
      </c>
      <c r="M272" s="39">
        <v>2666</v>
      </c>
      <c r="N272" s="9"/>
      <c r="O272" s="39">
        <f>E272+F272</f>
        <v>252</v>
      </c>
      <c r="P272" s="40">
        <f t="shared" ref="P272:Q272" si="653">H272</f>
        <v>400</v>
      </c>
      <c r="Q272" s="39">
        <f t="shared" si="653"/>
        <v>1262</v>
      </c>
      <c r="R272" s="10"/>
      <c r="S272" s="266">
        <f t="shared" ref="S272:U272" si="654">O272/K272</f>
        <v>0.23507462686567165</v>
      </c>
      <c r="T272" s="264">
        <f t="shared" si="654"/>
        <v>0.352112676056338</v>
      </c>
      <c r="U272" s="264">
        <f t="shared" si="654"/>
        <v>0.47336834208552137</v>
      </c>
      <c r="X272" s="14"/>
      <c r="Y272" s="14" t="s">
        <v>1356</v>
      </c>
      <c r="Z272" s="258" t="s">
        <v>1356</v>
      </c>
      <c r="AA272" s="13"/>
      <c r="AB272" s="258">
        <v>2666</v>
      </c>
      <c r="AD272" s="258" t="str">
        <f t="shared" si="2"/>
        <v xml:space="preserve"> </v>
      </c>
      <c r="AE272" s="258">
        <f t="shared" si="3"/>
        <v>1262</v>
      </c>
      <c r="AF272" s="258" t="str">
        <f t="shared" si="4"/>
        <v xml:space="preserve"> </v>
      </c>
      <c r="AG272" s="258" t="str">
        <f t="shared" si="5"/>
        <v xml:space="preserve"> </v>
      </c>
    </row>
    <row r="273" spans="1:33" x14ac:dyDescent="0.25">
      <c r="A273" s="29" t="s">
        <v>679</v>
      </c>
      <c r="B273" s="31">
        <v>8</v>
      </c>
      <c r="C273" s="34" t="s">
        <v>126</v>
      </c>
      <c r="D273" s="34">
        <v>2017</v>
      </c>
      <c r="E273" s="36">
        <v>0</v>
      </c>
      <c r="F273" s="36">
        <v>0</v>
      </c>
      <c r="G273" s="36">
        <v>98</v>
      </c>
      <c r="H273" s="38">
        <v>338</v>
      </c>
      <c r="I273" s="36">
        <v>436</v>
      </c>
      <c r="J273" s="9"/>
      <c r="K273" s="39">
        <f t="shared" ref="K273:M273" si="655">K272*2</f>
        <v>2144</v>
      </c>
      <c r="L273" s="40">
        <f t="shared" si="655"/>
        <v>2272</v>
      </c>
      <c r="M273" s="39">
        <f t="shared" si="655"/>
        <v>5332</v>
      </c>
      <c r="N273" s="9"/>
      <c r="O273" s="39">
        <f t="shared" ref="O273:O274" si="656">E273+F273+O272</f>
        <v>252</v>
      </c>
      <c r="P273" s="40">
        <f t="shared" ref="P273:Q273" si="657">H273+P272</f>
        <v>738</v>
      </c>
      <c r="Q273" s="39">
        <f t="shared" si="657"/>
        <v>1698</v>
      </c>
      <c r="R273" s="10"/>
      <c r="S273" s="266">
        <f t="shared" ref="S273:U273" si="658">O273/K273</f>
        <v>0.11753731343283583</v>
      </c>
      <c r="T273" s="264">
        <f t="shared" si="658"/>
        <v>0.32482394366197181</v>
      </c>
      <c r="U273" s="264">
        <f t="shared" si="658"/>
        <v>0.31845461365341338</v>
      </c>
      <c r="X273" s="14"/>
      <c r="Y273" s="14" t="s">
        <v>1356</v>
      </c>
      <c r="Z273" s="258" t="s">
        <v>1356</v>
      </c>
      <c r="AA273" s="13"/>
      <c r="AB273" s="258" t="s">
        <v>1356</v>
      </c>
      <c r="AD273" s="258" t="str">
        <f t="shared" si="2"/>
        <v xml:space="preserve"> </v>
      </c>
      <c r="AE273" s="258" t="str">
        <f t="shared" si="3"/>
        <v xml:space="preserve"> </v>
      </c>
      <c r="AF273" s="258">
        <f t="shared" si="4"/>
        <v>436</v>
      </c>
      <c r="AG273" s="258" t="str">
        <f t="shared" si="5"/>
        <v xml:space="preserve"> </v>
      </c>
    </row>
    <row r="274" spans="1:33" x14ac:dyDescent="0.25">
      <c r="A274" s="29" t="s">
        <v>679</v>
      </c>
      <c r="B274" s="31">
        <v>8</v>
      </c>
      <c r="C274" s="34" t="s">
        <v>126</v>
      </c>
      <c r="D274" s="34">
        <v>2018</v>
      </c>
      <c r="E274" s="36">
        <v>0</v>
      </c>
      <c r="F274" s="36">
        <v>13</v>
      </c>
      <c r="G274" s="36">
        <v>91</v>
      </c>
      <c r="H274" s="38">
        <v>401</v>
      </c>
      <c r="I274" s="36">
        <v>505</v>
      </c>
      <c r="J274" s="9"/>
      <c r="K274" s="39">
        <f t="shared" ref="K274:M274" si="659">K272*3</f>
        <v>3216</v>
      </c>
      <c r="L274" s="40">
        <f t="shared" si="659"/>
        <v>3408</v>
      </c>
      <c r="M274" s="39">
        <f t="shared" si="659"/>
        <v>7998</v>
      </c>
      <c r="N274" s="9"/>
      <c r="O274" s="39">
        <f t="shared" si="656"/>
        <v>265</v>
      </c>
      <c r="P274" s="40">
        <f t="shared" ref="P274:Q274" si="660">H274+P273</f>
        <v>1139</v>
      </c>
      <c r="Q274" s="39">
        <f t="shared" si="660"/>
        <v>2203</v>
      </c>
      <c r="R274" s="10"/>
      <c r="S274" s="266">
        <f t="shared" ref="S274:U274" si="661">O274/K274</f>
        <v>8.2400497512437818E-2</v>
      </c>
      <c r="T274" s="264">
        <f t="shared" si="661"/>
        <v>0.33421361502347419</v>
      </c>
      <c r="U274" s="264">
        <f t="shared" si="661"/>
        <v>0.27544386096524132</v>
      </c>
      <c r="V274" s="261" t="s">
        <v>679</v>
      </c>
      <c r="X274" s="14">
        <v>21330</v>
      </c>
      <c r="Y274" s="14">
        <v>7998</v>
      </c>
      <c r="Z274" s="258">
        <v>2203</v>
      </c>
      <c r="AA274" s="13"/>
      <c r="AB274" s="258" t="s">
        <v>1356</v>
      </c>
      <c r="AD274" s="258" t="str">
        <f t="shared" si="2"/>
        <v xml:space="preserve"> </v>
      </c>
      <c r="AE274" s="258" t="str">
        <f t="shared" si="3"/>
        <v xml:space="preserve"> </v>
      </c>
      <c r="AF274" s="258" t="str">
        <f t="shared" si="4"/>
        <v xml:space="preserve"> </v>
      </c>
      <c r="AG274" s="258">
        <f t="shared" si="5"/>
        <v>505</v>
      </c>
    </row>
    <row r="275" spans="1:33" x14ac:dyDescent="0.25">
      <c r="A275" s="46"/>
      <c r="B275" s="47"/>
      <c r="C275" s="32"/>
      <c r="D275" s="32"/>
      <c r="E275" s="48"/>
      <c r="F275" s="48"/>
      <c r="G275" s="48"/>
      <c r="H275" s="49"/>
      <c r="I275" s="48"/>
      <c r="J275" s="50"/>
      <c r="K275" s="51"/>
      <c r="L275" s="52"/>
      <c r="M275" s="51"/>
      <c r="N275" s="50"/>
      <c r="O275" s="51"/>
      <c r="P275" s="52"/>
      <c r="Q275" s="51"/>
      <c r="R275" s="53"/>
      <c r="W275" s="1"/>
      <c r="X275" s="14"/>
      <c r="Y275" s="14" t="s">
        <v>1356</v>
      </c>
      <c r="Z275" s="258" t="s">
        <v>1356</v>
      </c>
      <c r="AA275" s="54"/>
      <c r="AB275" s="258" t="s">
        <v>1356</v>
      </c>
      <c r="AD275" s="258" t="str">
        <f t="shared" si="2"/>
        <v xml:space="preserve"> </v>
      </c>
      <c r="AE275" s="258" t="str">
        <f t="shared" si="3"/>
        <v xml:space="preserve"> </v>
      </c>
      <c r="AF275" s="258" t="str">
        <f t="shared" si="4"/>
        <v xml:space="preserve"> </v>
      </c>
      <c r="AG275" s="258" t="str">
        <f t="shared" si="5"/>
        <v xml:space="preserve"> </v>
      </c>
    </row>
    <row r="276" spans="1:33" x14ac:dyDescent="0.25">
      <c r="A276" s="29" t="s">
        <v>691</v>
      </c>
      <c r="B276" s="31">
        <v>8</v>
      </c>
      <c r="C276" s="34" t="s">
        <v>512</v>
      </c>
      <c r="D276" s="34">
        <v>2014</v>
      </c>
      <c r="E276" s="36">
        <v>0</v>
      </c>
      <c r="F276" s="36">
        <v>0</v>
      </c>
      <c r="G276" s="36">
        <v>7</v>
      </c>
      <c r="H276" s="38">
        <v>69</v>
      </c>
      <c r="I276" s="36">
        <v>76</v>
      </c>
      <c r="J276" s="9"/>
      <c r="K276" s="39">
        <f>ROUND((813+569)/8,0)</f>
        <v>173</v>
      </c>
      <c r="L276" s="40">
        <v>180</v>
      </c>
      <c r="M276" s="39">
        <v>433</v>
      </c>
      <c r="N276" s="9"/>
      <c r="O276" s="39">
        <f>E276+F276</f>
        <v>0</v>
      </c>
      <c r="P276" s="40">
        <f t="shared" ref="P276:Q276" si="662">H276</f>
        <v>69</v>
      </c>
      <c r="Q276" s="39">
        <f t="shared" si="662"/>
        <v>76</v>
      </c>
      <c r="R276" s="10"/>
      <c r="S276" s="266">
        <f t="shared" ref="S276:U276" si="663">O276/K276</f>
        <v>0</v>
      </c>
      <c r="T276" s="264">
        <f t="shared" si="663"/>
        <v>0.38333333333333336</v>
      </c>
      <c r="U276" s="264">
        <f t="shared" si="663"/>
        <v>0.17551963048498845</v>
      </c>
      <c r="X276" s="14"/>
      <c r="Y276" s="14" t="s">
        <v>1356</v>
      </c>
      <c r="Z276" s="258" t="s">
        <v>1356</v>
      </c>
      <c r="AA276" s="13"/>
      <c r="AB276" s="258">
        <v>433</v>
      </c>
      <c r="AD276" s="258" t="str">
        <f t="shared" si="2"/>
        <v xml:space="preserve"> </v>
      </c>
      <c r="AE276" s="258" t="str">
        <f t="shared" si="3"/>
        <v xml:space="preserve"> </v>
      </c>
      <c r="AF276" s="258" t="str">
        <f t="shared" si="4"/>
        <v xml:space="preserve"> </v>
      </c>
      <c r="AG276" s="258" t="str">
        <f t="shared" si="5"/>
        <v xml:space="preserve"> </v>
      </c>
    </row>
    <row r="277" spans="1:33" x14ac:dyDescent="0.25">
      <c r="A277" s="29" t="s">
        <v>691</v>
      </c>
      <c r="B277" s="31">
        <v>8</v>
      </c>
      <c r="C277" s="34" t="s">
        <v>512</v>
      </c>
      <c r="D277" s="34">
        <v>2015</v>
      </c>
      <c r="E277" s="36">
        <v>46</v>
      </c>
      <c r="F277" s="36">
        <v>39</v>
      </c>
      <c r="G277" s="36">
        <v>54</v>
      </c>
      <c r="H277" s="38">
        <v>21</v>
      </c>
      <c r="I277" s="36">
        <v>160</v>
      </c>
      <c r="J277" s="9"/>
      <c r="K277" s="39">
        <f t="shared" ref="K277:M277" si="664">K276*2</f>
        <v>346</v>
      </c>
      <c r="L277" s="40">
        <f t="shared" si="664"/>
        <v>360</v>
      </c>
      <c r="M277" s="39">
        <f t="shared" si="664"/>
        <v>866</v>
      </c>
      <c r="N277" s="9"/>
      <c r="O277" s="39">
        <f t="shared" ref="O277:O280" si="665">E277+F277+O276</f>
        <v>85</v>
      </c>
      <c r="P277" s="40">
        <f t="shared" ref="P277:Q277" si="666">H277+P276</f>
        <v>90</v>
      </c>
      <c r="Q277" s="39">
        <f t="shared" si="666"/>
        <v>236</v>
      </c>
      <c r="R277" s="10"/>
      <c r="S277" s="266">
        <f t="shared" ref="S277:U277" si="667">O277/K277</f>
        <v>0.24566473988439305</v>
      </c>
      <c r="T277" s="264">
        <f t="shared" si="667"/>
        <v>0.25</v>
      </c>
      <c r="U277" s="264">
        <f t="shared" si="667"/>
        <v>0.27251732101616627</v>
      </c>
      <c r="X277" s="14"/>
      <c r="Y277" s="14" t="s">
        <v>1356</v>
      </c>
      <c r="Z277" s="258" t="s">
        <v>1356</v>
      </c>
      <c r="AA277" s="13"/>
      <c r="AD277" s="258">
        <f t="shared" si="2"/>
        <v>160</v>
      </c>
      <c r="AE277" s="258" t="str">
        <f t="shared" si="3"/>
        <v xml:space="preserve"> </v>
      </c>
      <c r="AF277" s="258" t="str">
        <f t="shared" si="4"/>
        <v xml:space="preserve"> </v>
      </c>
      <c r="AG277" s="258" t="str">
        <f t="shared" si="5"/>
        <v xml:space="preserve"> </v>
      </c>
    </row>
    <row r="278" spans="1:33" x14ac:dyDescent="0.25">
      <c r="A278" s="29" t="s">
        <v>691</v>
      </c>
      <c r="B278" s="31">
        <v>8</v>
      </c>
      <c r="C278" s="34" t="s">
        <v>512</v>
      </c>
      <c r="D278" s="34">
        <v>2016</v>
      </c>
      <c r="E278" s="36">
        <v>1</v>
      </c>
      <c r="F278" s="36">
        <v>5</v>
      </c>
      <c r="G278" s="36">
        <v>49</v>
      </c>
      <c r="H278" s="38">
        <v>10</v>
      </c>
      <c r="I278" s="36">
        <v>65</v>
      </c>
      <c r="J278" s="9"/>
      <c r="K278" s="39">
        <f t="shared" ref="K278:M278" si="668">K276*3</f>
        <v>519</v>
      </c>
      <c r="L278" s="40">
        <f t="shared" si="668"/>
        <v>540</v>
      </c>
      <c r="M278" s="39">
        <f t="shared" si="668"/>
        <v>1299</v>
      </c>
      <c r="N278" s="9"/>
      <c r="O278" s="39">
        <f t="shared" si="665"/>
        <v>91</v>
      </c>
      <c r="P278" s="40">
        <f t="shared" ref="P278:Q278" si="669">H278+P277</f>
        <v>100</v>
      </c>
      <c r="Q278" s="39">
        <f t="shared" si="669"/>
        <v>301</v>
      </c>
      <c r="R278" s="10"/>
      <c r="S278" s="266">
        <f t="shared" ref="S278:U278" si="670">O278/K278</f>
        <v>0.17533718689788053</v>
      </c>
      <c r="T278" s="264">
        <f t="shared" si="670"/>
        <v>0.18518518518518517</v>
      </c>
      <c r="U278" s="264">
        <f t="shared" si="670"/>
        <v>0.2317167051578137</v>
      </c>
      <c r="X278" s="14"/>
      <c r="Y278" s="14" t="s">
        <v>1356</v>
      </c>
      <c r="Z278" s="258" t="s">
        <v>1356</v>
      </c>
      <c r="AA278" s="13"/>
      <c r="AB278" s="258" t="s">
        <v>1356</v>
      </c>
      <c r="AD278" s="258" t="str">
        <f t="shared" si="2"/>
        <v xml:space="preserve"> </v>
      </c>
      <c r="AE278" s="258">
        <f t="shared" si="3"/>
        <v>65</v>
      </c>
      <c r="AF278" s="258" t="str">
        <f t="shared" si="4"/>
        <v xml:space="preserve"> </v>
      </c>
      <c r="AG278" s="258" t="str">
        <f t="shared" si="5"/>
        <v xml:space="preserve"> </v>
      </c>
    </row>
    <row r="279" spans="1:33" x14ac:dyDescent="0.25">
      <c r="A279" s="29" t="s">
        <v>691</v>
      </c>
      <c r="B279" s="31">
        <v>8</v>
      </c>
      <c r="C279" s="34" t="s">
        <v>512</v>
      </c>
      <c r="D279" s="34">
        <v>2017</v>
      </c>
      <c r="E279" s="36">
        <v>2</v>
      </c>
      <c r="F279" s="36">
        <v>4</v>
      </c>
      <c r="G279" s="36">
        <v>41</v>
      </c>
      <c r="H279" s="38">
        <v>14</v>
      </c>
      <c r="I279" s="36">
        <v>61</v>
      </c>
      <c r="J279" s="9"/>
      <c r="K279" s="39">
        <f t="shared" ref="K279:M279" si="671">K276*4</f>
        <v>692</v>
      </c>
      <c r="L279" s="40">
        <f t="shared" si="671"/>
        <v>720</v>
      </c>
      <c r="M279" s="39">
        <f t="shared" si="671"/>
        <v>1732</v>
      </c>
      <c r="N279" s="9"/>
      <c r="O279" s="39">
        <f t="shared" si="665"/>
        <v>97</v>
      </c>
      <c r="P279" s="40">
        <f t="shared" ref="P279:Q279" si="672">H279+P278</f>
        <v>114</v>
      </c>
      <c r="Q279" s="39">
        <f t="shared" si="672"/>
        <v>362</v>
      </c>
      <c r="R279" s="10"/>
      <c r="S279" s="266">
        <f t="shared" ref="S279:U279" si="673">O279/K279</f>
        <v>0.14017341040462428</v>
      </c>
      <c r="T279" s="264">
        <f t="shared" si="673"/>
        <v>0.15833333333333333</v>
      </c>
      <c r="U279" s="264">
        <f t="shared" si="673"/>
        <v>0.20900692840646651</v>
      </c>
      <c r="X279" s="14"/>
      <c r="Y279" s="14" t="s">
        <v>1356</v>
      </c>
      <c r="Z279" s="258" t="s">
        <v>1356</v>
      </c>
      <c r="AA279" s="13"/>
      <c r="AB279" s="258" t="s">
        <v>1356</v>
      </c>
      <c r="AD279" s="258" t="str">
        <f t="shared" si="2"/>
        <v xml:space="preserve"> </v>
      </c>
      <c r="AE279" s="258" t="str">
        <f t="shared" si="3"/>
        <v xml:space="preserve"> </v>
      </c>
      <c r="AF279" s="258">
        <f t="shared" si="4"/>
        <v>61</v>
      </c>
      <c r="AG279" s="258" t="str">
        <f t="shared" si="5"/>
        <v xml:space="preserve"> </v>
      </c>
    </row>
    <row r="280" spans="1:33" x14ac:dyDescent="0.25">
      <c r="A280" s="29" t="s">
        <v>691</v>
      </c>
      <c r="B280" s="31">
        <v>8</v>
      </c>
      <c r="C280" s="34" t="s">
        <v>512</v>
      </c>
      <c r="D280" s="34">
        <v>2018</v>
      </c>
      <c r="E280" s="36">
        <v>2</v>
      </c>
      <c r="F280" s="36">
        <v>1</v>
      </c>
      <c r="G280" s="36">
        <v>2</v>
      </c>
      <c r="H280" s="38">
        <v>57</v>
      </c>
      <c r="I280" s="36">
        <v>62</v>
      </c>
      <c r="J280" s="9"/>
      <c r="K280" s="39">
        <f t="shared" ref="K280:M280" si="674">K276*4</f>
        <v>692</v>
      </c>
      <c r="L280" s="40">
        <f t="shared" si="674"/>
        <v>720</v>
      </c>
      <c r="M280" s="39">
        <f t="shared" si="674"/>
        <v>1732</v>
      </c>
      <c r="N280" s="9"/>
      <c r="O280" s="39">
        <f t="shared" si="665"/>
        <v>100</v>
      </c>
      <c r="P280" s="40">
        <f t="shared" ref="P280:Q280" si="675">H280+P279</f>
        <v>171</v>
      </c>
      <c r="Q280" s="39">
        <f t="shared" si="675"/>
        <v>424</v>
      </c>
      <c r="R280" s="10"/>
      <c r="S280" s="266">
        <f t="shared" ref="S280:U280" si="676">O280/K280</f>
        <v>0.14450867052023122</v>
      </c>
      <c r="T280" s="264">
        <f t="shared" si="676"/>
        <v>0.23749999999999999</v>
      </c>
      <c r="U280" s="264">
        <f t="shared" si="676"/>
        <v>0.24480369515011546</v>
      </c>
      <c r="V280" s="261" t="s">
        <v>691</v>
      </c>
      <c r="X280" s="14">
        <v>3463</v>
      </c>
      <c r="Y280" s="14">
        <v>1732</v>
      </c>
      <c r="Z280" s="258">
        <v>424</v>
      </c>
      <c r="AA280" s="13"/>
      <c r="AB280" s="258" t="s">
        <v>1356</v>
      </c>
      <c r="AD280" s="258" t="str">
        <f t="shared" si="2"/>
        <v xml:space="preserve"> </v>
      </c>
      <c r="AE280" s="258" t="str">
        <f t="shared" si="3"/>
        <v xml:space="preserve"> </v>
      </c>
      <c r="AF280" s="258" t="str">
        <f t="shared" si="4"/>
        <v xml:space="preserve"> </v>
      </c>
      <c r="AG280" s="258">
        <f t="shared" si="5"/>
        <v>62</v>
      </c>
    </row>
    <row r="281" spans="1:33" x14ac:dyDescent="0.25">
      <c r="A281" s="29"/>
      <c r="B281" s="31"/>
      <c r="C281" s="34"/>
      <c r="D281" s="34"/>
      <c r="E281" s="36"/>
      <c r="F281" s="36"/>
      <c r="G281" s="36"/>
      <c r="H281" s="38"/>
      <c r="I281" s="36"/>
      <c r="J281" s="9"/>
      <c r="K281" s="39"/>
      <c r="L281" s="40"/>
      <c r="M281" s="39"/>
      <c r="N281" s="9"/>
      <c r="O281" s="39"/>
      <c r="P281" s="40"/>
      <c r="Q281" s="39"/>
      <c r="R281" s="10"/>
      <c r="X281" s="14"/>
      <c r="Y281" s="14" t="s">
        <v>1356</v>
      </c>
      <c r="Z281" s="258" t="s">
        <v>1356</v>
      </c>
      <c r="AA281" s="13"/>
      <c r="AB281" s="258" t="s">
        <v>1356</v>
      </c>
      <c r="AD281" s="258" t="str">
        <f t="shared" si="2"/>
        <v xml:space="preserve"> </v>
      </c>
      <c r="AE281" s="258" t="str">
        <f t="shared" si="3"/>
        <v xml:space="preserve"> </v>
      </c>
      <c r="AF281" s="258" t="str">
        <f t="shared" si="4"/>
        <v xml:space="preserve"> </v>
      </c>
      <c r="AG281" s="258" t="str">
        <f t="shared" si="5"/>
        <v xml:space="preserve"> </v>
      </c>
    </row>
    <row r="282" spans="1:33" x14ac:dyDescent="0.25">
      <c r="A282" s="29" t="s">
        <v>701</v>
      </c>
      <c r="B282" s="31">
        <v>5</v>
      </c>
      <c r="C282" s="34" t="s">
        <v>69</v>
      </c>
      <c r="D282" s="34">
        <v>2014</v>
      </c>
      <c r="E282" s="36">
        <v>16</v>
      </c>
      <c r="F282" s="36">
        <v>33</v>
      </c>
      <c r="G282" s="36">
        <v>7</v>
      </c>
      <c r="H282" s="38">
        <v>52</v>
      </c>
      <c r="I282" s="36">
        <v>108</v>
      </c>
      <c r="J282" s="9"/>
      <c r="K282" s="39">
        <f>ROUND((225+160)/5,0)</f>
        <v>77</v>
      </c>
      <c r="L282" s="40">
        <f>ROUND(425/5,0)</f>
        <v>85</v>
      </c>
      <c r="M282" s="39">
        <v>199</v>
      </c>
      <c r="N282" s="9"/>
      <c r="O282" s="39">
        <f>E282+F282</f>
        <v>49</v>
      </c>
      <c r="P282" s="40">
        <f t="shared" ref="P282:Q282" si="677">H282</f>
        <v>52</v>
      </c>
      <c r="Q282" s="39">
        <f t="shared" si="677"/>
        <v>108</v>
      </c>
      <c r="R282" s="10"/>
      <c r="S282" s="266">
        <f t="shared" ref="S282:U282" si="678">O282/K282</f>
        <v>0.63636363636363635</v>
      </c>
      <c r="T282" s="264">
        <f t="shared" si="678"/>
        <v>0.61176470588235299</v>
      </c>
      <c r="U282" s="264">
        <f t="shared" si="678"/>
        <v>0.542713567839196</v>
      </c>
      <c r="X282" s="14"/>
      <c r="Y282" s="14" t="s">
        <v>1356</v>
      </c>
      <c r="Z282" s="258" t="s">
        <v>1356</v>
      </c>
      <c r="AA282" s="13"/>
      <c r="AB282" s="258">
        <v>199</v>
      </c>
      <c r="AD282" s="258" t="str">
        <f t="shared" si="2"/>
        <v xml:space="preserve"> </v>
      </c>
      <c r="AE282" s="258" t="str">
        <f t="shared" si="3"/>
        <v xml:space="preserve"> </v>
      </c>
      <c r="AF282" s="258" t="str">
        <f t="shared" si="4"/>
        <v xml:space="preserve"> </v>
      </c>
      <c r="AG282" s="258" t="str">
        <f t="shared" si="5"/>
        <v xml:space="preserve"> </v>
      </c>
    </row>
    <row r="283" spans="1:33" x14ac:dyDescent="0.25">
      <c r="A283" s="29" t="s">
        <v>701</v>
      </c>
      <c r="B283" s="31">
        <v>5</v>
      </c>
      <c r="C283" s="34" t="s">
        <v>69</v>
      </c>
      <c r="D283" s="34">
        <v>2015</v>
      </c>
      <c r="E283" s="36">
        <v>0</v>
      </c>
      <c r="F283" s="36">
        <v>0</v>
      </c>
      <c r="G283" s="36">
        <v>1</v>
      </c>
      <c r="H283" s="38">
        <v>0</v>
      </c>
      <c r="I283" s="36">
        <v>1</v>
      </c>
      <c r="J283" s="9"/>
      <c r="K283" s="39">
        <f t="shared" ref="K283:M283" si="679">K282*2</f>
        <v>154</v>
      </c>
      <c r="L283" s="40">
        <f t="shared" si="679"/>
        <v>170</v>
      </c>
      <c r="M283" s="39">
        <f t="shared" si="679"/>
        <v>398</v>
      </c>
      <c r="N283" s="9"/>
      <c r="O283" s="39">
        <f t="shared" ref="O283:O286" si="680">E283+F283+O282</f>
        <v>49</v>
      </c>
      <c r="P283" s="40">
        <f t="shared" ref="P283:Q283" si="681">H283+P282</f>
        <v>52</v>
      </c>
      <c r="Q283" s="39">
        <f t="shared" si="681"/>
        <v>109</v>
      </c>
      <c r="R283" s="10"/>
      <c r="S283" s="266">
        <f t="shared" ref="S283:U283" si="682">O283/K283</f>
        <v>0.31818181818181818</v>
      </c>
      <c r="T283" s="264">
        <f t="shared" si="682"/>
        <v>0.30588235294117649</v>
      </c>
      <c r="U283" s="264">
        <f t="shared" si="682"/>
        <v>0.27386934673366836</v>
      </c>
      <c r="X283" s="14"/>
      <c r="Y283" s="14" t="s">
        <v>1356</v>
      </c>
      <c r="Z283" s="258" t="s">
        <v>1356</v>
      </c>
      <c r="AA283" s="13"/>
      <c r="AD283" s="258">
        <f t="shared" si="2"/>
        <v>1</v>
      </c>
      <c r="AE283" s="258" t="str">
        <f t="shared" si="3"/>
        <v xml:space="preserve"> </v>
      </c>
      <c r="AF283" s="258" t="str">
        <f t="shared" si="4"/>
        <v xml:space="preserve"> </v>
      </c>
      <c r="AG283" s="258" t="str">
        <f t="shared" si="5"/>
        <v xml:space="preserve"> </v>
      </c>
    </row>
    <row r="284" spans="1:33" x14ac:dyDescent="0.25">
      <c r="A284" s="29" t="s">
        <v>701</v>
      </c>
      <c r="B284" s="31">
        <v>5</v>
      </c>
      <c r="C284" s="34" t="s">
        <v>69</v>
      </c>
      <c r="D284" s="34">
        <v>2016</v>
      </c>
      <c r="E284" s="36">
        <v>0</v>
      </c>
      <c r="F284" s="36">
        <v>23</v>
      </c>
      <c r="G284" s="36">
        <v>12</v>
      </c>
      <c r="H284" s="38">
        <v>0</v>
      </c>
      <c r="I284" s="36">
        <v>35</v>
      </c>
      <c r="J284" s="9"/>
      <c r="K284" s="39">
        <f t="shared" ref="K284:M284" si="683">K282*3</f>
        <v>231</v>
      </c>
      <c r="L284" s="40">
        <f t="shared" si="683"/>
        <v>255</v>
      </c>
      <c r="M284" s="39">
        <f t="shared" si="683"/>
        <v>597</v>
      </c>
      <c r="N284" s="9"/>
      <c r="O284" s="39">
        <f t="shared" si="680"/>
        <v>72</v>
      </c>
      <c r="P284" s="40">
        <f t="shared" ref="P284:Q284" si="684">H284+P283</f>
        <v>52</v>
      </c>
      <c r="Q284" s="39">
        <f t="shared" si="684"/>
        <v>144</v>
      </c>
      <c r="R284" s="10"/>
      <c r="S284" s="266">
        <f t="shared" ref="S284:U284" si="685">O284/K284</f>
        <v>0.31168831168831168</v>
      </c>
      <c r="T284" s="264">
        <f t="shared" si="685"/>
        <v>0.20392156862745098</v>
      </c>
      <c r="U284" s="264">
        <f t="shared" si="685"/>
        <v>0.24120603015075376</v>
      </c>
      <c r="X284" s="14"/>
      <c r="Y284" s="14" t="s">
        <v>1356</v>
      </c>
      <c r="Z284" s="258" t="s">
        <v>1356</v>
      </c>
      <c r="AA284" s="13"/>
      <c r="AB284" s="258" t="s">
        <v>1356</v>
      </c>
      <c r="AD284" s="258" t="str">
        <f t="shared" si="2"/>
        <v xml:space="preserve"> </v>
      </c>
      <c r="AE284" s="258">
        <f t="shared" si="3"/>
        <v>35</v>
      </c>
      <c r="AF284" s="258" t="str">
        <f t="shared" si="4"/>
        <v xml:space="preserve"> </v>
      </c>
      <c r="AG284" s="258" t="str">
        <f t="shared" si="5"/>
        <v xml:space="preserve"> </v>
      </c>
    </row>
    <row r="285" spans="1:33" x14ac:dyDescent="0.25">
      <c r="A285" s="29" t="s">
        <v>701</v>
      </c>
      <c r="B285" s="31">
        <v>5</v>
      </c>
      <c r="C285" s="34" t="s">
        <v>69</v>
      </c>
      <c r="D285" s="34">
        <v>2017</v>
      </c>
      <c r="E285" s="36">
        <v>0</v>
      </c>
      <c r="F285" s="36">
        <v>58</v>
      </c>
      <c r="G285" s="36">
        <v>75</v>
      </c>
      <c r="H285" s="38">
        <v>0</v>
      </c>
      <c r="I285" s="36">
        <v>133</v>
      </c>
      <c r="J285" s="9"/>
      <c r="K285" s="39">
        <f t="shared" ref="K285:M285" si="686">K282*4</f>
        <v>308</v>
      </c>
      <c r="L285" s="40">
        <f t="shared" si="686"/>
        <v>340</v>
      </c>
      <c r="M285" s="39">
        <f t="shared" si="686"/>
        <v>796</v>
      </c>
      <c r="N285" s="9"/>
      <c r="O285" s="39">
        <f t="shared" si="680"/>
        <v>130</v>
      </c>
      <c r="P285" s="40">
        <f t="shared" ref="P285:Q285" si="687">H285+P284</f>
        <v>52</v>
      </c>
      <c r="Q285" s="39">
        <f t="shared" si="687"/>
        <v>277</v>
      </c>
      <c r="R285" s="10"/>
      <c r="S285" s="266">
        <f t="shared" ref="S285:U285" si="688">O285/K285</f>
        <v>0.42207792207792205</v>
      </c>
      <c r="T285" s="264">
        <f t="shared" si="688"/>
        <v>0.15294117647058825</v>
      </c>
      <c r="U285" s="264">
        <f t="shared" si="688"/>
        <v>0.3479899497487437</v>
      </c>
      <c r="X285" s="14"/>
      <c r="Y285" s="14" t="s">
        <v>1356</v>
      </c>
      <c r="Z285" s="258" t="s">
        <v>1356</v>
      </c>
      <c r="AA285" s="13"/>
      <c r="AB285" s="258" t="s">
        <v>1356</v>
      </c>
      <c r="AD285" s="258" t="str">
        <f t="shared" si="2"/>
        <v xml:space="preserve"> </v>
      </c>
      <c r="AE285" s="258" t="str">
        <f t="shared" si="3"/>
        <v xml:space="preserve"> </v>
      </c>
      <c r="AF285" s="258">
        <f t="shared" si="4"/>
        <v>133</v>
      </c>
      <c r="AG285" s="258" t="str">
        <f t="shared" si="5"/>
        <v xml:space="preserve"> </v>
      </c>
    </row>
    <row r="286" spans="1:33" x14ac:dyDescent="0.25">
      <c r="A286" s="29" t="s">
        <v>701</v>
      </c>
      <c r="B286" s="31">
        <v>5</v>
      </c>
      <c r="C286" s="34" t="s">
        <v>69</v>
      </c>
      <c r="D286" s="34">
        <v>2018</v>
      </c>
      <c r="E286" s="36">
        <v>0</v>
      </c>
      <c r="F286" s="36">
        <v>2</v>
      </c>
      <c r="G286" s="36">
        <v>7</v>
      </c>
      <c r="H286" s="38">
        <v>13</v>
      </c>
      <c r="I286" s="36">
        <v>22</v>
      </c>
      <c r="J286" s="9"/>
      <c r="K286" s="39">
        <f t="shared" ref="K286:M286" si="689">K282*5</f>
        <v>385</v>
      </c>
      <c r="L286" s="40">
        <f t="shared" si="689"/>
        <v>425</v>
      </c>
      <c r="M286" s="39">
        <f t="shared" si="689"/>
        <v>995</v>
      </c>
      <c r="N286" s="9"/>
      <c r="O286" s="39">
        <f t="shared" si="680"/>
        <v>132</v>
      </c>
      <c r="P286" s="40">
        <f t="shared" ref="P286:Q286" si="690">H286+P285</f>
        <v>65</v>
      </c>
      <c r="Q286" s="39">
        <f t="shared" si="690"/>
        <v>299</v>
      </c>
      <c r="R286" s="10"/>
      <c r="S286" s="266">
        <f t="shared" ref="S286:U286" si="691">O286/K286</f>
        <v>0.34285714285714286</v>
      </c>
      <c r="T286" s="264">
        <f t="shared" si="691"/>
        <v>0.15294117647058825</v>
      </c>
      <c r="U286" s="264">
        <f t="shared" si="691"/>
        <v>0.30050251256281407</v>
      </c>
      <c r="V286" s="261" t="s">
        <v>701</v>
      </c>
      <c r="X286" s="14">
        <v>995</v>
      </c>
      <c r="Y286" s="14">
        <v>995</v>
      </c>
      <c r="Z286" s="258">
        <v>299</v>
      </c>
      <c r="AA286" s="13"/>
      <c r="AB286" s="258" t="s">
        <v>1356</v>
      </c>
      <c r="AD286" s="258" t="str">
        <f t="shared" si="2"/>
        <v xml:space="preserve"> </v>
      </c>
      <c r="AE286" s="258" t="str">
        <f t="shared" si="3"/>
        <v xml:space="preserve"> </v>
      </c>
      <c r="AF286" s="258" t="str">
        <f t="shared" si="4"/>
        <v xml:space="preserve"> </v>
      </c>
      <c r="AG286" s="258">
        <f t="shared" si="5"/>
        <v>22</v>
      </c>
    </row>
    <row r="287" spans="1:33" x14ac:dyDescent="0.25">
      <c r="A287" s="46"/>
      <c r="B287" s="47"/>
      <c r="C287" s="32"/>
      <c r="D287" s="32"/>
      <c r="E287" s="48"/>
      <c r="F287" s="48"/>
      <c r="G287" s="48"/>
      <c r="H287" s="49"/>
      <c r="I287" s="48"/>
      <c r="J287" s="50"/>
      <c r="K287" s="51"/>
      <c r="L287" s="52"/>
      <c r="M287" s="51"/>
      <c r="N287" s="50"/>
      <c r="O287" s="51"/>
      <c r="P287" s="52"/>
      <c r="Q287" s="51"/>
      <c r="R287" s="53"/>
      <c r="W287" s="1"/>
      <c r="X287" s="14"/>
      <c r="Y287" s="14"/>
      <c r="AA287" s="54"/>
      <c r="AD287" s="258" t="str">
        <f t="shared" si="2"/>
        <v xml:space="preserve"> </v>
      </c>
      <c r="AE287" s="258" t="str">
        <f t="shared" si="3"/>
        <v xml:space="preserve"> </v>
      </c>
      <c r="AF287" s="258" t="str">
        <f t="shared" si="4"/>
        <v xml:space="preserve"> </v>
      </c>
      <c r="AG287" s="258" t="str">
        <f t="shared" si="5"/>
        <v xml:space="preserve"> </v>
      </c>
    </row>
    <row r="288" spans="1:33" x14ac:dyDescent="0.25">
      <c r="A288" s="46" t="s">
        <v>709</v>
      </c>
      <c r="B288" s="47">
        <v>5</v>
      </c>
      <c r="C288" s="34" t="s">
        <v>69</v>
      </c>
      <c r="D288" s="32">
        <v>2014</v>
      </c>
      <c r="E288" s="48">
        <v>0</v>
      </c>
      <c r="F288" s="48">
        <v>0</v>
      </c>
      <c r="G288" s="48">
        <v>0</v>
      </c>
      <c r="H288" s="49">
        <v>0</v>
      </c>
      <c r="I288" s="48">
        <v>0</v>
      </c>
      <c r="J288" s="50"/>
      <c r="K288" s="51">
        <f>ROUND((2+2)/5,0)</f>
        <v>1</v>
      </c>
      <c r="L288" s="91">
        <f>ROUND(4/5,0)</f>
        <v>1</v>
      </c>
      <c r="M288" s="51">
        <f>ROUND(11/5,0)</f>
        <v>2</v>
      </c>
      <c r="N288" s="50"/>
      <c r="O288" s="51">
        <f t="shared" ref="O288:O292" si="692">E288+F288</f>
        <v>0</v>
      </c>
      <c r="P288" s="52">
        <f t="shared" ref="P288:Q288" si="693">H288</f>
        <v>0</v>
      </c>
      <c r="Q288" s="51">
        <f t="shared" si="693"/>
        <v>0</v>
      </c>
      <c r="R288" s="53"/>
      <c r="S288" s="266">
        <f t="shared" ref="S288:U288" si="694">O288/K288</f>
        <v>0</v>
      </c>
      <c r="T288" s="264">
        <f t="shared" si="694"/>
        <v>0</v>
      </c>
      <c r="U288" s="264">
        <f t="shared" si="694"/>
        <v>0</v>
      </c>
      <c r="W288" s="1"/>
      <c r="X288" s="14"/>
      <c r="Y288" s="14"/>
      <c r="AA288" s="54"/>
      <c r="AB288" s="258">
        <f>M288</f>
        <v>2</v>
      </c>
      <c r="AD288" s="258" t="str">
        <f t="shared" si="2"/>
        <v xml:space="preserve"> </v>
      </c>
      <c r="AE288" s="258" t="str">
        <f t="shared" si="3"/>
        <v xml:space="preserve"> </v>
      </c>
      <c r="AF288" s="258" t="str">
        <f t="shared" si="4"/>
        <v xml:space="preserve"> </v>
      </c>
      <c r="AG288" s="258" t="str">
        <f t="shared" si="5"/>
        <v xml:space="preserve"> </v>
      </c>
    </row>
    <row r="289" spans="1:33" x14ac:dyDescent="0.25">
      <c r="A289" s="46" t="s">
        <v>709</v>
      </c>
      <c r="B289" s="47">
        <v>5</v>
      </c>
      <c r="C289" s="34" t="s">
        <v>69</v>
      </c>
      <c r="D289" s="32">
        <v>2015</v>
      </c>
      <c r="E289" s="48">
        <v>0</v>
      </c>
      <c r="F289" s="48">
        <v>0</v>
      </c>
      <c r="G289" s="48">
        <v>0</v>
      </c>
      <c r="H289" s="49">
        <v>0</v>
      </c>
      <c r="I289" s="48">
        <v>0</v>
      </c>
      <c r="J289" s="50"/>
      <c r="K289" s="51">
        <f t="shared" ref="K289:M289" si="695">K288*2</f>
        <v>2</v>
      </c>
      <c r="L289" s="52">
        <f t="shared" si="695"/>
        <v>2</v>
      </c>
      <c r="M289" s="51">
        <f t="shared" si="695"/>
        <v>4</v>
      </c>
      <c r="N289" s="50"/>
      <c r="O289" s="51">
        <f t="shared" si="692"/>
        <v>0</v>
      </c>
      <c r="P289" s="52">
        <f t="shared" ref="P289:Q289" si="696">H289</f>
        <v>0</v>
      </c>
      <c r="Q289" s="51">
        <f t="shared" si="696"/>
        <v>0</v>
      </c>
      <c r="R289" s="53"/>
      <c r="S289" s="266">
        <f t="shared" ref="S289:U289" si="697">O289/K289</f>
        <v>0</v>
      </c>
      <c r="T289" s="264">
        <f t="shared" si="697"/>
        <v>0</v>
      </c>
      <c r="U289" s="264">
        <f t="shared" si="697"/>
        <v>0</v>
      </c>
      <c r="W289" s="1"/>
      <c r="X289" s="14"/>
      <c r="Y289" s="14"/>
      <c r="AA289" s="54"/>
      <c r="AD289" s="258">
        <f t="shared" si="2"/>
        <v>0</v>
      </c>
      <c r="AE289" s="258" t="str">
        <f t="shared" si="3"/>
        <v xml:space="preserve"> </v>
      </c>
      <c r="AF289" s="258" t="str">
        <f t="shared" si="4"/>
        <v xml:space="preserve"> </v>
      </c>
      <c r="AG289" s="258" t="str">
        <f t="shared" si="5"/>
        <v xml:space="preserve"> </v>
      </c>
    </row>
    <row r="290" spans="1:33" x14ac:dyDescent="0.25">
      <c r="A290" s="46" t="s">
        <v>709</v>
      </c>
      <c r="B290" s="47">
        <v>5</v>
      </c>
      <c r="C290" s="34" t="s">
        <v>69</v>
      </c>
      <c r="D290" s="32">
        <v>2016</v>
      </c>
      <c r="E290" s="48">
        <v>0</v>
      </c>
      <c r="F290" s="48">
        <v>0</v>
      </c>
      <c r="G290" s="48">
        <v>0</v>
      </c>
      <c r="H290" s="49">
        <v>0</v>
      </c>
      <c r="I290" s="48">
        <v>0</v>
      </c>
      <c r="J290" s="50"/>
      <c r="K290" s="51">
        <f t="shared" ref="K290:M290" si="698">K288*3</f>
        <v>3</v>
      </c>
      <c r="L290" s="52">
        <f t="shared" si="698"/>
        <v>3</v>
      </c>
      <c r="M290" s="51">
        <f t="shared" si="698"/>
        <v>6</v>
      </c>
      <c r="N290" s="50"/>
      <c r="O290" s="51">
        <f t="shared" si="692"/>
        <v>0</v>
      </c>
      <c r="P290" s="52">
        <f t="shared" ref="P290:Q290" si="699">H290</f>
        <v>0</v>
      </c>
      <c r="Q290" s="51">
        <f t="shared" si="699"/>
        <v>0</v>
      </c>
      <c r="R290" s="53"/>
      <c r="S290" s="266">
        <f t="shared" ref="S290:U290" si="700">O290/K290</f>
        <v>0</v>
      </c>
      <c r="T290" s="264">
        <f t="shared" si="700"/>
        <v>0</v>
      </c>
      <c r="U290" s="264">
        <f t="shared" si="700"/>
        <v>0</v>
      </c>
      <c r="W290" s="1"/>
      <c r="X290" s="14"/>
      <c r="Y290" s="14"/>
      <c r="AA290" s="54"/>
      <c r="AD290" s="258" t="str">
        <f t="shared" si="2"/>
        <v xml:space="preserve"> </v>
      </c>
      <c r="AE290" s="258">
        <f t="shared" si="3"/>
        <v>0</v>
      </c>
      <c r="AF290" s="258" t="str">
        <f t="shared" si="4"/>
        <v xml:space="preserve"> </v>
      </c>
      <c r="AG290" s="258" t="str">
        <f t="shared" si="5"/>
        <v xml:space="preserve"> </v>
      </c>
    </row>
    <row r="291" spans="1:33" x14ac:dyDescent="0.25">
      <c r="A291" s="46" t="s">
        <v>709</v>
      </c>
      <c r="B291" s="47">
        <v>5</v>
      </c>
      <c r="C291" s="34" t="s">
        <v>69</v>
      </c>
      <c r="D291" s="32">
        <v>2017</v>
      </c>
      <c r="E291" s="48">
        <v>0</v>
      </c>
      <c r="F291" s="48">
        <v>0</v>
      </c>
      <c r="G291" s="48">
        <v>0</v>
      </c>
      <c r="H291" s="49">
        <v>0</v>
      </c>
      <c r="I291" s="48">
        <v>0</v>
      </c>
      <c r="J291" s="50"/>
      <c r="K291" s="51">
        <f t="shared" ref="K291:M291" si="701">K288*4</f>
        <v>4</v>
      </c>
      <c r="L291" s="52">
        <f t="shared" si="701"/>
        <v>4</v>
      </c>
      <c r="M291" s="51">
        <f t="shared" si="701"/>
        <v>8</v>
      </c>
      <c r="N291" s="50"/>
      <c r="O291" s="51">
        <f t="shared" si="692"/>
        <v>0</v>
      </c>
      <c r="P291" s="52">
        <f t="shared" ref="P291:Q291" si="702">H291</f>
        <v>0</v>
      </c>
      <c r="Q291" s="51">
        <f t="shared" si="702"/>
        <v>0</v>
      </c>
      <c r="R291" s="53"/>
      <c r="S291" s="266">
        <f t="shared" ref="S291:U291" si="703">O291/K291</f>
        <v>0</v>
      </c>
      <c r="T291" s="264">
        <f t="shared" si="703"/>
        <v>0</v>
      </c>
      <c r="U291" s="264">
        <f t="shared" si="703"/>
        <v>0</v>
      </c>
      <c r="W291" s="1"/>
      <c r="X291" s="14"/>
      <c r="Y291" s="14"/>
      <c r="AA291" s="54"/>
      <c r="AD291" s="258" t="str">
        <f t="shared" si="2"/>
        <v xml:space="preserve"> </v>
      </c>
      <c r="AE291" s="258" t="str">
        <f t="shared" si="3"/>
        <v xml:space="preserve"> </v>
      </c>
      <c r="AF291" s="258">
        <f t="shared" si="4"/>
        <v>0</v>
      </c>
      <c r="AG291" s="258" t="str">
        <f t="shared" si="5"/>
        <v xml:space="preserve"> </v>
      </c>
    </row>
    <row r="292" spans="1:33" x14ac:dyDescent="0.25">
      <c r="A292" s="46" t="s">
        <v>709</v>
      </c>
      <c r="B292" s="47">
        <v>5</v>
      </c>
      <c r="C292" s="34" t="s">
        <v>69</v>
      </c>
      <c r="D292" s="32">
        <v>2018</v>
      </c>
      <c r="E292" s="48">
        <v>0</v>
      </c>
      <c r="F292" s="48">
        <v>0</v>
      </c>
      <c r="G292" s="48">
        <v>0</v>
      </c>
      <c r="H292" s="49">
        <v>0</v>
      </c>
      <c r="I292" s="48">
        <v>0</v>
      </c>
      <c r="J292" s="50"/>
      <c r="K292" s="51">
        <f t="shared" ref="K292:M292" si="704">K288*5</f>
        <v>5</v>
      </c>
      <c r="L292" s="52">
        <f t="shared" si="704"/>
        <v>5</v>
      </c>
      <c r="M292" s="51">
        <f t="shared" si="704"/>
        <v>10</v>
      </c>
      <c r="N292" s="50"/>
      <c r="O292" s="51">
        <f t="shared" si="692"/>
        <v>0</v>
      </c>
      <c r="P292" s="52">
        <f t="shared" ref="P292:Q292" si="705">H292</f>
        <v>0</v>
      </c>
      <c r="Q292" s="51">
        <f t="shared" si="705"/>
        <v>0</v>
      </c>
      <c r="R292" s="53"/>
      <c r="S292" s="266">
        <f t="shared" ref="S292:U292" si="706">O292/K292</f>
        <v>0</v>
      </c>
      <c r="T292" s="264">
        <f t="shared" si="706"/>
        <v>0</v>
      </c>
      <c r="U292" s="264">
        <f t="shared" si="706"/>
        <v>0</v>
      </c>
      <c r="V292" s="261" t="s">
        <v>709</v>
      </c>
      <c r="W292" s="1"/>
      <c r="X292" s="14">
        <v>10</v>
      </c>
      <c r="Y292" s="14">
        <v>10</v>
      </c>
      <c r="Z292" s="258">
        <v>0</v>
      </c>
      <c r="AA292" s="54"/>
      <c r="AD292" s="258" t="str">
        <f t="shared" si="2"/>
        <v xml:space="preserve"> </v>
      </c>
      <c r="AE292" s="258" t="str">
        <f t="shared" si="3"/>
        <v xml:space="preserve"> </v>
      </c>
      <c r="AF292" s="258" t="str">
        <f t="shared" si="4"/>
        <v xml:space="preserve"> </v>
      </c>
      <c r="AG292" s="258">
        <f t="shared" si="5"/>
        <v>0</v>
      </c>
    </row>
    <row r="293" spans="1:33" x14ac:dyDescent="0.25">
      <c r="A293" s="46"/>
      <c r="B293" s="47"/>
      <c r="C293" s="32"/>
      <c r="D293" s="32"/>
      <c r="E293" s="48"/>
      <c r="F293" s="48"/>
      <c r="G293" s="48"/>
      <c r="H293" s="49"/>
      <c r="I293" s="48"/>
      <c r="J293" s="50"/>
      <c r="K293" s="51"/>
      <c r="L293" s="52"/>
      <c r="M293" s="51"/>
      <c r="N293" s="50"/>
      <c r="O293" s="51"/>
      <c r="P293" s="52"/>
      <c r="Q293" s="51"/>
      <c r="R293" s="53"/>
      <c r="W293" s="1"/>
      <c r="X293" s="14"/>
      <c r="Y293" s="14" t="s">
        <v>1356</v>
      </c>
      <c r="Z293" s="258" t="s">
        <v>1356</v>
      </c>
      <c r="AA293" s="54"/>
      <c r="AB293" s="258" t="s">
        <v>1356</v>
      </c>
      <c r="AD293" s="258" t="str">
        <f t="shared" si="2"/>
        <v xml:space="preserve"> </v>
      </c>
      <c r="AE293" s="258" t="str">
        <f t="shared" si="3"/>
        <v xml:space="preserve"> </v>
      </c>
      <c r="AF293" s="258" t="str">
        <f t="shared" si="4"/>
        <v xml:space="preserve"> </v>
      </c>
      <c r="AG293" s="258" t="str">
        <f t="shared" si="5"/>
        <v xml:space="preserve"> </v>
      </c>
    </row>
    <row r="294" spans="1:33" x14ac:dyDescent="0.25">
      <c r="A294" s="29" t="s">
        <v>714</v>
      </c>
      <c r="B294" s="31">
        <v>8</v>
      </c>
      <c r="C294" s="34" t="s">
        <v>126</v>
      </c>
      <c r="D294" s="34">
        <v>2016</v>
      </c>
      <c r="E294" s="36">
        <v>151</v>
      </c>
      <c r="F294" s="36">
        <v>185</v>
      </c>
      <c r="G294" s="36">
        <v>395</v>
      </c>
      <c r="H294" s="38">
        <v>641</v>
      </c>
      <c r="I294" s="36">
        <v>1372</v>
      </c>
      <c r="J294" s="9"/>
      <c r="K294" s="39">
        <f>ROUND((6215+4655)/8,0)</f>
        <v>1359</v>
      </c>
      <c r="L294" s="40">
        <f>ROUND(11465/8,0)</f>
        <v>1433</v>
      </c>
      <c r="M294" s="39">
        <f>ROUND(26910/8,0)</f>
        <v>3364</v>
      </c>
      <c r="N294" s="9"/>
      <c r="O294" s="39">
        <f>E294+F294</f>
        <v>336</v>
      </c>
      <c r="P294" s="40">
        <f t="shared" ref="P294:Q294" si="707">H294</f>
        <v>641</v>
      </c>
      <c r="Q294" s="39">
        <f t="shared" si="707"/>
        <v>1372</v>
      </c>
      <c r="R294" s="10"/>
      <c r="S294" s="266">
        <f t="shared" ref="S294:U294" si="708">O294/K294</f>
        <v>0.24724061810154527</v>
      </c>
      <c r="T294" s="264">
        <f t="shared" si="708"/>
        <v>0.44731332868108864</v>
      </c>
      <c r="U294" s="264">
        <f t="shared" si="708"/>
        <v>0.40784780023781214</v>
      </c>
      <c r="X294" s="14"/>
      <c r="Y294" s="14" t="s">
        <v>1356</v>
      </c>
      <c r="Z294" s="258" t="s">
        <v>1356</v>
      </c>
      <c r="AA294" s="13"/>
      <c r="AB294" s="258">
        <v>3364</v>
      </c>
      <c r="AD294" s="258" t="str">
        <f t="shared" si="2"/>
        <v xml:space="preserve"> </v>
      </c>
      <c r="AE294" s="258">
        <f t="shared" si="3"/>
        <v>1372</v>
      </c>
      <c r="AF294" s="258" t="str">
        <f t="shared" si="4"/>
        <v xml:space="preserve"> </v>
      </c>
      <c r="AG294" s="258" t="str">
        <f t="shared" si="5"/>
        <v xml:space="preserve"> </v>
      </c>
    </row>
    <row r="295" spans="1:33" x14ac:dyDescent="0.25">
      <c r="A295" s="29" t="s">
        <v>714</v>
      </c>
      <c r="B295" s="31">
        <v>8</v>
      </c>
      <c r="C295" s="34" t="s">
        <v>126</v>
      </c>
      <c r="D295" s="34">
        <v>2017</v>
      </c>
      <c r="E295" s="36">
        <v>119</v>
      </c>
      <c r="F295" s="36">
        <v>213</v>
      </c>
      <c r="G295" s="36">
        <v>133</v>
      </c>
      <c r="H295" s="38">
        <v>795</v>
      </c>
      <c r="I295" s="36">
        <v>1260</v>
      </c>
      <c r="J295" s="9"/>
      <c r="K295" s="39">
        <f t="shared" ref="K295:M295" si="709">K294*2</f>
        <v>2718</v>
      </c>
      <c r="L295" s="40">
        <f t="shared" si="709"/>
        <v>2866</v>
      </c>
      <c r="M295" s="39">
        <f t="shared" si="709"/>
        <v>6728</v>
      </c>
      <c r="N295" s="9"/>
      <c r="O295" s="39">
        <f t="shared" ref="O295:O296" si="710">E295+F295+O294</f>
        <v>668</v>
      </c>
      <c r="P295" s="40">
        <f t="shared" ref="P295:Q295" si="711">H295+P294</f>
        <v>1436</v>
      </c>
      <c r="Q295" s="39">
        <f t="shared" si="711"/>
        <v>2632</v>
      </c>
      <c r="R295" s="10"/>
      <c r="S295" s="266">
        <f t="shared" ref="S295:U295" si="712">O295/K295</f>
        <v>0.24576894775570271</v>
      </c>
      <c r="T295" s="264">
        <f t="shared" si="712"/>
        <v>0.50104675505931617</v>
      </c>
      <c r="U295" s="264">
        <f t="shared" si="712"/>
        <v>0.39120095124851367</v>
      </c>
      <c r="X295" s="14"/>
      <c r="Y295" s="14" t="s">
        <v>1356</v>
      </c>
      <c r="Z295" s="258" t="s">
        <v>1356</v>
      </c>
      <c r="AA295" s="13"/>
      <c r="AB295" s="258" t="s">
        <v>1356</v>
      </c>
      <c r="AD295" s="258" t="str">
        <f t="shared" si="2"/>
        <v xml:space="preserve"> </v>
      </c>
      <c r="AE295" s="258" t="str">
        <f t="shared" si="3"/>
        <v xml:space="preserve"> </v>
      </c>
      <c r="AF295" s="258">
        <f t="shared" si="4"/>
        <v>1260</v>
      </c>
      <c r="AG295" s="258" t="str">
        <f t="shared" si="5"/>
        <v xml:space="preserve"> </v>
      </c>
    </row>
    <row r="296" spans="1:33" x14ac:dyDescent="0.25">
      <c r="A296" s="29" t="s">
        <v>714</v>
      </c>
      <c r="B296" s="31">
        <v>8</v>
      </c>
      <c r="C296" s="34" t="s">
        <v>126</v>
      </c>
      <c r="D296" s="34">
        <v>2018</v>
      </c>
      <c r="E296" s="36">
        <v>103</v>
      </c>
      <c r="F296" s="36">
        <v>174</v>
      </c>
      <c r="G296" s="36">
        <v>212</v>
      </c>
      <c r="H296" s="38">
        <v>977</v>
      </c>
      <c r="I296" s="36">
        <v>1466</v>
      </c>
      <c r="J296" s="9"/>
      <c r="K296" s="39">
        <f t="shared" ref="K296:M296" si="713">K294*3</f>
        <v>4077</v>
      </c>
      <c r="L296" s="40">
        <f t="shared" si="713"/>
        <v>4299</v>
      </c>
      <c r="M296" s="39">
        <f t="shared" si="713"/>
        <v>10092</v>
      </c>
      <c r="N296" s="9"/>
      <c r="O296" s="39">
        <f t="shared" si="710"/>
        <v>945</v>
      </c>
      <c r="P296" s="40">
        <f t="shared" ref="P296:Q296" si="714">H296+P295</f>
        <v>2413</v>
      </c>
      <c r="Q296" s="39">
        <f t="shared" si="714"/>
        <v>4098</v>
      </c>
      <c r="R296" s="10"/>
      <c r="S296" s="266">
        <f t="shared" ref="S296:U296" si="715">O296/K296</f>
        <v>0.23178807947019867</v>
      </c>
      <c r="T296" s="264">
        <f t="shared" si="715"/>
        <v>0.56129332402884391</v>
      </c>
      <c r="U296" s="264">
        <f t="shared" si="715"/>
        <v>0.40606420927467302</v>
      </c>
      <c r="V296" s="261" t="s">
        <v>714</v>
      </c>
      <c r="X296" s="14">
        <v>26910</v>
      </c>
      <c r="Y296" s="14">
        <v>10092</v>
      </c>
      <c r="Z296" s="258">
        <v>4098</v>
      </c>
      <c r="AA296" s="13"/>
      <c r="AB296" s="258" t="s">
        <v>1356</v>
      </c>
      <c r="AD296" s="258" t="str">
        <f t="shared" si="2"/>
        <v xml:space="preserve"> </v>
      </c>
      <c r="AE296" s="258" t="str">
        <f t="shared" si="3"/>
        <v xml:space="preserve"> </v>
      </c>
      <c r="AF296" s="258" t="str">
        <f t="shared" si="4"/>
        <v xml:space="preserve"> </v>
      </c>
      <c r="AG296" s="258">
        <f t="shared" si="5"/>
        <v>1466</v>
      </c>
    </row>
    <row r="297" spans="1:33" x14ac:dyDescent="0.25">
      <c r="A297" s="29"/>
      <c r="B297" s="31"/>
      <c r="C297" s="34"/>
      <c r="D297" s="34"/>
      <c r="E297" s="36"/>
      <c r="F297" s="36"/>
      <c r="G297" s="36"/>
      <c r="H297" s="38"/>
      <c r="I297" s="36"/>
      <c r="J297" s="9"/>
      <c r="K297" s="39"/>
      <c r="L297" s="40"/>
      <c r="M297" s="39"/>
      <c r="N297" s="9"/>
      <c r="O297" s="39"/>
      <c r="P297" s="40"/>
      <c r="Q297" s="39"/>
      <c r="R297" s="10"/>
      <c r="X297" s="14"/>
      <c r="Y297" s="14" t="s">
        <v>1356</v>
      </c>
      <c r="Z297" s="258" t="s">
        <v>1356</v>
      </c>
      <c r="AA297" s="13"/>
      <c r="AB297" s="258" t="s">
        <v>1356</v>
      </c>
      <c r="AD297" s="258" t="str">
        <f t="shared" si="2"/>
        <v xml:space="preserve"> </v>
      </c>
      <c r="AE297" s="258" t="str">
        <f t="shared" si="3"/>
        <v xml:space="preserve"> </v>
      </c>
      <c r="AF297" s="258" t="str">
        <f t="shared" si="4"/>
        <v xml:space="preserve"> </v>
      </c>
      <c r="AG297" s="258" t="str">
        <f t="shared" si="5"/>
        <v xml:space="preserve"> </v>
      </c>
    </row>
    <row r="298" spans="1:33" x14ac:dyDescent="0.25">
      <c r="A298" s="29" t="s">
        <v>733</v>
      </c>
      <c r="B298" s="31">
        <v>5</v>
      </c>
      <c r="C298" s="34" t="s">
        <v>69</v>
      </c>
      <c r="D298" s="34">
        <v>2014</v>
      </c>
      <c r="E298" s="36">
        <v>0</v>
      </c>
      <c r="F298" s="36">
        <v>3</v>
      </c>
      <c r="G298" s="36">
        <v>2</v>
      </c>
      <c r="H298" s="38">
        <v>0</v>
      </c>
      <c r="I298" s="36">
        <v>5</v>
      </c>
      <c r="J298" s="9"/>
      <c r="K298" s="39">
        <f>ROUND((125+90)/5,0)</f>
        <v>43</v>
      </c>
      <c r="L298" s="40">
        <f>ROUND(235/5,0)</f>
        <v>47</v>
      </c>
      <c r="M298" s="39">
        <f>ROUND(550/5,0)</f>
        <v>110</v>
      </c>
      <c r="N298" s="9"/>
      <c r="O298" s="39">
        <f>E298+F298</f>
        <v>3</v>
      </c>
      <c r="P298" s="40">
        <f t="shared" ref="P298:Q298" si="716">H298</f>
        <v>0</v>
      </c>
      <c r="Q298" s="39">
        <f t="shared" si="716"/>
        <v>5</v>
      </c>
      <c r="R298" s="10"/>
      <c r="S298" s="266">
        <f t="shared" ref="S298:U298" si="717">O298/K298</f>
        <v>6.9767441860465115E-2</v>
      </c>
      <c r="T298" s="264">
        <f t="shared" si="717"/>
        <v>0</v>
      </c>
      <c r="U298" s="264">
        <f t="shared" si="717"/>
        <v>4.5454545454545456E-2</v>
      </c>
      <c r="X298" s="14"/>
      <c r="Y298" s="14" t="s">
        <v>1356</v>
      </c>
      <c r="Z298" s="258" t="s">
        <v>1356</v>
      </c>
      <c r="AA298" s="13"/>
      <c r="AB298" s="258">
        <v>110</v>
      </c>
      <c r="AD298" s="258" t="str">
        <f t="shared" si="2"/>
        <v xml:space="preserve"> </v>
      </c>
      <c r="AE298" s="258" t="str">
        <f t="shared" si="3"/>
        <v xml:space="preserve"> </v>
      </c>
      <c r="AF298" s="258" t="str">
        <f t="shared" si="4"/>
        <v xml:space="preserve"> </v>
      </c>
      <c r="AG298" s="258" t="str">
        <f t="shared" si="5"/>
        <v xml:space="preserve"> </v>
      </c>
    </row>
    <row r="299" spans="1:33" x14ac:dyDescent="0.25">
      <c r="A299" s="29" t="s">
        <v>733</v>
      </c>
      <c r="B299" s="31">
        <v>5</v>
      </c>
      <c r="C299" s="34" t="s">
        <v>69</v>
      </c>
      <c r="D299" s="34">
        <v>2015</v>
      </c>
      <c r="E299" s="36">
        <v>0</v>
      </c>
      <c r="F299" s="36">
        <v>1</v>
      </c>
      <c r="G299" s="36">
        <v>2</v>
      </c>
      <c r="H299" s="38">
        <v>33</v>
      </c>
      <c r="I299" s="36">
        <v>36</v>
      </c>
      <c r="J299" s="9"/>
      <c r="K299" s="39">
        <f t="shared" ref="K299:M299" si="718">K298*2</f>
        <v>86</v>
      </c>
      <c r="L299" s="40">
        <f t="shared" si="718"/>
        <v>94</v>
      </c>
      <c r="M299" s="39">
        <f t="shared" si="718"/>
        <v>220</v>
      </c>
      <c r="N299" s="9"/>
      <c r="O299" s="39">
        <f t="shared" ref="O299:O302" si="719">E299+F299+O298</f>
        <v>4</v>
      </c>
      <c r="P299" s="40">
        <f t="shared" ref="P299:Q299" si="720">H299+P298</f>
        <v>33</v>
      </c>
      <c r="Q299" s="39">
        <f t="shared" si="720"/>
        <v>41</v>
      </c>
      <c r="R299" s="10"/>
      <c r="S299" s="266">
        <f t="shared" ref="S299:U299" si="721">O299/K299</f>
        <v>4.6511627906976744E-2</v>
      </c>
      <c r="T299" s="264">
        <f t="shared" si="721"/>
        <v>0.35106382978723405</v>
      </c>
      <c r="U299" s="264">
        <f t="shared" si="721"/>
        <v>0.18636363636363637</v>
      </c>
      <c r="X299" s="14"/>
      <c r="Y299" s="14" t="s">
        <v>1356</v>
      </c>
      <c r="Z299" s="258" t="s">
        <v>1356</v>
      </c>
      <c r="AA299" s="13"/>
      <c r="AD299" s="258">
        <f t="shared" si="2"/>
        <v>36</v>
      </c>
      <c r="AE299" s="258" t="str">
        <f t="shared" si="3"/>
        <v xml:space="preserve"> </v>
      </c>
      <c r="AF299" s="258" t="str">
        <f t="shared" si="4"/>
        <v xml:space="preserve"> </v>
      </c>
      <c r="AG299" s="258" t="str">
        <f t="shared" si="5"/>
        <v xml:space="preserve"> </v>
      </c>
    </row>
    <row r="300" spans="1:33" x14ac:dyDescent="0.25">
      <c r="A300" s="29" t="s">
        <v>733</v>
      </c>
      <c r="B300" s="31">
        <v>5</v>
      </c>
      <c r="C300" s="34" t="s">
        <v>69</v>
      </c>
      <c r="D300" s="34">
        <v>2016</v>
      </c>
      <c r="E300" s="36">
        <v>0</v>
      </c>
      <c r="F300" s="36">
        <v>10</v>
      </c>
      <c r="G300" s="36">
        <v>2</v>
      </c>
      <c r="H300" s="38">
        <v>4</v>
      </c>
      <c r="I300" s="36">
        <v>16</v>
      </c>
      <c r="J300" s="9"/>
      <c r="K300" s="39">
        <f t="shared" ref="K300:M300" si="722">K298*3</f>
        <v>129</v>
      </c>
      <c r="L300" s="40">
        <f t="shared" si="722"/>
        <v>141</v>
      </c>
      <c r="M300" s="39">
        <f t="shared" si="722"/>
        <v>330</v>
      </c>
      <c r="N300" s="9"/>
      <c r="O300" s="39">
        <f t="shared" si="719"/>
        <v>14</v>
      </c>
      <c r="P300" s="40">
        <f t="shared" ref="P300:Q300" si="723">H300+P299</f>
        <v>37</v>
      </c>
      <c r="Q300" s="39">
        <f t="shared" si="723"/>
        <v>57</v>
      </c>
      <c r="R300" s="10"/>
      <c r="S300" s="266">
        <f t="shared" ref="S300:U300" si="724">O300/K300</f>
        <v>0.10852713178294573</v>
      </c>
      <c r="T300" s="264">
        <f t="shared" si="724"/>
        <v>0.26241134751773049</v>
      </c>
      <c r="U300" s="264">
        <f t="shared" si="724"/>
        <v>0.17272727272727273</v>
      </c>
      <c r="X300" s="14"/>
      <c r="Y300" s="14" t="s">
        <v>1356</v>
      </c>
      <c r="Z300" s="258" t="s">
        <v>1356</v>
      </c>
      <c r="AA300" s="13"/>
      <c r="AB300" s="258" t="s">
        <v>1356</v>
      </c>
      <c r="AD300" s="258" t="str">
        <f t="shared" si="2"/>
        <v xml:space="preserve"> </v>
      </c>
      <c r="AE300" s="258">
        <f t="shared" si="3"/>
        <v>16</v>
      </c>
      <c r="AF300" s="258" t="str">
        <f t="shared" si="4"/>
        <v xml:space="preserve"> </v>
      </c>
      <c r="AG300" s="258" t="str">
        <f t="shared" si="5"/>
        <v xml:space="preserve"> </v>
      </c>
    </row>
    <row r="301" spans="1:33" x14ac:dyDescent="0.25">
      <c r="A301" s="29" t="s">
        <v>733</v>
      </c>
      <c r="B301" s="31">
        <v>5</v>
      </c>
      <c r="C301" s="34" t="s">
        <v>69</v>
      </c>
      <c r="D301" s="34">
        <v>2017</v>
      </c>
      <c r="E301" s="36">
        <v>0</v>
      </c>
      <c r="F301" s="36">
        <v>2</v>
      </c>
      <c r="G301" s="36">
        <v>1</v>
      </c>
      <c r="H301" s="38">
        <v>71</v>
      </c>
      <c r="I301" s="36">
        <v>74</v>
      </c>
      <c r="J301" s="9"/>
      <c r="K301" s="39">
        <f t="shared" ref="K301:M301" si="725">K298*4</f>
        <v>172</v>
      </c>
      <c r="L301" s="40">
        <f t="shared" si="725"/>
        <v>188</v>
      </c>
      <c r="M301" s="39">
        <f t="shared" si="725"/>
        <v>440</v>
      </c>
      <c r="N301" s="9"/>
      <c r="O301" s="39">
        <f t="shared" si="719"/>
        <v>16</v>
      </c>
      <c r="P301" s="40">
        <f t="shared" ref="P301:Q301" si="726">H301+P300</f>
        <v>108</v>
      </c>
      <c r="Q301" s="39">
        <f t="shared" si="726"/>
        <v>131</v>
      </c>
      <c r="R301" s="10"/>
      <c r="S301" s="266">
        <f t="shared" ref="S301:U301" si="727">O301/K301</f>
        <v>9.3023255813953487E-2</v>
      </c>
      <c r="T301" s="264">
        <f t="shared" si="727"/>
        <v>0.57446808510638303</v>
      </c>
      <c r="U301" s="264">
        <f t="shared" si="727"/>
        <v>0.29772727272727273</v>
      </c>
      <c r="X301" s="14"/>
      <c r="Y301" s="14" t="s">
        <v>1356</v>
      </c>
      <c r="Z301" s="258" t="s">
        <v>1356</v>
      </c>
      <c r="AA301" s="13"/>
      <c r="AB301" s="258" t="s">
        <v>1356</v>
      </c>
      <c r="AD301" s="258" t="str">
        <f t="shared" si="2"/>
        <v xml:space="preserve"> </v>
      </c>
      <c r="AE301" s="258" t="str">
        <f t="shared" si="3"/>
        <v xml:space="preserve"> </v>
      </c>
      <c r="AF301" s="258">
        <f t="shared" si="4"/>
        <v>74</v>
      </c>
      <c r="AG301" s="258" t="str">
        <f t="shared" si="5"/>
        <v xml:space="preserve"> </v>
      </c>
    </row>
    <row r="302" spans="1:33" x14ac:dyDescent="0.25">
      <c r="A302" s="29" t="s">
        <v>733</v>
      </c>
      <c r="B302" s="31">
        <v>5</v>
      </c>
      <c r="C302" s="34" t="s">
        <v>69</v>
      </c>
      <c r="D302" s="34">
        <v>2018</v>
      </c>
      <c r="E302" s="36">
        <v>0</v>
      </c>
      <c r="F302" s="36">
        <v>0</v>
      </c>
      <c r="G302" s="36">
        <v>1</v>
      </c>
      <c r="H302" s="38">
        <v>10</v>
      </c>
      <c r="I302" s="36">
        <v>11</v>
      </c>
      <c r="J302" s="9"/>
      <c r="K302" s="39">
        <f t="shared" ref="K302:M302" si="728">K298*5</f>
        <v>215</v>
      </c>
      <c r="L302" s="40">
        <f t="shared" si="728"/>
        <v>235</v>
      </c>
      <c r="M302" s="39">
        <f t="shared" si="728"/>
        <v>550</v>
      </c>
      <c r="N302" s="9"/>
      <c r="O302" s="39">
        <f t="shared" si="719"/>
        <v>16</v>
      </c>
      <c r="P302" s="40">
        <f t="shared" ref="P302:Q302" si="729">H302+P301</f>
        <v>118</v>
      </c>
      <c r="Q302" s="39">
        <f t="shared" si="729"/>
        <v>142</v>
      </c>
      <c r="R302" s="10"/>
      <c r="S302" s="266">
        <f t="shared" ref="S302:U302" si="730">O302/K302</f>
        <v>7.441860465116279E-2</v>
      </c>
      <c r="T302" s="264">
        <f t="shared" si="730"/>
        <v>0.50212765957446803</v>
      </c>
      <c r="U302" s="264">
        <f t="shared" si="730"/>
        <v>0.25818181818181818</v>
      </c>
      <c r="V302" s="261" t="s">
        <v>733</v>
      </c>
      <c r="X302" s="14">
        <v>550</v>
      </c>
      <c r="Y302" s="14">
        <v>550</v>
      </c>
      <c r="Z302" s="258">
        <v>142</v>
      </c>
      <c r="AA302" s="13"/>
      <c r="AB302" s="258" t="s">
        <v>1356</v>
      </c>
      <c r="AD302" s="258" t="str">
        <f t="shared" si="2"/>
        <v xml:space="preserve"> </v>
      </c>
      <c r="AE302" s="258" t="str">
        <f t="shared" si="3"/>
        <v xml:space="preserve"> </v>
      </c>
      <c r="AF302" s="258" t="str">
        <f t="shared" si="4"/>
        <v xml:space="preserve"> </v>
      </c>
      <c r="AG302" s="258">
        <f t="shared" si="5"/>
        <v>11</v>
      </c>
    </row>
    <row r="303" spans="1:33" x14ac:dyDescent="0.25">
      <c r="A303" s="29"/>
      <c r="B303" s="31"/>
      <c r="C303" s="34"/>
      <c r="D303" s="34"/>
      <c r="E303" s="36"/>
      <c r="F303" s="36"/>
      <c r="G303" s="36"/>
      <c r="H303" s="38"/>
      <c r="I303" s="36"/>
      <c r="J303" s="9"/>
      <c r="K303" s="39"/>
      <c r="L303" s="40"/>
      <c r="M303" s="39"/>
      <c r="N303" s="9"/>
      <c r="O303" s="39"/>
      <c r="P303" s="40"/>
      <c r="Q303" s="39"/>
      <c r="R303" s="10"/>
      <c r="X303" s="14"/>
      <c r="Y303" s="14" t="s">
        <v>1356</v>
      </c>
      <c r="Z303" s="258" t="s">
        <v>1356</v>
      </c>
      <c r="AA303" s="13"/>
      <c r="AB303" s="258" t="s">
        <v>1356</v>
      </c>
      <c r="AD303" s="258" t="str">
        <f t="shared" si="2"/>
        <v xml:space="preserve"> </v>
      </c>
      <c r="AE303" s="258" t="str">
        <f t="shared" si="3"/>
        <v xml:space="preserve"> </v>
      </c>
      <c r="AF303" s="258" t="str">
        <f t="shared" si="4"/>
        <v xml:space="preserve"> </v>
      </c>
      <c r="AG303" s="258" t="str">
        <f t="shared" si="5"/>
        <v xml:space="preserve"> </v>
      </c>
    </row>
    <row r="304" spans="1:33" x14ac:dyDescent="0.25">
      <c r="A304" s="29" t="s">
        <v>743</v>
      </c>
      <c r="B304" s="31">
        <v>8</v>
      </c>
      <c r="C304" s="34" t="s">
        <v>124</v>
      </c>
      <c r="D304" s="34">
        <v>2014</v>
      </c>
      <c r="E304" s="36">
        <v>157</v>
      </c>
      <c r="F304" s="36">
        <v>130</v>
      </c>
      <c r="G304" s="36">
        <v>172</v>
      </c>
      <c r="H304" s="38">
        <v>516</v>
      </c>
      <c r="I304" s="36">
        <v>975</v>
      </c>
      <c r="J304" s="9"/>
      <c r="K304" s="39">
        <f>ROUND((4516+3095)/8,0)</f>
        <v>951</v>
      </c>
      <c r="L304" s="40">
        <f>ROUND(8003/8,0)</f>
        <v>1000</v>
      </c>
      <c r="M304" s="39">
        <f>ROUND(19158/8,0)</f>
        <v>2395</v>
      </c>
      <c r="N304" s="9"/>
      <c r="O304" s="39">
        <f>E304+F304</f>
        <v>287</v>
      </c>
      <c r="P304" s="40">
        <f t="shared" ref="P304:Q304" si="731">H304</f>
        <v>516</v>
      </c>
      <c r="Q304" s="39">
        <f t="shared" si="731"/>
        <v>975</v>
      </c>
      <c r="R304" s="10"/>
      <c r="S304" s="266">
        <f t="shared" ref="S304:U304" si="732">O304/K304</f>
        <v>0.30178759200841221</v>
      </c>
      <c r="T304" s="264">
        <f t="shared" si="732"/>
        <v>0.51600000000000001</v>
      </c>
      <c r="U304" s="264">
        <f t="shared" si="732"/>
        <v>0.40709812108559501</v>
      </c>
      <c r="X304" s="14"/>
      <c r="Y304" s="14" t="s">
        <v>1356</v>
      </c>
      <c r="Z304" s="258" t="s">
        <v>1356</v>
      </c>
      <c r="AA304" s="13"/>
      <c r="AB304" s="258">
        <v>2395</v>
      </c>
      <c r="AD304" s="258" t="str">
        <f t="shared" si="2"/>
        <v xml:space="preserve"> </v>
      </c>
      <c r="AE304" s="258" t="str">
        <f t="shared" si="3"/>
        <v xml:space="preserve"> </v>
      </c>
      <c r="AF304" s="258" t="str">
        <f t="shared" si="4"/>
        <v xml:space="preserve"> </v>
      </c>
      <c r="AG304" s="258" t="str">
        <f t="shared" si="5"/>
        <v xml:space="preserve"> </v>
      </c>
    </row>
    <row r="305" spans="1:33" x14ac:dyDescent="0.25">
      <c r="A305" s="29" t="s">
        <v>743</v>
      </c>
      <c r="B305" s="31">
        <v>8</v>
      </c>
      <c r="C305" s="34" t="s">
        <v>124</v>
      </c>
      <c r="D305" s="34">
        <v>2015</v>
      </c>
      <c r="E305" s="36">
        <v>62</v>
      </c>
      <c r="F305" s="36">
        <v>27</v>
      </c>
      <c r="G305" s="36">
        <v>83</v>
      </c>
      <c r="H305" s="38">
        <v>471</v>
      </c>
      <c r="I305" s="36">
        <v>643</v>
      </c>
      <c r="J305" s="9"/>
      <c r="K305" s="39">
        <f t="shared" ref="K305:M305" si="733">K304*2</f>
        <v>1902</v>
      </c>
      <c r="L305" s="40">
        <f t="shared" si="733"/>
        <v>2000</v>
      </c>
      <c r="M305" s="39">
        <f t="shared" si="733"/>
        <v>4790</v>
      </c>
      <c r="N305" s="9"/>
      <c r="O305" s="39">
        <f t="shared" ref="O305:O308" si="734">E305+F305+O304</f>
        <v>376</v>
      </c>
      <c r="P305" s="40">
        <f t="shared" ref="P305:Q305" si="735">H305+P304</f>
        <v>987</v>
      </c>
      <c r="Q305" s="39">
        <f t="shared" si="735"/>
        <v>1618</v>
      </c>
      <c r="R305" s="10"/>
      <c r="S305" s="266">
        <f t="shared" ref="S305:U305" si="736">O305/K305</f>
        <v>0.19768664563617244</v>
      </c>
      <c r="T305" s="264">
        <f t="shared" si="736"/>
        <v>0.49349999999999999</v>
      </c>
      <c r="U305" s="264">
        <f t="shared" si="736"/>
        <v>0.33778705636743217</v>
      </c>
      <c r="X305" s="14"/>
      <c r="Y305" s="14" t="s">
        <v>1356</v>
      </c>
      <c r="Z305" s="258" t="s">
        <v>1356</v>
      </c>
      <c r="AA305" s="13"/>
      <c r="AD305" s="258">
        <f t="shared" si="2"/>
        <v>643</v>
      </c>
      <c r="AE305" s="258" t="str">
        <f t="shared" si="3"/>
        <v xml:space="preserve"> </v>
      </c>
      <c r="AF305" s="258" t="str">
        <f t="shared" si="4"/>
        <v xml:space="preserve"> </v>
      </c>
      <c r="AG305" s="258" t="str">
        <f t="shared" si="5"/>
        <v xml:space="preserve"> </v>
      </c>
    </row>
    <row r="306" spans="1:33" x14ac:dyDescent="0.25">
      <c r="A306" s="29" t="s">
        <v>743</v>
      </c>
      <c r="B306" s="31">
        <v>8</v>
      </c>
      <c r="C306" s="34" t="s">
        <v>124</v>
      </c>
      <c r="D306" s="34">
        <v>2016</v>
      </c>
      <c r="E306" s="36">
        <v>88</v>
      </c>
      <c r="F306" s="36">
        <v>258</v>
      </c>
      <c r="G306" s="36">
        <v>107</v>
      </c>
      <c r="H306" s="38">
        <v>770</v>
      </c>
      <c r="I306" s="36">
        <v>1223</v>
      </c>
      <c r="J306" s="9"/>
      <c r="K306" s="39">
        <f t="shared" ref="K306:M306" si="737">K304*3</f>
        <v>2853</v>
      </c>
      <c r="L306" s="40">
        <f t="shared" si="737"/>
        <v>3000</v>
      </c>
      <c r="M306" s="39">
        <f t="shared" si="737"/>
        <v>7185</v>
      </c>
      <c r="N306" s="9"/>
      <c r="O306" s="39">
        <f t="shared" si="734"/>
        <v>722</v>
      </c>
      <c r="P306" s="40">
        <f t="shared" ref="P306:Q306" si="738">H306+P305</f>
        <v>1757</v>
      </c>
      <c r="Q306" s="39">
        <f t="shared" si="738"/>
        <v>2841</v>
      </c>
      <c r="R306" s="10"/>
      <c r="S306" s="266">
        <f t="shared" ref="S306:U306" si="739">O306/K306</f>
        <v>0.25306694707325622</v>
      </c>
      <c r="T306" s="264">
        <f t="shared" si="739"/>
        <v>0.58566666666666667</v>
      </c>
      <c r="U306" s="264">
        <f t="shared" si="739"/>
        <v>0.3954070981210856</v>
      </c>
      <c r="X306" s="14"/>
      <c r="Y306" s="14" t="s">
        <v>1356</v>
      </c>
      <c r="Z306" s="258" t="s">
        <v>1356</v>
      </c>
      <c r="AA306" s="13"/>
      <c r="AB306" s="258" t="s">
        <v>1356</v>
      </c>
      <c r="AD306" s="258" t="str">
        <f t="shared" si="2"/>
        <v xml:space="preserve"> </v>
      </c>
      <c r="AE306" s="258">
        <f t="shared" si="3"/>
        <v>1223</v>
      </c>
      <c r="AF306" s="258" t="str">
        <f t="shared" si="4"/>
        <v xml:space="preserve"> </v>
      </c>
      <c r="AG306" s="258" t="str">
        <f t="shared" si="5"/>
        <v xml:space="preserve"> </v>
      </c>
    </row>
    <row r="307" spans="1:33" x14ac:dyDescent="0.25">
      <c r="A307" s="29" t="s">
        <v>743</v>
      </c>
      <c r="B307" s="31">
        <v>8</v>
      </c>
      <c r="C307" s="34" t="s">
        <v>124</v>
      </c>
      <c r="D307" s="34">
        <v>2017</v>
      </c>
      <c r="E307" s="36">
        <v>175</v>
      </c>
      <c r="F307" s="36">
        <v>346</v>
      </c>
      <c r="G307" s="36">
        <v>882</v>
      </c>
      <c r="H307" s="38">
        <v>1202</v>
      </c>
      <c r="I307" s="36">
        <v>2605</v>
      </c>
      <c r="J307" s="9"/>
      <c r="K307" s="39">
        <f t="shared" ref="K307:M307" si="740">K304*4</f>
        <v>3804</v>
      </c>
      <c r="L307" s="40">
        <f t="shared" si="740"/>
        <v>4000</v>
      </c>
      <c r="M307" s="39">
        <f t="shared" si="740"/>
        <v>9580</v>
      </c>
      <c r="N307" s="9"/>
      <c r="O307" s="39">
        <f t="shared" si="734"/>
        <v>1243</v>
      </c>
      <c r="P307" s="40">
        <f t="shared" ref="P307:Q307" si="741">H307+P306</f>
        <v>2959</v>
      </c>
      <c r="Q307" s="39">
        <f t="shared" si="741"/>
        <v>5446</v>
      </c>
      <c r="R307" s="10"/>
      <c r="S307" s="266">
        <f t="shared" ref="S307:U307" si="742">O307/K307</f>
        <v>0.32676130389064145</v>
      </c>
      <c r="T307" s="264">
        <f t="shared" si="742"/>
        <v>0.73975000000000002</v>
      </c>
      <c r="U307" s="264">
        <f t="shared" si="742"/>
        <v>0.56847599164926932</v>
      </c>
      <c r="X307" s="14"/>
      <c r="Y307" s="14" t="s">
        <v>1356</v>
      </c>
      <c r="Z307" s="258" t="s">
        <v>1356</v>
      </c>
      <c r="AA307" s="13"/>
      <c r="AB307" s="258" t="s">
        <v>1356</v>
      </c>
      <c r="AD307" s="258" t="str">
        <f t="shared" si="2"/>
        <v xml:space="preserve"> </v>
      </c>
      <c r="AE307" s="258" t="str">
        <f t="shared" si="3"/>
        <v xml:space="preserve"> </v>
      </c>
      <c r="AF307" s="258">
        <f t="shared" si="4"/>
        <v>2605</v>
      </c>
      <c r="AG307" s="258" t="str">
        <f t="shared" si="5"/>
        <v xml:space="preserve"> </v>
      </c>
    </row>
    <row r="308" spans="1:33" x14ac:dyDescent="0.25">
      <c r="A308" s="29" t="s">
        <v>743</v>
      </c>
      <c r="B308" s="31">
        <v>8</v>
      </c>
      <c r="C308" s="34" t="s">
        <v>124</v>
      </c>
      <c r="D308" s="34">
        <v>2018</v>
      </c>
      <c r="E308" s="36">
        <v>95</v>
      </c>
      <c r="F308" s="36">
        <v>290</v>
      </c>
      <c r="G308" s="36">
        <v>337</v>
      </c>
      <c r="H308" s="38">
        <v>935</v>
      </c>
      <c r="I308" s="36">
        <v>1657</v>
      </c>
      <c r="J308" s="9"/>
      <c r="K308" s="39">
        <f t="shared" ref="K308:M308" si="743">K304*5</f>
        <v>4755</v>
      </c>
      <c r="L308" s="40">
        <f t="shared" si="743"/>
        <v>5000</v>
      </c>
      <c r="M308" s="39">
        <f t="shared" si="743"/>
        <v>11975</v>
      </c>
      <c r="N308" s="9"/>
      <c r="O308" s="39">
        <f t="shared" si="734"/>
        <v>1628</v>
      </c>
      <c r="P308" s="40">
        <f t="shared" ref="P308:Q308" si="744">H308+P307</f>
        <v>3894</v>
      </c>
      <c r="Q308" s="39">
        <f t="shared" si="744"/>
        <v>7103</v>
      </c>
      <c r="R308" s="10"/>
      <c r="S308" s="266">
        <f t="shared" ref="S308:U308" si="745">O308/K308</f>
        <v>0.34237644584647742</v>
      </c>
      <c r="T308" s="264">
        <f t="shared" si="745"/>
        <v>0.77880000000000005</v>
      </c>
      <c r="U308" s="264">
        <f t="shared" si="745"/>
        <v>0.59315240083507303</v>
      </c>
      <c r="V308" s="261" t="s">
        <v>743</v>
      </c>
      <c r="X308" s="14">
        <v>19158</v>
      </c>
      <c r="Y308" s="14">
        <v>11975</v>
      </c>
      <c r="Z308" s="258">
        <v>7103</v>
      </c>
      <c r="AA308" s="13"/>
      <c r="AB308" s="258" t="s">
        <v>1356</v>
      </c>
      <c r="AD308" s="258" t="str">
        <f t="shared" si="2"/>
        <v xml:space="preserve"> </v>
      </c>
      <c r="AE308" s="258" t="str">
        <f t="shared" si="3"/>
        <v xml:space="preserve"> </v>
      </c>
      <c r="AF308" s="258" t="str">
        <f t="shared" si="4"/>
        <v xml:space="preserve"> </v>
      </c>
      <c r="AG308" s="258">
        <f t="shared" si="5"/>
        <v>1657</v>
      </c>
    </row>
    <row r="309" spans="1:33" x14ac:dyDescent="0.25">
      <c r="A309" s="46"/>
      <c r="B309" s="47"/>
      <c r="C309" s="32"/>
      <c r="D309" s="32"/>
      <c r="E309" s="48"/>
      <c r="F309" s="48"/>
      <c r="G309" s="48"/>
      <c r="H309" s="49"/>
      <c r="I309" s="48"/>
      <c r="J309" s="50"/>
      <c r="K309" s="51"/>
      <c r="L309" s="52"/>
      <c r="M309" s="51"/>
      <c r="N309" s="50"/>
      <c r="O309" s="51"/>
      <c r="P309" s="52"/>
      <c r="Q309" s="51"/>
      <c r="R309" s="53"/>
      <c r="W309" s="1"/>
      <c r="X309" s="14"/>
      <c r="Y309" s="14" t="s">
        <v>1356</v>
      </c>
      <c r="Z309" s="258" t="s">
        <v>1356</v>
      </c>
      <c r="AA309" s="54"/>
      <c r="AB309" s="258" t="s">
        <v>1356</v>
      </c>
      <c r="AD309" s="258" t="str">
        <f t="shared" si="2"/>
        <v xml:space="preserve"> </v>
      </c>
      <c r="AE309" s="258" t="str">
        <f t="shared" si="3"/>
        <v xml:space="preserve"> </v>
      </c>
      <c r="AF309" s="258" t="str">
        <f t="shared" si="4"/>
        <v xml:space="preserve"> </v>
      </c>
      <c r="AG309" s="258" t="str">
        <f t="shared" si="5"/>
        <v xml:space="preserve"> </v>
      </c>
    </row>
    <row r="310" spans="1:33" x14ac:dyDescent="0.25">
      <c r="A310" s="29" t="s">
        <v>757</v>
      </c>
      <c r="B310" s="31">
        <v>8</v>
      </c>
      <c r="C310" s="34" t="s">
        <v>124</v>
      </c>
      <c r="D310" s="34">
        <v>2014</v>
      </c>
      <c r="E310" s="36">
        <v>6</v>
      </c>
      <c r="F310" s="36">
        <v>5</v>
      </c>
      <c r="G310" s="36">
        <v>83</v>
      </c>
      <c r="H310" s="38">
        <v>132</v>
      </c>
      <c r="I310" s="36">
        <v>226</v>
      </c>
      <c r="J310" s="9"/>
      <c r="K310" s="39">
        <f>ROUND((2457+1724)/8,0)</f>
        <v>523</v>
      </c>
      <c r="L310" s="40">
        <v>610</v>
      </c>
      <c r="M310" s="39">
        <f>ROUND(11129/8,0)</f>
        <v>1391</v>
      </c>
      <c r="N310" s="9"/>
      <c r="O310" s="39">
        <f>E310+F310</f>
        <v>11</v>
      </c>
      <c r="P310" s="40">
        <f t="shared" ref="P310:Q310" si="746">H310</f>
        <v>132</v>
      </c>
      <c r="Q310" s="39">
        <f t="shared" si="746"/>
        <v>226</v>
      </c>
      <c r="R310" s="10"/>
      <c r="S310" s="266">
        <f t="shared" ref="S310:U310" si="747">O310/K310</f>
        <v>2.1032504780114723E-2</v>
      </c>
      <c r="T310" s="264">
        <f t="shared" si="747"/>
        <v>0.21639344262295082</v>
      </c>
      <c r="U310" s="264">
        <f t="shared" si="747"/>
        <v>0.16247304097771387</v>
      </c>
      <c r="X310" s="14"/>
      <c r="Y310" s="14" t="s">
        <v>1356</v>
      </c>
      <c r="Z310" s="258" t="s">
        <v>1356</v>
      </c>
      <c r="AA310" s="13"/>
      <c r="AB310" s="258">
        <v>1391</v>
      </c>
      <c r="AD310" s="258" t="str">
        <f t="shared" si="2"/>
        <v xml:space="preserve"> </v>
      </c>
      <c r="AE310" s="258" t="str">
        <f t="shared" si="3"/>
        <v xml:space="preserve"> </v>
      </c>
      <c r="AF310" s="258" t="str">
        <f t="shared" si="4"/>
        <v xml:space="preserve"> </v>
      </c>
      <c r="AG310" s="258" t="str">
        <f t="shared" si="5"/>
        <v xml:space="preserve"> </v>
      </c>
    </row>
    <row r="311" spans="1:33" x14ac:dyDescent="0.25">
      <c r="A311" s="29" t="s">
        <v>757</v>
      </c>
      <c r="B311" s="31">
        <v>8</v>
      </c>
      <c r="C311" s="34" t="s">
        <v>124</v>
      </c>
      <c r="D311" s="34">
        <v>2015</v>
      </c>
      <c r="E311" s="36">
        <v>58</v>
      </c>
      <c r="F311" s="36">
        <v>28</v>
      </c>
      <c r="G311" s="36">
        <v>84</v>
      </c>
      <c r="H311" s="38">
        <v>267</v>
      </c>
      <c r="I311" s="36">
        <v>437</v>
      </c>
      <c r="J311" s="9"/>
      <c r="K311" s="39">
        <f t="shared" ref="K311:M311" si="748">K310*2</f>
        <v>1046</v>
      </c>
      <c r="L311" s="40">
        <f t="shared" si="748"/>
        <v>1220</v>
      </c>
      <c r="M311" s="39">
        <f t="shared" si="748"/>
        <v>2782</v>
      </c>
      <c r="N311" s="9"/>
      <c r="O311" s="39">
        <f t="shared" ref="O311:O314" si="749">E311+F311+O310</f>
        <v>97</v>
      </c>
      <c r="P311" s="40">
        <f t="shared" ref="P311:Q311" si="750">H311+P310</f>
        <v>399</v>
      </c>
      <c r="Q311" s="39">
        <f t="shared" si="750"/>
        <v>663</v>
      </c>
      <c r="R311" s="10"/>
      <c r="S311" s="266">
        <f t="shared" ref="S311:U311" si="751">O311/K311</f>
        <v>9.2734225621414909E-2</v>
      </c>
      <c r="T311" s="264">
        <f t="shared" si="751"/>
        <v>0.32704918032786884</v>
      </c>
      <c r="U311" s="264">
        <f t="shared" si="751"/>
        <v>0.23831775700934579</v>
      </c>
      <c r="X311" s="14"/>
      <c r="Y311" s="14" t="s">
        <v>1356</v>
      </c>
      <c r="Z311" s="258" t="s">
        <v>1356</v>
      </c>
      <c r="AA311" s="13"/>
      <c r="AD311" s="258">
        <f t="shared" si="2"/>
        <v>437</v>
      </c>
      <c r="AE311" s="258" t="str">
        <f t="shared" si="3"/>
        <v xml:space="preserve"> </v>
      </c>
      <c r="AF311" s="258" t="str">
        <f t="shared" si="4"/>
        <v xml:space="preserve"> </v>
      </c>
      <c r="AG311" s="258" t="str">
        <f t="shared" si="5"/>
        <v xml:space="preserve"> </v>
      </c>
    </row>
    <row r="312" spans="1:33" x14ac:dyDescent="0.25">
      <c r="A312" s="29" t="s">
        <v>757</v>
      </c>
      <c r="B312" s="31">
        <v>8</v>
      </c>
      <c r="C312" s="34" t="s">
        <v>124</v>
      </c>
      <c r="D312" s="34">
        <v>2016</v>
      </c>
      <c r="E312" s="36">
        <v>82</v>
      </c>
      <c r="F312" s="36">
        <v>32</v>
      </c>
      <c r="G312" s="36">
        <v>180</v>
      </c>
      <c r="H312" s="38">
        <v>431</v>
      </c>
      <c r="I312" s="36">
        <v>725</v>
      </c>
      <c r="J312" s="9"/>
      <c r="K312" s="39">
        <f t="shared" ref="K312:M312" si="752">K310*3</f>
        <v>1569</v>
      </c>
      <c r="L312" s="40">
        <f t="shared" si="752"/>
        <v>1830</v>
      </c>
      <c r="M312" s="39">
        <f t="shared" si="752"/>
        <v>4173</v>
      </c>
      <c r="N312" s="9"/>
      <c r="O312" s="39">
        <f t="shared" si="749"/>
        <v>211</v>
      </c>
      <c r="P312" s="40">
        <f t="shared" ref="P312:Q312" si="753">H312+P311</f>
        <v>830</v>
      </c>
      <c r="Q312" s="39">
        <f t="shared" si="753"/>
        <v>1388</v>
      </c>
      <c r="R312" s="10"/>
      <c r="S312" s="266">
        <f t="shared" ref="S312:U312" si="754">O312/K312</f>
        <v>0.13448056086679414</v>
      </c>
      <c r="T312" s="264">
        <f t="shared" si="754"/>
        <v>0.45355191256830601</v>
      </c>
      <c r="U312" s="264">
        <f t="shared" si="754"/>
        <v>0.33261442607237002</v>
      </c>
      <c r="X312" s="14"/>
      <c r="Y312" s="14" t="s">
        <v>1356</v>
      </c>
      <c r="Z312" s="258" t="s">
        <v>1356</v>
      </c>
      <c r="AA312" s="13"/>
      <c r="AB312" s="258" t="s">
        <v>1356</v>
      </c>
      <c r="AD312" s="258" t="str">
        <f t="shared" si="2"/>
        <v xml:space="preserve"> </v>
      </c>
      <c r="AE312" s="258">
        <f t="shared" si="3"/>
        <v>725</v>
      </c>
      <c r="AF312" s="258" t="str">
        <f t="shared" si="4"/>
        <v xml:space="preserve"> </v>
      </c>
      <c r="AG312" s="258" t="str">
        <f t="shared" si="5"/>
        <v xml:space="preserve"> </v>
      </c>
    </row>
    <row r="313" spans="1:33" x14ac:dyDescent="0.25">
      <c r="A313" s="29" t="s">
        <v>757</v>
      </c>
      <c r="B313" s="31">
        <v>8</v>
      </c>
      <c r="C313" s="34" t="s">
        <v>124</v>
      </c>
      <c r="D313" s="34">
        <v>2017</v>
      </c>
      <c r="E313" s="36">
        <v>83</v>
      </c>
      <c r="F313" s="36">
        <v>14</v>
      </c>
      <c r="G313" s="36">
        <v>175</v>
      </c>
      <c r="H313" s="38">
        <v>310</v>
      </c>
      <c r="I313" s="36">
        <v>582</v>
      </c>
      <c r="J313" s="9"/>
      <c r="K313" s="39">
        <f t="shared" ref="K313:M313" si="755">K310*4</f>
        <v>2092</v>
      </c>
      <c r="L313" s="40">
        <f t="shared" si="755"/>
        <v>2440</v>
      </c>
      <c r="M313" s="39">
        <f t="shared" si="755"/>
        <v>5564</v>
      </c>
      <c r="N313" s="9"/>
      <c r="O313" s="39">
        <f t="shared" si="749"/>
        <v>308</v>
      </c>
      <c r="P313" s="40">
        <f t="shared" ref="P313:Q313" si="756">H313+P312</f>
        <v>1140</v>
      </c>
      <c r="Q313" s="39">
        <f t="shared" si="756"/>
        <v>1970</v>
      </c>
      <c r="R313" s="10"/>
      <c r="S313" s="266">
        <f t="shared" ref="S313:U313" si="757">O313/K313</f>
        <v>0.14722753346080306</v>
      </c>
      <c r="T313" s="264">
        <f t="shared" si="757"/>
        <v>0.46721311475409838</v>
      </c>
      <c r="U313" s="264">
        <f t="shared" si="757"/>
        <v>0.35406182602444286</v>
      </c>
      <c r="X313" s="14"/>
      <c r="Y313" s="14" t="s">
        <v>1356</v>
      </c>
      <c r="Z313" s="258" t="s">
        <v>1356</v>
      </c>
      <c r="AA313" s="13"/>
      <c r="AB313" s="258" t="s">
        <v>1356</v>
      </c>
      <c r="AD313" s="258" t="str">
        <f t="shared" si="2"/>
        <v xml:space="preserve"> </v>
      </c>
      <c r="AE313" s="258" t="str">
        <f t="shared" si="3"/>
        <v xml:space="preserve"> </v>
      </c>
      <c r="AF313" s="258">
        <f t="shared" si="4"/>
        <v>582</v>
      </c>
      <c r="AG313" s="258" t="str">
        <f t="shared" si="5"/>
        <v xml:space="preserve"> </v>
      </c>
    </row>
    <row r="314" spans="1:33" x14ac:dyDescent="0.25">
      <c r="A314" s="29" t="s">
        <v>757</v>
      </c>
      <c r="B314" s="31">
        <v>8</v>
      </c>
      <c r="C314" s="34" t="s">
        <v>124</v>
      </c>
      <c r="D314" s="34">
        <v>2018</v>
      </c>
      <c r="E314" s="36">
        <v>60</v>
      </c>
      <c r="F314" s="36">
        <v>76</v>
      </c>
      <c r="G314" s="36">
        <v>168</v>
      </c>
      <c r="H314" s="38">
        <v>521</v>
      </c>
      <c r="I314" s="36">
        <v>825</v>
      </c>
      <c r="J314" s="9"/>
      <c r="K314" s="39">
        <f t="shared" ref="K314:M314" si="758">K310*5</f>
        <v>2615</v>
      </c>
      <c r="L314" s="40">
        <f t="shared" si="758"/>
        <v>3050</v>
      </c>
      <c r="M314" s="39">
        <f t="shared" si="758"/>
        <v>6955</v>
      </c>
      <c r="N314" s="9"/>
      <c r="O314" s="39">
        <f t="shared" si="749"/>
        <v>444</v>
      </c>
      <c r="P314" s="40">
        <f t="shared" ref="P314:Q314" si="759">H314+P313</f>
        <v>1661</v>
      </c>
      <c r="Q314" s="39">
        <f t="shared" si="759"/>
        <v>2795</v>
      </c>
      <c r="R314" s="10"/>
      <c r="S314" s="266">
        <f t="shared" ref="S314:U314" si="760">O314/K314</f>
        <v>0.16978967495219885</v>
      </c>
      <c r="T314" s="264">
        <f t="shared" si="760"/>
        <v>0.54459016393442627</v>
      </c>
      <c r="U314" s="264">
        <f t="shared" si="760"/>
        <v>0.40186915887850466</v>
      </c>
      <c r="V314" s="261" t="s">
        <v>757</v>
      </c>
      <c r="X314" s="14">
        <v>11129</v>
      </c>
      <c r="Y314" s="14">
        <v>6955</v>
      </c>
      <c r="Z314" s="258">
        <v>2795</v>
      </c>
      <c r="AA314" s="13"/>
      <c r="AB314" s="258" t="s">
        <v>1356</v>
      </c>
      <c r="AD314" s="258" t="str">
        <f t="shared" si="2"/>
        <v xml:space="preserve"> </v>
      </c>
      <c r="AE314" s="258" t="str">
        <f t="shared" si="3"/>
        <v xml:space="preserve"> </v>
      </c>
      <c r="AF314" s="258" t="str">
        <f t="shared" si="4"/>
        <v xml:space="preserve"> </v>
      </c>
      <c r="AG314" s="258">
        <f t="shared" si="5"/>
        <v>825</v>
      </c>
    </row>
    <row r="315" spans="1:33" x14ac:dyDescent="0.25">
      <c r="A315" s="46"/>
      <c r="B315" s="47"/>
      <c r="C315" s="32"/>
      <c r="D315" s="32"/>
      <c r="E315" s="48"/>
      <c r="F315" s="48"/>
      <c r="G315" s="48"/>
      <c r="H315" s="49"/>
      <c r="I315" s="48"/>
      <c r="J315" s="50"/>
      <c r="K315" s="51"/>
      <c r="L315" s="52"/>
      <c r="M315" s="51"/>
      <c r="N315" s="50"/>
      <c r="O315" s="51"/>
      <c r="P315" s="52"/>
      <c r="Q315" s="51"/>
      <c r="R315" s="53"/>
      <c r="W315" s="1"/>
      <c r="X315" s="14"/>
      <c r="Y315" s="14" t="s">
        <v>1356</v>
      </c>
      <c r="Z315" s="258" t="s">
        <v>1356</v>
      </c>
      <c r="AA315" s="54"/>
      <c r="AB315" s="258" t="s">
        <v>1356</v>
      </c>
      <c r="AD315" s="258" t="str">
        <f t="shared" si="2"/>
        <v xml:space="preserve"> </v>
      </c>
      <c r="AE315" s="258" t="str">
        <f t="shared" si="3"/>
        <v xml:space="preserve"> </v>
      </c>
      <c r="AF315" s="258" t="str">
        <f t="shared" si="4"/>
        <v xml:space="preserve"> </v>
      </c>
      <c r="AG315" s="258" t="str">
        <f t="shared" si="5"/>
        <v xml:space="preserve"> </v>
      </c>
    </row>
    <row r="316" spans="1:33" x14ac:dyDescent="0.25">
      <c r="A316" s="29" t="s">
        <v>759</v>
      </c>
      <c r="B316" s="31">
        <v>8</v>
      </c>
      <c r="C316" s="34" t="s">
        <v>124</v>
      </c>
      <c r="D316" s="34">
        <v>2017</v>
      </c>
      <c r="E316" s="36">
        <v>0</v>
      </c>
      <c r="F316" s="36">
        <v>0</v>
      </c>
      <c r="G316" s="36">
        <v>0</v>
      </c>
      <c r="H316" s="38">
        <v>1</v>
      </c>
      <c r="I316" s="36">
        <v>1</v>
      </c>
      <c r="J316" s="9"/>
      <c r="K316" s="51">
        <f>ROUND(1157+811/8,0)</f>
        <v>1258</v>
      </c>
      <c r="L316" s="40">
        <f>ROUND(2290/8,0)</f>
        <v>286</v>
      </c>
      <c r="M316" s="39">
        <f>ROUND(5231/8,0)</f>
        <v>654</v>
      </c>
      <c r="N316" s="9"/>
      <c r="O316" s="39">
        <f>E316+F316</f>
        <v>0</v>
      </c>
      <c r="P316" s="40">
        <f t="shared" ref="P316:Q316" si="761">H316</f>
        <v>1</v>
      </c>
      <c r="Q316" s="39">
        <f t="shared" si="761"/>
        <v>1</v>
      </c>
      <c r="R316" s="10"/>
      <c r="S316" s="266">
        <f t="shared" ref="S316:U316" si="762">O316/K316</f>
        <v>0</v>
      </c>
      <c r="T316" s="264">
        <f t="shared" si="762"/>
        <v>3.4965034965034965E-3</v>
      </c>
      <c r="U316" s="264">
        <f t="shared" si="762"/>
        <v>1.5290519877675841E-3</v>
      </c>
      <c r="X316" s="14"/>
      <c r="Y316" s="14" t="s">
        <v>1356</v>
      </c>
      <c r="Z316" s="258" t="s">
        <v>1356</v>
      </c>
      <c r="AA316" s="13"/>
      <c r="AB316" s="258">
        <v>654</v>
      </c>
      <c r="AD316" s="258" t="str">
        <f t="shared" si="2"/>
        <v xml:space="preserve"> </v>
      </c>
      <c r="AE316" s="258" t="str">
        <f t="shared" si="3"/>
        <v xml:space="preserve"> </v>
      </c>
      <c r="AF316" s="258">
        <f t="shared" si="4"/>
        <v>1</v>
      </c>
      <c r="AG316" s="258" t="str">
        <f t="shared" si="5"/>
        <v xml:space="preserve"> </v>
      </c>
    </row>
    <row r="317" spans="1:33" ht="16.5" thickBot="1" x14ac:dyDescent="0.3">
      <c r="A317" s="29" t="s">
        <v>759</v>
      </c>
      <c r="B317" s="31">
        <v>8</v>
      </c>
      <c r="C317" s="34" t="s">
        <v>124</v>
      </c>
      <c r="D317" s="34">
        <v>2018</v>
      </c>
      <c r="E317" s="36">
        <v>0</v>
      </c>
      <c r="F317" s="36">
        <v>0</v>
      </c>
      <c r="G317" s="36">
        <v>0</v>
      </c>
      <c r="H317" s="38">
        <v>4</v>
      </c>
      <c r="I317" s="36">
        <v>4</v>
      </c>
      <c r="J317" s="9"/>
      <c r="K317" s="39">
        <f t="shared" ref="K317:M317" si="763">K316*2</f>
        <v>2516</v>
      </c>
      <c r="L317" s="40">
        <f t="shared" si="763"/>
        <v>572</v>
      </c>
      <c r="M317" s="39">
        <f t="shared" si="763"/>
        <v>1308</v>
      </c>
      <c r="N317" s="9"/>
      <c r="O317" s="39">
        <f>E317+F317+O316</f>
        <v>0</v>
      </c>
      <c r="P317" s="40">
        <f t="shared" ref="P317:Q317" si="764">H317+P316</f>
        <v>5</v>
      </c>
      <c r="Q317" s="39">
        <f t="shared" si="764"/>
        <v>5</v>
      </c>
      <c r="R317" s="10"/>
      <c r="S317" s="266">
        <f t="shared" ref="S317:U317" si="765">O317/K317</f>
        <v>0</v>
      </c>
      <c r="T317" s="264">
        <f t="shared" si="765"/>
        <v>8.7412587412587419E-3</v>
      </c>
      <c r="U317" s="264">
        <f t="shared" si="765"/>
        <v>3.8226299694189602E-3</v>
      </c>
      <c r="V317" s="261" t="s">
        <v>759</v>
      </c>
      <c r="X317" s="97">
        <v>5231</v>
      </c>
      <c r="Y317" s="97">
        <v>1308</v>
      </c>
      <c r="Z317" s="267">
        <v>5</v>
      </c>
      <c r="AA317" s="13"/>
      <c r="AB317" s="267" t="s">
        <v>1356</v>
      </c>
      <c r="AD317" s="267" t="str">
        <f t="shared" si="2"/>
        <v xml:space="preserve"> </v>
      </c>
      <c r="AE317" s="267" t="str">
        <f t="shared" si="3"/>
        <v xml:space="preserve"> </v>
      </c>
      <c r="AF317" s="267" t="str">
        <f t="shared" si="4"/>
        <v xml:space="preserve"> </v>
      </c>
      <c r="AG317" s="267">
        <f t="shared" si="5"/>
        <v>4</v>
      </c>
    </row>
    <row r="318" spans="1:33" ht="13.5" thickTop="1" x14ac:dyDescent="0.2">
      <c r="B318" s="44"/>
      <c r="C318" s="10"/>
      <c r="D318" s="10"/>
      <c r="E318" s="39"/>
      <c r="F318" s="39"/>
      <c r="G318" s="39"/>
      <c r="H318" s="39"/>
      <c r="I318" s="9"/>
      <c r="J318" s="9"/>
      <c r="K318" s="39"/>
      <c r="L318" s="39"/>
      <c r="M318" s="39"/>
      <c r="N318" s="9"/>
      <c r="O318" s="39"/>
      <c r="P318" s="39"/>
      <c r="Q318" s="39"/>
      <c r="R318" s="10"/>
      <c r="X318" s="12"/>
      <c r="Y318" s="12"/>
      <c r="AA318" s="13"/>
    </row>
    <row r="319" spans="1:33" ht="12.75" x14ac:dyDescent="0.2">
      <c r="B319" s="44"/>
      <c r="C319" s="10"/>
      <c r="D319" s="10"/>
      <c r="E319" s="39"/>
      <c r="F319" s="39"/>
      <c r="G319" s="39"/>
      <c r="H319" s="39"/>
      <c r="I319" s="9"/>
      <c r="J319" s="9"/>
      <c r="K319" s="39"/>
      <c r="L319" s="39"/>
      <c r="M319" s="39"/>
      <c r="N319" s="9"/>
      <c r="O319" s="39"/>
      <c r="P319" s="39"/>
      <c r="Q319" s="39"/>
      <c r="R319" s="10"/>
      <c r="X319" s="12">
        <f>SUM(X3:X317)</f>
        <v>1150482</v>
      </c>
      <c r="Y319" s="12">
        <f t="shared" ref="Y319:Z319" si="766">SUM(Y4:Y317)</f>
        <v>665178</v>
      </c>
      <c r="Z319" s="258">
        <f t="shared" si="766"/>
        <v>481831</v>
      </c>
      <c r="AA319" s="13"/>
      <c r="AB319" s="258">
        <f>SUM(AB5:AB317)</f>
        <v>146220</v>
      </c>
      <c r="AD319" s="258">
        <f t="shared" ref="AD319:AG319" si="767">SUM(AD5:AD317)</f>
        <v>92724</v>
      </c>
      <c r="AE319" s="258">
        <f t="shared" si="767"/>
        <v>95974</v>
      </c>
      <c r="AF319" s="258">
        <f t="shared" si="767"/>
        <v>116467</v>
      </c>
      <c r="AG319" s="258">
        <f t="shared" si="767"/>
        <v>112437</v>
      </c>
    </row>
    <row r="320" spans="1:33" ht="12.75" x14ac:dyDescent="0.2">
      <c r="B320" s="44"/>
      <c r="C320" s="10"/>
      <c r="D320" s="10"/>
      <c r="E320" s="39"/>
      <c r="F320" s="39"/>
      <c r="G320" s="39"/>
      <c r="H320" s="39"/>
      <c r="I320" s="9"/>
      <c r="J320" s="9"/>
      <c r="K320" s="39"/>
      <c r="L320" s="39"/>
      <c r="M320" s="39"/>
      <c r="N320" s="9"/>
      <c r="O320" s="39"/>
      <c r="P320" s="39"/>
      <c r="Q320" s="39"/>
      <c r="R320" s="10"/>
      <c r="X320" s="12"/>
      <c r="Y320" s="12"/>
      <c r="AA320" s="13"/>
    </row>
    <row r="321" spans="2:27" ht="12.75" x14ac:dyDescent="0.2">
      <c r="B321" s="44"/>
      <c r="C321" s="10"/>
      <c r="D321" s="10"/>
      <c r="E321" s="39"/>
      <c r="F321" s="39"/>
      <c r="G321" s="39"/>
      <c r="H321" s="39"/>
      <c r="I321" s="9"/>
      <c r="J321" s="9"/>
      <c r="K321" s="39"/>
      <c r="L321" s="39"/>
      <c r="M321" s="39"/>
      <c r="N321" s="9"/>
      <c r="O321" s="39"/>
      <c r="P321" s="39"/>
      <c r="Q321" s="39"/>
      <c r="R321" s="10"/>
      <c r="X321" s="12"/>
      <c r="Y321" s="12"/>
      <c r="AA321" s="13"/>
    </row>
    <row r="322" spans="2:27" ht="12.75" x14ac:dyDescent="0.2">
      <c r="B322" s="44"/>
      <c r="C322" s="10"/>
      <c r="D322" s="10"/>
      <c r="E322" s="39"/>
      <c r="F322" s="39"/>
      <c r="G322" s="39"/>
      <c r="H322" s="39"/>
      <c r="I322" s="9"/>
      <c r="J322" s="9"/>
      <c r="K322" s="39"/>
      <c r="L322" s="39"/>
      <c r="M322" s="39"/>
      <c r="N322" s="9"/>
      <c r="O322" s="39"/>
      <c r="P322" s="39"/>
      <c r="Q322" s="39"/>
      <c r="R322" s="10"/>
      <c r="X322" s="12"/>
      <c r="Y322" s="12"/>
      <c r="AA322" s="13"/>
    </row>
    <row r="323" spans="2:27" ht="12.75" x14ac:dyDescent="0.2">
      <c r="B323" s="44"/>
      <c r="C323" s="10"/>
      <c r="D323" s="10"/>
      <c r="E323" s="39"/>
      <c r="F323" s="39"/>
      <c r="G323" s="39"/>
      <c r="H323" s="39"/>
      <c r="I323" s="9"/>
      <c r="J323" s="9"/>
      <c r="K323" s="39"/>
      <c r="L323" s="39"/>
      <c r="M323" s="39"/>
      <c r="N323" s="9"/>
      <c r="O323" s="39"/>
      <c r="P323" s="39"/>
      <c r="Q323" s="39"/>
      <c r="R323" s="10"/>
      <c r="X323" s="12"/>
      <c r="Y323" s="12"/>
      <c r="AA323" s="13"/>
    </row>
    <row r="324" spans="2:27" ht="12.75" x14ac:dyDescent="0.2">
      <c r="B324" s="44"/>
      <c r="C324" s="10"/>
      <c r="D324" s="10"/>
      <c r="E324" s="39"/>
      <c r="F324" s="39"/>
      <c r="G324" s="39"/>
      <c r="H324" s="39"/>
      <c r="I324" s="9"/>
      <c r="J324" s="9"/>
      <c r="K324" s="39"/>
      <c r="L324" s="39"/>
      <c r="M324" s="39"/>
      <c r="N324" s="9"/>
      <c r="O324" s="39"/>
      <c r="P324" s="39"/>
      <c r="Q324" s="39"/>
      <c r="R324" s="10"/>
      <c r="X324" s="12"/>
      <c r="Y324" s="12"/>
      <c r="AA324" s="13"/>
    </row>
    <row r="325" spans="2:27" ht="12.75" x14ac:dyDescent="0.2">
      <c r="B325" s="44"/>
      <c r="C325" s="10"/>
      <c r="D325" s="10"/>
      <c r="E325" s="39"/>
      <c r="F325" s="39"/>
      <c r="G325" s="39"/>
      <c r="H325" s="39"/>
      <c r="I325" s="9"/>
      <c r="J325" s="9"/>
      <c r="K325" s="39"/>
      <c r="L325" s="39"/>
      <c r="M325" s="39"/>
      <c r="N325" s="9"/>
      <c r="O325" s="39"/>
      <c r="P325" s="39"/>
      <c r="Q325" s="39"/>
      <c r="R325" s="10"/>
      <c r="X325" s="12"/>
      <c r="Y325" s="12"/>
      <c r="AA325" s="13"/>
    </row>
    <row r="326" spans="2:27" ht="12.75" x14ac:dyDescent="0.2">
      <c r="B326" s="44"/>
      <c r="C326" s="10"/>
      <c r="D326" s="10"/>
      <c r="E326" s="39"/>
      <c r="F326" s="39"/>
      <c r="G326" s="39"/>
      <c r="H326" s="39"/>
      <c r="I326" s="9"/>
      <c r="J326" s="9"/>
      <c r="K326" s="39"/>
      <c r="L326" s="39"/>
      <c r="M326" s="39"/>
      <c r="N326" s="9"/>
      <c r="O326" s="39"/>
      <c r="P326" s="39"/>
      <c r="Q326" s="39"/>
      <c r="R326" s="10"/>
      <c r="X326" s="12"/>
      <c r="Y326" s="12"/>
      <c r="AA326" s="13"/>
    </row>
    <row r="327" spans="2:27" ht="12.75" x14ac:dyDescent="0.2">
      <c r="B327" s="44"/>
      <c r="C327" s="10"/>
      <c r="D327" s="10"/>
      <c r="E327" s="39"/>
      <c r="F327" s="39"/>
      <c r="G327" s="39"/>
      <c r="H327" s="39"/>
      <c r="I327" s="9"/>
      <c r="J327" s="9"/>
      <c r="K327" s="39"/>
      <c r="L327" s="39"/>
      <c r="M327" s="39"/>
      <c r="N327" s="9"/>
      <c r="O327" s="39"/>
      <c r="P327" s="39"/>
      <c r="Q327" s="39"/>
      <c r="R327" s="10"/>
      <c r="X327" s="12"/>
      <c r="Y327" s="12"/>
      <c r="AA327" s="13"/>
    </row>
    <row r="328" spans="2:27" ht="12.75" x14ac:dyDescent="0.2">
      <c r="B328" s="44"/>
      <c r="C328" s="10"/>
      <c r="D328" s="10"/>
      <c r="E328" s="39"/>
      <c r="F328" s="39"/>
      <c r="G328" s="39"/>
      <c r="H328" s="39"/>
      <c r="I328" s="9"/>
      <c r="J328" s="9"/>
      <c r="K328" s="39"/>
      <c r="L328" s="39"/>
      <c r="M328" s="39"/>
      <c r="N328" s="9"/>
      <c r="O328" s="39"/>
      <c r="P328" s="39"/>
      <c r="Q328" s="39"/>
      <c r="R328" s="10"/>
      <c r="X328" s="12"/>
      <c r="Y328" s="12"/>
      <c r="AA328" s="13"/>
    </row>
    <row r="329" spans="2:27" ht="12.75" x14ac:dyDescent="0.2">
      <c r="B329" s="44"/>
      <c r="C329" s="10"/>
      <c r="D329" s="10"/>
      <c r="E329" s="39"/>
      <c r="F329" s="39"/>
      <c r="G329" s="39"/>
      <c r="H329" s="39"/>
      <c r="I329" s="9"/>
      <c r="J329" s="9"/>
      <c r="K329" s="39"/>
      <c r="L329" s="39"/>
      <c r="M329" s="39"/>
      <c r="N329" s="9"/>
      <c r="O329" s="39"/>
      <c r="P329" s="39"/>
      <c r="Q329" s="39"/>
      <c r="R329" s="10"/>
      <c r="X329" s="12"/>
      <c r="Y329" s="12"/>
      <c r="AA329" s="13"/>
    </row>
    <row r="330" spans="2:27" ht="12.75" x14ac:dyDescent="0.2">
      <c r="B330" s="44"/>
      <c r="C330" s="10"/>
      <c r="D330" s="10"/>
      <c r="E330" s="39"/>
      <c r="F330" s="39"/>
      <c r="G330" s="39"/>
      <c r="H330" s="39"/>
      <c r="I330" s="9"/>
      <c r="J330" s="9"/>
      <c r="K330" s="39"/>
      <c r="L330" s="39"/>
      <c r="M330" s="39"/>
      <c r="N330" s="9"/>
      <c r="O330" s="39"/>
      <c r="P330" s="39"/>
      <c r="Q330" s="39"/>
      <c r="R330" s="10"/>
      <c r="X330" s="12"/>
      <c r="Y330" s="12"/>
      <c r="AA330" s="13"/>
    </row>
    <row r="331" spans="2:27" ht="12.75" x14ac:dyDescent="0.2">
      <c r="B331" s="44"/>
      <c r="C331" s="10"/>
      <c r="D331" s="10"/>
      <c r="E331" s="39"/>
      <c r="F331" s="39"/>
      <c r="G331" s="39"/>
      <c r="H331" s="39"/>
      <c r="I331" s="9"/>
      <c r="J331" s="9"/>
      <c r="K331" s="39"/>
      <c r="L331" s="39"/>
      <c r="M331" s="39"/>
      <c r="N331" s="9"/>
      <c r="O331" s="39"/>
      <c r="P331" s="39"/>
      <c r="Q331" s="39"/>
      <c r="R331" s="10"/>
      <c r="X331" s="12"/>
      <c r="Y331" s="12"/>
      <c r="AA331" s="13"/>
    </row>
    <row r="332" spans="2:27" ht="12.75" x14ac:dyDescent="0.2">
      <c r="B332" s="44"/>
      <c r="C332" s="10"/>
      <c r="D332" s="10"/>
      <c r="E332" s="39"/>
      <c r="F332" s="39"/>
      <c r="G332" s="39"/>
      <c r="H332" s="39"/>
      <c r="I332" s="9"/>
      <c r="J332" s="9"/>
      <c r="K332" s="39"/>
      <c r="L332" s="39"/>
      <c r="M332" s="39"/>
      <c r="N332" s="9"/>
      <c r="O332" s="39"/>
      <c r="P332" s="39"/>
      <c r="Q332" s="39"/>
      <c r="R332" s="10"/>
      <c r="X332" s="12"/>
      <c r="Y332" s="12"/>
      <c r="AA332" s="13"/>
    </row>
    <row r="333" spans="2:27" ht="12.75" x14ac:dyDescent="0.2">
      <c r="B333" s="44"/>
      <c r="C333" s="10"/>
      <c r="D333" s="10"/>
      <c r="E333" s="39"/>
      <c r="F333" s="39"/>
      <c r="G333" s="39"/>
      <c r="H333" s="39"/>
      <c r="I333" s="9"/>
      <c r="J333" s="9"/>
      <c r="K333" s="39"/>
      <c r="L333" s="39"/>
      <c r="M333" s="39"/>
      <c r="N333" s="9"/>
      <c r="O333" s="39"/>
      <c r="P333" s="39"/>
      <c r="Q333" s="39"/>
      <c r="R333" s="10"/>
      <c r="X333" s="12"/>
      <c r="Y333" s="12"/>
      <c r="AA333" s="13"/>
    </row>
    <row r="334" spans="2:27" ht="12.75" x14ac:dyDescent="0.2">
      <c r="B334" s="44"/>
      <c r="C334" s="10"/>
      <c r="D334" s="10"/>
      <c r="E334" s="39"/>
      <c r="F334" s="39"/>
      <c r="G334" s="39"/>
      <c r="H334" s="39"/>
      <c r="I334" s="9"/>
      <c r="J334" s="9"/>
      <c r="K334" s="39"/>
      <c r="L334" s="39"/>
      <c r="M334" s="39"/>
      <c r="N334" s="9"/>
      <c r="O334" s="39"/>
      <c r="P334" s="39"/>
      <c r="Q334" s="39"/>
      <c r="R334" s="10"/>
      <c r="X334" s="12"/>
      <c r="Y334" s="12"/>
      <c r="AA334" s="13"/>
    </row>
    <row r="335" spans="2:27" ht="12.75" x14ac:dyDescent="0.2">
      <c r="B335" s="44"/>
      <c r="C335" s="10"/>
      <c r="D335" s="10"/>
      <c r="E335" s="39"/>
      <c r="F335" s="39"/>
      <c r="G335" s="39"/>
      <c r="H335" s="39"/>
      <c r="I335" s="9"/>
      <c r="J335" s="9"/>
      <c r="K335" s="39"/>
      <c r="L335" s="39"/>
      <c r="M335" s="39"/>
      <c r="N335" s="9"/>
      <c r="O335" s="39"/>
      <c r="P335" s="39"/>
      <c r="Q335" s="39"/>
      <c r="R335" s="10"/>
      <c r="X335" s="12"/>
      <c r="Y335" s="12"/>
      <c r="AA335" s="13"/>
    </row>
    <row r="336" spans="2:27" ht="12.75" x14ac:dyDescent="0.2">
      <c r="B336" s="44"/>
      <c r="C336" s="10"/>
      <c r="D336" s="10"/>
      <c r="E336" s="39"/>
      <c r="F336" s="39"/>
      <c r="G336" s="39"/>
      <c r="H336" s="39"/>
      <c r="I336" s="9"/>
      <c r="J336" s="9"/>
      <c r="K336" s="39"/>
      <c r="L336" s="39"/>
      <c r="M336" s="39"/>
      <c r="N336" s="9"/>
      <c r="O336" s="39"/>
      <c r="P336" s="39"/>
      <c r="Q336" s="39"/>
      <c r="R336" s="10"/>
      <c r="X336" s="12"/>
      <c r="Y336" s="12"/>
      <c r="AA336" s="13"/>
    </row>
    <row r="337" spans="2:27" ht="12.75" x14ac:dyDescent="0.2">
      <c r="B337" s="44"/>
      <c r="C337" s="10"/>
      <c r="D337" s="10"/>
      <c r="E337" s="39"/>
      <c r="F337" s="39"/>
      <c r="G337" s="39"/>
      <c r="H337" s="39"/>
      <c r="I337" s="9"/>
      <c r="J337" s="9"/>
      <c r="K337" s="39"/>
      <c r="L337" s="39"/>
      <c r="M337" s="39"/>
      <c r="N337" s="9"/>
      <c r="O337" s="39"/>
      <c r="P337" s="39"/>
      <c r="Q337" s="39"/>
      <c r="R337" s="10"/>
      <c r="X337" s="12"/>
      <c r="Y337" s="12"/>
      <c r="AA337" s="13"/>
    </row>
    <row r="338" spans="2:27" ht="12.75" x14ac:dyDescent="0.2">
      <c r="B338" s="44"/>
      <c r="C338" s="10"/>
      <c r="D338" s="10"/>
      <c r="E338" s="39"/>
      <c r="F338" s="39"/>
      <c r="G338" s="39"/>
      <c r="H338" s="39"/>
      <c r="I338" s="9"/>
      <c r="J338" s="9"/>
      <c r="K338" s="39"/>
      <c r="L338" s="39"/>
      <c r="M338" s="39"/>
      <c r="N338" s="9"/>
      <c r="O338" s="39"/>
      <c r="P338" s="39"/>
      <c r="Q338" s="39"/>
      <c r="R338" s="10"/>
      <c r="X338" s="12"/>
      <c r="Y338" s="12"/>
      <c r="AA338" s="13"/>
    </row>
    <row r="339" spans="2:27" ht="12.75" x14ac:dyDescent="0.2">
      <c r="B339" s="44"/>
      <c r="C339" s="10"/>
      <c r="D339" s="10"/>
      <c r="E339" s="39"/>
      <c r="F339" s="39"/>
      <c r="G339" s="39"/>
      <c r="H339" s="39"/>
      <c r="I339" s="9"/>
      <c r="J339" s="9"/>
      <c r="K339" s="39"/>
      <c r="L339" s="39"/>
      <c r="M339" s="39"/>
      <c r="N339" s="9"/>
      <c r="O339" s="39"/>
      <c r="P339" s="39"/>
      <c r="Q339" s="39"/>
      <c r="R339" s="10"/>
      <c r="X339" s="12"/>
      <c r="Y339" s="12"/>
      <c r="AA339" s="13"/>
    </row>
    <row r="340" spans="2:27" ht="12.75" x14ac:dyDescent="0.2">
      <c r="B340" s="44"/>
      <c r="C340" s="10"/>
      <c r="D340" s="10"/>
      <c r="E340" s="39"/>
      <c r="F340" s="39"/>
      <c r="G340" s="39"/>
      <c r="H340" s="39"/>
      <c r="I340" s="9"/>
      <c r="J340" s="9"/>
      <c r="K340" s="39"/>
      <c r="L340" s="39"/>
      <c r="M340" s="39"/>
      <c r="N340" s="9"/>
      <c r="O340" s="39"/>
      <c r="P340" s="39"/>
      <c r="Q340" s="39"/>
      <c r="R340" s="10"/>
      <c r="X340" s="12"/>
      <c r="Y340" s="12"/>
      <c r="AA340" s="13"/>
    </row>
    <row r="341" spans="2:27" ht="12.75" x14ac:dyDescent="0.2">
      <c r="B341" s="44"/>
      <c r="C341" s="10"/>
      <c r="D341" s="10"/>
      <c r="E341" s="39"/>
      <c r="F341" s="39"/>
      <c r="G341" s="39"/>
      <c r="H341" s="39"/>
      <c r="I341" s="9"/>
      <c r="J341" s="9"/>
      <c r="K341" s="39"/>
      <c r="L341" s="39"/>
      <c r="M341" s="39"/>
      <c r="N341" s="9"/>
      <c r="O341" s="39"/>
      <c r="P341" s="39"/>
      <c r="Q341" s="39"/>
      <c r="R341" s="10"/>
      <c r="X341" s="12"/>
      <c r="Y341" s="12"/>
      <c r="AA341" s="13"/>
    </row>
    <row r="342" spans="2:27" ht="12.75" x14ac:dyDescent="0.2">
      <c r="B342" s="44"/>
      <c r="C342" s="10"/>
      <c r="D342" s="10"/>
      <c r="E342" s="39"/>
      <c r="F342" s="39"/>
      <c r="G342" s="39"/>
      <c r="H342" s="39"/>
      <c r="I342" s="9"/>
      <c r="J342" s="9"/>
      <c r="K342" s="39"/>
      <c r="L342" s="39"/>
      <c r="M342" s="39"/>
      <c r="N342" s="9"/>
      <c r="O342" s="39"/>
      <c r="P342" s="39"/>
      <c r="Q342" s="39"/>
      <c r="R342" s="10"/>
      <c r="X342" s="12"/>
      <c r="Y342" s="12"/>
      <c r="AA342" s="13"/>
    </row>
    <row r="343" spans="2:27" ht="12.75" x14ac:dyDescent="0.2">
      <c r="B343" s="44"/>
      <c r="C343" s="10"/>
      <c r="D343" s="10"/>
      <c r="E343" s="39"/>
      <c r="F343" s="39"/>
      <c r="G343" s="39"/>
      <c r="H343" s="39"/>
      <c r="I343" s="9"/>
      <c r="J343" s="9"/>
      <c r="K343" s="39"/>
      <c r="L343" s="39"/>
      <c r="M343" s="39"/>
      <c r="N343" s="9"/>
      <c r="O343" s="39"/>
      <c r="P343" s="39"/>
      <c r="Q343" s="39"/>
      <c r="R343" s="10"/>
      <c r="X343" s="12"/>
      <c r="Y343" s="12"/>
      <c r="AA343" s="13"/>
    </row>
    <row r="344" spans="2:27" ht="12.75" x14ac:dyDescent="0.2">
      <c r="B344" s="44"/>
      <c r="C344" s="10"/>
      <c r="D344" s="10"/>
      <c r="E344" s="39"/>
      <c r="F344" s="39"/>
      <c r="G344" s="39"/>
      <c r="H344" s="39"/>
      <c r="I344" s="9"/>
      <c r="J344" s="9"/>
      <c r="K344" s="39"/>
      <c r="L344" s="39"/>
      <c r="M344" s="39"/>
      <c r="N344" s="9"/>
      <c r="O344" s="39"/>
      <c r="P344" s="39"/>
      <c r="Q344" s="39"/>
      <c r="R344" s="10"/>
      <c r="X344" s="12"/>
      <c r="Y344" s="12"/>
      <c r="AA344" s="13"/>
    </row>
    <row r="345" spans="2:27" ht="12.75" x14ac:dyDescent="0.2">
      <c r="B345" s="44"/>
      <c r="C345" s="10"/>
      <c r="D345" s="10"/>
      <c r="E345" s="39"/>
      <c r="F345" s="39"/>
      <c r="G345" s="39"/>
      <c r="H345" s="39"/>
      <c r="I345" s="9"/>
      <c r="J345" s="9"/>
      <c r="K345" s="39"/>
      <c r="L345" s="39"/>
      <c r="M345" s="39"/>
      <c r="N345" s="9"/>
      <c r="O345" s="39"/>
      <c r="P345" s="39"/>
      <c r="Q345" s="39"/>
      <c r="R345" s="10"/>
      <c r="X345" s="12"/>
      <c r="Y345" s="12"/>
      <c r="AA345" s="13"/>
    </row>
    <row r="346" spans="2:27" ht="12.75" x14ac:dyDescent="0.2">
      <c r="B346" s="44"/>
      <c r="C346" s="10"/>
      <c r="D346" s="10"/>
      <c r="E346" s="39"/>
      <c r="F346" s="39"/>
      <c r="G346" s="39"/>
      <c r="H346" s="39"/>
      <c r="I346" s="9"/>
      <c r="J346" s="9"/>
      <c r="K346" s="39"/>
      <c r="L346" s="39"/>
      <c r="M346" s="39"/>
      <c r="N346" s="9"/>
      <c r="O346" s="39"/>
      <c r="P346" s="39"/>
      <c r="Q346" s="39"/>
      <c r="R346" s="10"/>
      <c r="X346" s="12"/>
      <c r="Y346" s="12"/>
      <c r="AA346" s="13"/>
    </row>
    <row r="347" spans="2:27" ht="12.75" x14ac:dyDescent="0.2">
      <c r="B347" s="44"/>
      <c r="C347" s="10"/>
      <c r="D347" s="10"/>
      <c r="E347" s="39"/>
      <c r="F347" s="39"/>
      <c r="G347" s="39"/>
      <c r="H347" s="39"/>
      <c r="I347" s="9"/>
      <c r="J347" s="9"/>
      <c r="K347" s="39"/>
      <c r="L347" s="39"/>
      <c r="M347" s="39"/>
      <c r="N347" s="9"/>
      <c r="O347" s="39"/>
      <c r="P347" s="39"/>
      <c r="Q347" s="39"/>
      <c r="R347" s="10"/>
      <c r="X347" s="12"/>
      <c r="Y347" s="12"/>
      <c r="AA347" s="13"/>
    </row>
    <row r="348" spans="2:27" ht="12.75" x14ac:dyDescent="0.2">
      <c r="B348" s="44"/>
      <c r="C348" s="10"/>
      <c r="D348" s="10"/>
      <c r="E348" s="39"/>
      <c r="F348" s="39"/>
      <c r="G348" s="39"/>
      <c r="H348" s="39"/>
      <c r="I348" s="9"/>
      <c r="J348" s="9"/>
      <c r="K348" s="39"/>
      <c r="L348" s="39"/>
      <c r="M348" s="39"/>
      <c r="N348" s="9"/>
      <c r="O348" s="39"/>
      <c r="P348" s="39"/>
      <c r="Q348" s="39"/>
      <c r="R348" s="10"/>
      <c r="X348" s="12"/>
      <c r="Y348" s="12"/>
      <c r="AA348" s="13"/>
    </row>
    <row r="349" spans="2:27" ht="12.75" x14ac:dyDescent="0.2">
      <c r="B349" s="44"/>
      <c r="C349" s="10"/>
      <c r="D349" s="10"/>
      <c r="E349" s="39"/>
      <c r="F349" s="39"/>
      <c r="G349" s="39"/>
      <c r="H349" s="39"/>
      <c r="I349" s="9"/>
      <c r="J349" s="9"/>
      <c r="K349" s="39"/>
      <c r="L349" s="39"/>
      <c r="M349" s="39"/>
      <c r="N349" s="9"/>
      <c r="O349" s="39"/>
      <c r="P349" s="39"/>
      <c r="Q349" s="39"/>
      <c r="R349" s="10"/>
      <c r="X349" s="12"/>
      <c r="Y349" s="12"/>
      <c r="AA349" s="13"/>
    </row>
    <row r="350" spans="2:27" ht="12.75" x14ac:dyDescent="0.2">
      <c r="B350" s="44"/>
      <c r="C350" s="10"/>
      <c r="D350" s="10"/>
      <c r="E350" s="39"/>
      <c r="F350" s="39"/>
      <c r="G350" s="39"/>
      <c r="H350" s="39"/>
      <c r="I350" s="9"/>
      <c r="J350" s="9"/>
      <c r="K350" s="39"/>
      <c r="L350" s="39"/>
      <c r="M350" s="39"/>
      <c r="N350" s="9"/>
      <c r="O350" s="39"/>
      <c r="P350" s="39"/>
      <c r="Q350" s="39"/>
      <c r="R350" s="10"/>
      <c r="X350" s="12"/>
      <c r="Y350" s="12"/>
      <c r="AA350" s="13"/>
    </row>
    <row r="351" spans="2:27" ht="12.75" x14ac:dyDescent="0.2">
      <c r="B351" s="44"/>
      <c r="C351" s="10"/>
      <c r="D351" s="10"/>
      <c r="E351" s="39"/>
      <c r="F351" s="39"/>
      <c r="G351" s="39"/>
      <c r="H351" s="39"/>
      <c r="I351" s="9"/>
      <c r="J351" s="9"/>
      <c r="K351" s="39"/>
      <c r="L351" s="39"/>
      <c r="M351" s="39"/>
      <c r="N351" s="9"/>
      <c r="O351" s="39"/>
      <c r="P351" s="39"/>
      <c r="Q351" s="39"/>
      <c r="R351" s="10"/>
      <c r="X351" s="12"/>
      <c r="Y351" s="12"/>
      <c r="AA351" s="13"/>
    </row>
    <row r="352" spans="2:27" ht="12.75" x14ac:dyDescent="0.2">
      <c r="B352" s="44"/>
      <c r="C352" s="10"/>
      <c r="D352" s="10"/>
      <c r="E352" s="39"/>
      <c r="F352" s="39"/>
      <c r="G352" s="39"/>
      <c r="H352" s="39"/>
      <c r="I352" s="9"/>
      <c r="J352" s="9"/>
      <c r="K352" s="39"/>
      <c r="L352" s="39"/>
      <c r="M352" s="39"/>
      <c r="N352" s="9"/>
      <c r="O352" s="39"/>
      <c r="P352" s="39"/>
      <c r="Q352" s="39"/>
      <c r="R352" s="10"/>
      <c r="X352" s="12"/>
      <c r="Y352" s="12"/>
      <c r="AA352" s="13"/>
    </row>
    <row r="353" spans="2:27" ht="12.75" x14ac:dyDescent="0.2">
      <c r="B353" s="44"/>
      <c r="C353" s="10"/>
      <c r="D353" s="10"/>
      <c r="E353" s="39"/>
      <c r="F353" s="39"/>
      <c r="G353" s="39"/>
      <c r="H353" s="39"/>
      <c r="I353" s="9"/>
      <c r="J353" s="9"/>
      <c r="K353" s="39"/>
      <c r="L353" s="39"/>
      <c r="M353" s="39"/>
      <c r="N353" s="9"/>
      <c r="O353" s="39"/>
      <c r="P353" s="39"/>
      <c r="Q353" s="39"/>
      <c r="R353" s="10"/>
      <c r="X353" s="12"/>
      <c r="Y353" s="12"/>
      <c r="AA353" s="13"/>
    </row>
    <row r="354" spans="2:27" ht="12.75" x14ac:dyDescent="0.2">
      <c r="B354" s="44"/>
      <c r="C354" s="10"/>
      <c r="D354" s="10"/>
      <c r="E354" s="39"/>
      <c r="F354" s="39"/>
      <c r="G354" s="39"/>
      <c r="H354" s="39"/>
      <c r="I354" s="9"/>
      <c r="J354" s="9"/>
      <c r="K354" s="39"/>
      <c r="L354" s="39"/>
      <c r="M354" s="39"/>
      <c r="N354" s="9"/>
      <c r="O354" s="39"/>
      <c r="P354" s="39"/>
      <c r="Q354" s="39"/>
      <c r="R354" s="10"/>
      <c r="X354" s="12"/>
      <c r="Y354" s="12"/>
      <c r="AA354" s="13"/>
    </row>
    <row r="355" spans="2:27" ht="12.75" x14ac:dyDescent="0.2">
      <c r="B355" s="44"/>
      <c r="C355" s="10"/>
      <c r="D355" s="10"/>
      <c r="E355" s="39"/>
      <c r="F355" s="39"/>
      <c r="G355" s="39"/>
      <c r="H355" s="39"/>
      <c r="I355" s="9"/>
      <c r="J355" s="9"/>
      <c r="K355" s="39"/>
      <c r="L355" s="39"/>
      <c r="M355" s="39"/>
      <c r="N355" s="9"/>
      <c r="O355" s="39"/>
      <c r="P355" s="39"/>
      <c r="Q355" s="39"/>
      <c r="R355" s="10"/>
      <c r="X355" s="12"/>
      <c r="Y355" s="12"/>
      <c r="AA355" s="13"/>
    </row>
    <row r="356" spans="2:27" ht="12.75" x14ac:dyDescent="0.2">
      <c r="B356" s="44"/>
      <c r="C356" s="10"/>
      <c r="D356" s="10"/>
      <c r="E356" s="39"/>
      <c r="F356" s="39"/>
      <c r="G356" s="39"/>
      <c r="H356" s="39"/>
      <c r="I356" s="9"/>
      <c r="J356" s="9"/>
      <c r="K356" s="39"/>
      <c r="L356" s="39"/>
      <c r="M356" s="39"/>
      <c r="N356" s="9"/>
      <c r="O356" s="39"/>
      <c r="P356" s="39"/>
      <c r="Q356" s="39"/>
      <c r="R356" s="10"/>
      <c r="X356" s="12"/>
      <c r="Y356" s="12"/>
      <c r="AA356" s="13"/>
    </row>
    <row r="357" spans="2:27" ht="12.75" x14ac:dyDescent="0.2">
      <c r="B357" s="44"/>
      <c r="C357" s="10"/>
      <c r="D357" s="10"/>
      <c r="E357" s="39"/>
      <c r="F357" s="39"/>
      <c r="G357" s="39"/>
      <c r="H357" s="39"/>
      <c r="I357" s="9"/>
      <c r="J357" s="9"/>
      <c r="K357" s="39"/>
      <c r="L357" s="39"/>
      <c r="M357" s="39"/>
      <c r="N357" s="9"/>
      <c r="O357" s="39"/>
      <c r="P357" s="39"/>
      <c r="Q357" s="39"/>
      <c r="R357" s="10"/>
      <c r="X357" s="12"/>
      <c r="Y357" s="12"/>
      <c r="AA357" s="13"/>
    </row>
    <row r="358" spans="2:27" ht="12.75" x14ac:dyDescent="0.2">
      <c r="B358" s="44"/>
      <c r="C358" s="10"/>
      <c r="D358" s="10"/>
      <c r="E358" s="39"/>
      <c r="F358" s="39"/>
      <c r="G358" s="39"/>
      <c r="H358" s="39"/>
      <c r="I358" s="9"/>
      <c r="J358" s="9"/>
      <c r="K358" s="39"/>
      <c r="L358" s="39"/>
      <c r="M358" s="39"/>
      <c r="N358" s="9"/>
      <c r="O358" s="39"/>
      <c r="P358" s="39"/>
      <c r="Q358" s="39"/>
      <c r="R358" s="10"/>
      <c r="X358" s="12"/>
      <c r="Y358" s="12"/>
      <c r="AA358" s="13"/>
    </row>
    <row r="359" spans="2:27" ht="12.75" x14ac:dyDescent="0.2">
      <c r="B359" s="44"/>
      <c r="C359" s="10"/>
      <c r="D359" s="10"/>
      <c r="E359" s="39"/>
      <c r="F359" s="39"/>
      <c r="G359" s="39"/>
      <c r="H359" s="39"/>
      <c r="I359" s="9"/>
      <c r="J359" s="9"/>
      <c r="K359" s="39"/>
      <c r="L359" s="39"/>
      <c r="M359" s="39"/>
      <c r="N359" s="9"/>
      <c r="O359" s="39"/>
      <c r="P359" s="39"/>
      <c r="Q359" s="39"/>
      <c r="R359" s="10"/>
      <c r="X359" s="12"/>
      <c r="Y359" s="12"/>
      <c r="AA359" s="13"/>
    </row>
    <row r="360" spans="2:27" ht="12.75" x14ac:dyDescent="0.2">
      <c r="B360" s="44"/>
      <c r="C360" s="10"/>
      <c r="D360" s="10"/>
      <c r="E360" s="39"/>
      <c r="F360" s="39"/>
      <c r="G360" s="39"/>
      <c r="H360" s="39"/>
      <c r="I360" s="9"/>
      <c r="J360" s="9"/>
      <c r="K360" s="39"/>
      <c r="L360" s="39"/>
      <c r="M360" s="39"/>
      <c r="N360" s="9"/>
      <c r="O360" s="39"/>
      <c r="P360" s="39"/>
      <c r="Q360" s="39"/>
      <c r="R360" s="10"/>
      <c r="X360" s="12"/>
      <c r="Y360" s="12"/>
      <c r="AA360" s="13"/>
    </row>
    <row r="361" spans="2:27" ht="12.75" x14ac:dyDescent="0.2">
      <c r="B361" s="44"/>
      <c r="C361" s="10"/>
      <c r="D361" s="10"/>
      <c r="E361" s="39"/>
      <c r="F361" s="39"/>
      <c r="G361" s="39"/>
      <c r="H361" s="39"/>
      <c r="I361" s="9"/>
      <c r="J361" s="9"/>
      <c r="K361" s="39"/>
      <c r="L361" s="39"/>
      <c r="M361" s="39"/>
      <c r="N361" s="9"/>
      <c r="O361" s="39"/>
      <c r="P361" s="39"/>
      <c r="Q361" s="39"/>
      <c r="R361" s="10"/>
      <c r="X361" s="12"/>
      <c r="Y361" s="12"/>
      <c r="AA361" s="13"/>
    </row>
    <row r="362" spans="2:27" ht="12.75" x14ac:dyDescent="0.2">
      <c r="B362" s="44"/>
      <c r="C362" s="10"/>
      <c r="D362" s="10"/>
      <c r="E362" s="39"/>
      <c r="F362" s="39"/>
      <c r="G362" s="39"/>
      <c r="H362" s="39"/>
      <c r="I362" s="9"/>
      <c r="J362" s="9"/>
      <c r="K362" s="39"/>
      <c r="L362" s="39"/>
      <c r="M362" s="39"/>
      <c r="N362" s="9"/>
      <c r="O362" s="39"/>
      <c r="P362" s="39"/>
      <c r="Q362" s="39"/>
      <c r="R362" s="10"/>
      <c r="X362" s="12"/>
      <c r="Y362" s="12"/>
      <c r="AA362" s="13"/>
    </row>
    <row r="363" spans="2:27" ht="12.75" x14ac:dyDescent="0.2">
      <c r="B363" s="44"/>
      <c r="C363" s="10"/>
      <c r="D363" s="10"/>
      <c r="E363" s="39"/>
      <c r="F363" s="39"/>
      <c r="G363" s="39"/>
      <c r="H363" s="39"/>
      <c r="I363" s="9"/>
      <c r="J363" s="9"/>
      <c r="K363" s="39"/>
      <c r="L363" s="39"/>
      <c r="M363" s="39"/>
      <c r="N363" s="9"/>
      <c r="O363" s="39"/>
      <c r="P363" s="39"/>
      <c r="Q363" s="39"/>
      <c r="R363" s="10"/>
      <c r="X363" s="12"/>
      <c r="Y363" s="12"/>
      <c r="AA363" s="13"/>
    </row>
    <row r="364" spans="2:27" ht="12.75" x14ac:dyDescent="0.2">
      <c r="B364" s="44"/>
      <c r="C364" s="10"/>
      <c r="D364" s="10"/>
      <c r="E364" s="39"/>
      <c r="F364" s="39"/>
      <c r="G364" s="39"/>
      <c r="H364" s="39"/>
      <c r="I364" s="9"/>
      <c r="J364" s="9"/>
      <c r="K364" s="39"/>
      <c r="L364" s="39"/>
      <c r="M364" s="39"/>
      <c r="N364" s="9"/>
      <c r="O364" s="39"/>
      <c r="P364" s="39"/>
      <c r="Q364" s="39"/>
      <c r="R364" s="10"/>
      <c r="X364" s="12"/>
      <c r="Y364" s="12"/>
      <c r="AA364" s="13"/>
    </row>
    <row r="365" spans="2:27" ht="12.75" x14ac:dyDescent="0.2">
      <c r="B365" s="44"/>
      <c r="C365" s="10"/>
      <c r="D365" s="10"/>
      <c r="E365" s="39"/>
      <c r="F365" s="39"/>
      <c r="G365" s="39"/>
      <c r="H365" s="39"/>
      <c r="I365" s="9"/>
      <c r="J365" s="9"/>
      <c r="K365" s="39"/>
      <c r="L365" s="39"/>
      <c r="M365" s="39"/>
      <c r="N365" s="9"/>
      <c r="O365" s="39"/>
      <c r="P365" s="39"/>
      <c r="Q365" s="39"/>
      <c r="R365" s="10"/>
      <c r="X365" s="12"/>
      <c r="Y365" s="12"/>
      <c r="AA365" s="13"/>
    </row>
    <row r="366" spans="2:27" ht="12.75" x14ac:dyDescent="0.2">
      <c r="B366" s="44"/>
      <c r="C366" s="10"/>
      <c r="D366" s="10"/>
      <c r="E366" s="39"/>
      <c r="F366" s="39"/>
      <c r="G366" s="39"/>
      <c r="H366" s="39"/>
      <c r="I366" s="9"/>
      <c r="J366" s="9"/>
      <c r="K366" s="39"/>
      <c r="L366" s="39"/>
      <c r="M366" s="39"/>
      <c r="N366" s="9"/>
      <c r="O366" s="39"/>
      <c r="P366" s="39"/>
      <c r="Q366" s="39"/>
      <c r="R366" s="10"/>
      <c r="X366" s="12"/>
      <c r="Y366" s="12"/>
      <c r="AA366" s="13"/>
    </row>
    <row r="367" spans="2:27" ht="12.75" x14ac:dyDescent="0.2">
      <c r="B367" s="44"/>
      <c r="C367" s="10"/>
      <c r="D367" s="10"/>
      <c r="E367" s="39"/>
      <c r="F367" s="39"/>
      <c r="G367" s="39"/>
      <c r="H367" s="39"/>
      <c r="I367" s="9"/>
      <c r="J367" s="9"/>
      <c r="K367" s="39"/>
      <c r="L367" s="39"/>
      <c r="M367" s="39"/>
      <c r="N367" s="9"/>
      <c r="O367" s="39"/>
      <c r="P367" s="39"/>
      <c r="Q367" s="39"/>
      <c r="R367" s="10"/>
      <c r="X367" s="12"/>
      <c r="Y367" s="12"/>
      <c r="AA367" s="13"/>
    </row>
    <row r="368" spans="2:27" ht="12.75" x14ac:dyDescent="0.2">
      <c r="B368" s="44"/>
      <c r="C368" s="10"/>
      <c r="D368" s="10"/>
      <c r="E368" s="39"/>
      <c r="F368" s="39"/>
      <c r="G368" s="39"/>
      <c r="H368" s="39"/>
      <c r="I368" s="9"/>
      <c r="J368" s="9"/>
      <c r="K368" s="39"/>
      <c r="L368" s="39"/>
      <c r="M368" s="39"/>
      <c r="N368" s="9"/>
      <c r="O368" s="39"/>
      <c r="P368" s="39"/>
      <c r="Q368" s="39"/>
      <c r="R368" s="10"/>
      <c r="X368" s="12"/>
      <c r="Y368" s="12"/>
      <c r="AA368" s="13"/>
    </row>
    <row r="369" spans="2:27" ht="12.75" x14ac:dyDescent="0.2">
      <c r="B369" s="44"/>
      <c r="C369" s="10"/>
      <c r="D369" s="10"/>
      <c r="E369" s="39"/>
      <c r="F369" s="39"/>
      <c r="G369" s="39"/>
      <c r="H369" s="39"/>
      <c r="I369" s="9"/>
      <c r="J369" s="9"/>
      <c r="K369" s="39"/>
      <c r="L369" s="39"/>
      <c r="M369" s="39"/>
      <c r="N369" s="9"/>
      <c r="O369" s="39"/>
      <c r="P369" s="39"/>
      <c r="Q369" s="39"/>
      <c r="R369" s="10"/>
      <c r="X369" s="12"/>
      <c r="Y369" s="12"/>
      <c r="AA369" s="13"/>
    </row>
    <row r="370" spans="2:27" ht="12.75" x14ac:dyDescent="0.2">
      <c r="B370" s="44"/>
      <c r="C370" s="10"/>
      <c r="D370" s="10"/>
      <c r="E370" s="39"/>
      <c r="F370" s="39"/>
      <c r="G370" s="39"/>
      <c r="H370" s="39"/>
      <c r="I370" s="9"/>
      <c r="J370" s="9"/>
      <c r="K370" s="39"/>
      <c r="L370" s="39"/>
      <c r="M370" s="39"/>
      <c r="N370" s="9"/>
      <c r="O370" s="39"/>
      <c r="P370" s="39"/>
      <c r="Q370" s="39"/>
      <c r="R370" s="10"/>
      <c r="X370" s="12"/>
      <c r="Y370" s="12"/>
      <c r="AA370" s="13"/>
    </row>
    <row r="371" spans="2:27" ht="12.75" x14ac:dyDescent="0.2">
      <c r="B371" s="44"/>
      <c r="C371" s="10"/>
      <c r="D371" s="10"/>
      <c r="E371" s="39"/>
      <c r="F371" s="39"/>
      <c r="G371" s="39"/>
      <c r="H371" s="39"/>
      <c r="I371" s="9"/>
      <c r="J371" s="9"/>
      <c r="K371" s="39"/>
      <c r="L371" s="39"/>
      <c r="M371" s="39"/>
      <c r="N371" s="9"/>
      <c r="O371" s="39"/>
      <c r="P371" s="39"/>
      <c r="Q371" s="39"/>
      <c r="R371" s="10"/>
      <c r="X371" s="12"/>
      <c r="Y371" s="12"/>
      <c r="AA371" s="13"/>
    </row>
    <row r="372" spans="2:27" ht="12.75" x14ac:dyDescent="0.2">
      <c r="B372" s="44"/>
      <c r="C372" s="10"/>
      <c r="D372" s="10"/>
      <c r="E372" s="39"/>
      <c r="F372" s="39"/>
      <c r="G372" s="39"/>
      <c r="H372" s="39"/>
      <c r="I372" s="9"/>
      <c r="J372" s="9"/>
      <c r="K372" s="39"/>
      <c r="L372" s="39"/>
      <c r="M372" s="39"/>
      <c r="N372" s="9"/>
      <c r="O372" s="39"/>
      <c r="P372" s="39"/>
      <c r="Q372" s="39"/>
      <c r="R372" s="10"/>
      <c r="X372" s="12"/>
      <c r="Y372" s="12"/>
      <c r="AA372" s="13"/>
    </row>
    <row r="373" spans="2:27" ht="12.75" x14ac:dyDescent="0.2">
      <c r="B373" s="44"/>
      <c r="C373" s="10"/>
      <c r="D373" s="10"/>
      <c r="E373" s="39"/>
      <c r="F373" s="39"/>
      <c r="G373" s="39"/>
      <c r="H373" s="39"/>
      <c r="I373" s="9"/>
      <c r="J373" s="9"/>
      <c r="K373" s="39"/>
      <c r="L373" s="39"/>
      <c r="M373" s="39"/>
      <c r="N373" s="9"/>
      <c r="O373" s="39"/>
      <c r="P373" s="39"/>
      <c r="Q373" s="39"/>
      <c r="R373" s="10"/>
      <c r="X373" s="12"/>
      <c r="Y373" s="12"/>
      <c r="AA373" s="13"/>
    </row>
    <row r="374" spans="2:27" ht="12.75" x14ac:dyDescent="0.2">
      <c r="B374" s="44"/>
      <c r="C374" s="10"/>
      <c r="D374" s="10"/>
      <c r="E374" s="39"/>
      <c r="F374" s="39"/>
      <c r="G374" s="39"/>
      <c r="H374" s="39"/>
      <c r="I374" s="9"/>
      <c r="J374" s="9"/>
      <c r="K374" s="39"/>
      <c r="L374" s="39"/>
      <c r="M374" s="39"/>
      <c r="N374" s="9"/>
      <c r="O374" s="39"/>
      <c r="P374" s="39"/>
      <c r="Q374" s="39"/>
      <c r="R374" s="10"/>
      <c r="X374" s="12"/>
      <c r="Y374" s="12"/>
      <c r="AA374" s="13"/>
    </row>
    <row r="375" spans="2:27" ht="12.75" x14ac:dyDescent="0.2">
      <c r="B375" s="44"/>
      <c r="C375" s="10"/>
      <c r="D375" s="10"/>
      <c r="E375" s="39"/>
      <c r="F375" s="39"/>
      <c r="G375" s="39"/>
      <c r="H375" s="39"/>
      <c r="I375" s="9"/>
      <c r="J375" s="9"/>
      <c r="K375" s="39"/>
      <c r="L375" s="39"/>
      <c r="M375" s="39"/>
      <c r="N375" s="9"/>
      <c r="O375" s="39"/>
      <c r="P375" s="39"/>
      <c r="Q375" s="39"/>
      <c r="R375" s="10"/>
      <c r="X375" s="12"/>
      <c r="Y375" s="12"/>
      <c r="AA375" s="13"/>
    </row>
    <row r="376" spans="2:27" ht="12.75" x14ac:dyDescent="0.2">
      <c r="B376" s="44"/>
      <c r="C376" s="10"/>
      <c r="D376" s="10"/>
      <c r="E376" s="39"/>
      <c r="F376" s="39"/>
      <c r="G376" s="39"/>
      <c r="H376" s="39"/>
      <c r="I376" s="9"/>
      <c r="J376" s="9"/>
      <c r="K376" s="39"/>
      <c r="L376" s="39"/>
      <c r="M376" s="39"/>
      <c r="N376" s="9"/>
      <c r="O376" s="39"/>
      <c r="P376" s="39"/>
      <c r="Q376" s="39"/>
      <c r="R376" s="10"/>
      <c r="X376" s="12"/>
      <c r="Y376" s="12"/>
      <c r="AA376" s="13"/>
    </row>
    <row r="377" spans="2:27" ht="12.75" x14ac:dyDescent="0.2">
      <c r="B377" s="44"/>
      <c r="C377" s="10"/>
      <c r="D377" s="10"/>
      <c r="E377" s="39"/>
      <c r="F377" s="39"/>
      <c r="G377" s="39"/>
      <c r="H377" s="39"/>
      <c r="I377" s="9"/>
      <c r="J377" s="9"/>
      <c r="K377" s="39"/>
      <c r="L377" s="39"/>
      <c r="M377" s="39"/>
      <c r="N377" s="9"/>
      <c r="O377" s="39"/>
      <c r="P377" s="39"/>
      <c r="Q377" s="39"/>
      <c r="R377" s="10"/>
      <c r="X377" s="12"/>
      <c r="Y377" s="12"/>
      <c r="AA377" s="13"/>
    </row>
    <row r="378" spans="2:27" ht="12.75" x14ac:dyDescent="0.2">
      <c r="B378" s="44"/>
      <c r="C378" s="10"/>
      <c r="D378" s="10"/>
      <c r="E378" s="39"/>
      <c r="F378" s="39"/>
      <c r="G378" s="39"/>
      <c r="H378" s="39"/>
      <c r="I378" s="9"/>
      <c r="J378" s="9"/>
      <c r="K378" s="39"/>
      <c r="L378" s="39"/>
      <c r="M378" s="39"/>
      <c r="N378" s="9"/>
      <c r="O378" s="39"/>
      <c r="P378" s="39"/>
      <c r="Q378" s="39"/>
      <c r="R378" s="10"/>
      <c r="X378" s="12"/>
      <c r="Y378" s="12"/>
      <c r="AA378" s="13"/>
    </row>
    <row r="379" spans="2:27" ht="12.75" x14ac:dyDescent="0.2">
      <c r="B379" s="44"/>
      <c r="C379" s="10"/>
      <c r="D379" s="10"/>
      <c r="E379" s="39"/>
      <c r="F379" s="39"/>
      <c r="G379" s="39"/>
      <c r="H379" s="39"/>
      <c r="I379" s="9"/>
      <c r="J379" s="9"/>
      <c r="K379" s="39"/>
      <c r="L379" s="39"/>
      <c r="M379" s="39"/>
      <c r="N379" s="9"/>
      <c r="O379" s="39"/>
      <c r="P379" s="39"/>
      <c r="Q379" s="39"/>
      <c r="R379" s="10"/>
      <c r="X379" s="12"/>
      <c r="Y379" s="12"/>
      <c r="AA379" s="13"/>
    </row>
    <row r="380" spans="2:27" ht="12.75" x14ac:dyDescent="0.2">
      <c r="B380" s="44"/>
      <c r="C380" s="10"/>
      <c r="D380" s="10"/>
      <c r="E380" s="39"/>
      <c r="F380" s="39"/>
      <c r="G380" s="39"/>
      <c r="H380" s="39"/>
      <c r="I380" s="9"/>
      <c r="J380" s="9"/>
      <c r="K380" s="39"/>
      <c r="L380" s="39"/>
      <c r="M380" s="39"/>
      <c r="N380" s="9"/>
      <c r="O380" s="39"/>
      <c r="P380" s="39"/>
      <c r="Q380" s="39"/>
      <c r="R380" s="10"/>
      <c r="X380" s="12"/>
      <c r="Y380" s="12"/>
      <c r="AA380" s="13"/>
    </row>
    <row r="381" spans="2:27" ht="12.75" x14ac:dyDescent="0.2">
      <c r="B381" s="44"/>
      <c r="C381" s="10"/>
      <c r="D381" s="10"/>
      <c r="E381" s="39"/>
      <c r="F381" s="39"/>
      <c r="G381" s="39"/>
      <c r="H381" s="39"/>
      <c r="I381" s="9"/>
      <c r="J381" s="9"/>
      <c r="K381" s="39"/>
      <c r="L381" s="39"/>
      <c r="M381" s="39"/>
      <c r="N381" s="9"/>
      <c r="O381" s="39"/>
      <c r="P381" s="39"/>
      <c r="Q381" s="39"/>
      <c r="R381" s="10"/>
      <c r="X381" s="12"/>
      <c r="Y381" s="12"/>
      <c r="AA381" s="13"/>
    </row>
    <row r="382" spans="2:27" ht="12.75" x14ac:dyDescent="0.2">
      <c r="B382" s="44"/>
      <c r="C382" s="10"/>
      <c r="D382" s="10"/>
      <c r="E382" s="39"/>
      <c r="F382" s="39"/>
      <c r="G382" s="39"/>
      <c r="H382" s="39"/>
      <c r="I382" s="9"/>
      <c r="J382" s="9"/>
      <c r="K382" s="39"/>
      <c r="L382" s="39"/>
      <c r="M382" s="39"/>
      <c r="N382" s="9"/>
      <c r="O382" s="39"/>
      <c r="P382" s="39"/>
      <c r="Q382" s="39"/>
      <c r="R382" s="10"/>
      <c r="X382" s="12"/>
      <c r="Y382" s="12"/>
      <c r="AA382" s="13"/>
    </row>
    <row r="383" spans="2:27" ht="12.75" x14ac:dyDescent="0.2">
      <c r="B383" s="44"/>
      <c r="C383" s="10"/>
      <c r="D383" s="10"/>
      <c r="E383" s="39"/>
      <c r="F383" s="39"/>
      <c r="G383" s="39"/>
      <c r="H383" s="39"/>
      <c r="I383" s="9"/>
      <c r="J383" s="9"/>
      <c r="K383" s="39"/>
      <c r="L383" s="39"/>
      <c r="M383" s="39"/>
      <c r="N383" s="9"/>
      <c r="O383" s="39"/>
      <c r="P383" s="39"/>
      <c r="Q383" s="39"/>
      <c r="R383" s="10"/>
      <c r="X383" s="12"/>
      <c r="Y383" s="12"/>
      <c r="AA383" s="13"/>
    </row>
    <row r="384" spans="2:27" ht="12.75" x14ac:dyDescent="0.2">
      <c r="B384" s="44"/>
      <c r="C384" s="10"/>
      <c r="D384" s="10"/>
      <c r="E384" s="39"/>
      <c r="F384" s="39"/>
      <c r="G384" s="39"/>
      <c r="H384" s="39"/>
      <c r="I384" s="9"/>
      <c r="J384" s="9"/>
      <c r="K384" s="39"/>
      <c r="L384" s="39"/>
      <c r="M384" s="39"/>
      <c r="N384" s="9"/>
      <c r="O384" s="39"/>
      <c r="P384" s="39"/>
      <c r="Q384" s="39"/>
      <c r="R384" s="10"/>
      <c r="X384" s="12"/>
      <c r="Y384" s="12"/>
      <c r="AA384" s="13"/>
    </row>
    <row r="385" spans="2:27" ht="12.75" x14ac:dyDescent="0.2">
      <c r="B385" s="44"/>
      <c r="C385" s="10"/>
      <c r="D385" s="10"/>
      <c r="E385" s="39"/>
      <c r="F385" s="39"/>
      <c r="G385" s="39"/>
      <c r="H385" s="39"/>
      <c r="I385" s="9"/>
      <c r="J385" s="9"/>
      <c r="K385" s="39"/>
      <c r="L385" s="39"/>
      <c r="M385" s="39"/>
      <c r="N385" s="9"/>
      <c r="O385" s="39"/>
      <c r="P385" s="39"/>
      <c r="Q385" s="39"/>
      <c r="R385" s="10"/>
      <c r="X385" s="12"/>
      <c r="Y385" s="12"/>
      <c r="AA385" s="13"/>
    </row>
    <row r="386" spans="2:27" ht="12.75" x14ac:dyDescent="0.2">
      <c r="B386" s="44"/>
      <c r="C386" s="10"/>
      <c r="D386" s="10"/>
      <c r="E386" s="39"/>
      <c r="F386" s="39"/>
      <c r="G386" s="39"/>
      <c r="H386" s="39"/>
      <c r="I386" s="9"/>
      <c r="J386" s="9"/>
      <c r="K386" s="39"/>
      <c r="L386" s="39"/>
      <c r="M386" s="39"/>
      <c r="N386" s="9"/>
      <c r="O386" s="39"/>
      <c r="P386" s="39"/>
      <c r="Q386" s="39"/>
      <c r="R386" s="10"/>
      <c r="X386" s="12"/>
      <c r="Y386" s="12"/>
      <c r="AA386" s="13"/>
    </row>
    <row r="387" spans="2:27" ht="12.75" x14ac:dyDescent="0.2">
      <c r="B387" s="44"/>
      <c r="C387" s="10"/>
      <c r="D387" s="10"/>
      <c r="E387" s="39"/>
      <c r="F387" s="39"/>
      <c r="G387" s="39"/>
      <c r="H387" s="39"/>
      <c r="I387" s="9"/>
      <c r="J387" s="9"/>
      <c r="K387" s="39"/>
      <c r="L387" s="39"/>
      <c r="M387" s="39"/>
      <c r="N387" s="9"/>
      <c r="O387" s="39"/>
      <c r="P387" s="39"/>
      <c r="Q387" s="39"/>
      <c r="R387" s="10"/>
      <c r="X387" s="12"/>
      <c r="Y387" s="12"/>
      <c r="AA387" s="13"/>
    </row>
    <row r="388" spans="2:27" ht="12.75" x14ac:dyDescent="0.2">
      <c r="B388" s="44"/>
      <c r="C388" s="10"/>
      <c r="D388" s="10"/>
      <c r="E388" s="39"/>
      <c r="F388" s="39"/>
      <c r="G388" s="39"/>
      <c r="H388" s="39"/>
      <c r="I388" s="9"/>
      <c r="J388" s="9"/>
      <c r="K388" s="39"/>
      <c r="L388" s="39"/>
      <c r="M388" s="39"/>
      <c r="N388" s="9"/>
      <c r="O388" s="39"/>
      <c r="P388" s="39"/>
      <c r="Q388" s="39"/>
      <c r="R388" s="10"/>
      <c r="X388" s="12"/>
      <c r="Y388" s="12"/>
      <c r="AA388" s="13"/>
    </row>
    <row r="389" spans="2:27" ht="12.75" x14ac:dyDescent="0.2">
      <c r="B389" s="44"/>
      <c r="C389" s="10"/>
      <c r="D389" s="10"/>
      <c r="E389" s="39"/>
      <c r="F389" s="39"/>
      <c r="G389" s="39"/>
      <c r="H389" s="39"/>
      <c r="I389" s="9"/>
      <c r="J389" s="9"/>
      <c r="K389" s="39"/>
      <c r="L389" s="39"/>
      <c r="M389" s="39"/>
      <c r="N389" s="9"/>
      <c r="O389" s="39"/>
      <c r="P389" s="39"/>
      <c r="Q389" s="39"/>
      <c r="R389" s="10"/>
      <c r="X389" s="12"/>
      <c r="Y389" s="12"/>
      <c r="AA389" s="13"/>
    </row>
    <row r="390" spans="2:27" ht="12.75" x14ac:dyDescent="0.2">
      <c r="B390" s="44"/>
      <c r="C390" s="10"/>
      <c r="D390" s="10"/>
      <c r="E390" s="39"/>
      <c r="F390" s="39"/>
      <c r="G390" s="39"/>
      <c r="H390" s="39"/>
      <c r="I390" s="9"/>
      <c r="J390" s="9"/>
      <c r="K390" s="39"/>
      <c r="L390" s="39"/>
      <c r="M390" s="39"/>
      <c r="N390" s="9"/>
      <c r="O390" s="39"/>
      <c r="P390" s="39"/>
      <c r="Q390" s="39"/>
      <c r="R390" s="10"/>
      <c r="X390" s="12"/>
      <c r="Y390" s="12"/>
      <c r="AA390" s="13"/>
    </row>
    <row r="391" spans="2:27" ht="12.75" x14ac:dyDescent="0.2">
      <c r="B391" s="44"/>
      <c r="C391" s="10"/>
      <c r="D391" s="10"/>
      <c r="E391" s="39"/>
      <c r="F391" s="39"/>
      <c r="G391" s="39"/>
      <c r="H391" s="39"/>
      <c r="I391" s="9"/>
      <c r="J391" s="9"/>
      <c r="K391" s="39"/>
      <c r="L391" s="39"/>
      <c r="M391" s="39"/>
      <c r="N391" s="9"/>
      <c r="O391" s="39"/>
      <c r="P391" s="39"/>
      <c r="Q391" s="39"/>
      <c r="R391" s="10"/>
      <c r="X391" s="12"/>
      <c r="Y391" s="12"/>
      <c r="AA391" s="13"/>
    </row>
    <row r="392" spans="2:27" ht="12.75" x14ac:dyDescent="0.2">
      <c r="B392" s="44"/>
      <c r="C392" s="10"/>
      <c r="D392" s="10"/>
      <c r="E392" s="39"/>
      <c r="F392" s="39"/>
      <c r="G392" s="39"/>
      <c r="H392" s="39"/>
      <c r="I392" s="9"/>
      <c r="J392" s="9"/>
      <c r="K392" s="39"/>
      <c r="L392" s="39"/>
      <c r="M392" s="39"/>
      <c r="N392" s="9"/>
      <c r="O392" s="39"/>
      <c r="P392" s="39"/>
      <c r="Q392" s="39"/>
      <c r="R392" s="10"/>
      <c r="X392" s="12"/>
      <c r="Y392" s="12"/>
      <c r="AA392" s="13"/>
    </row>
    <row r="393" spans="2:27" ht="12.75" x14ac:dyDescent="0.2">
      <c r="B393" s="44"/>
      <c r="C393" s="10"/>
      <c r="D393" s="10"/>
      <c r="E393" s="39"/>
      <c r="F393" s="39"/>
      <c r="G393" s="39"/>
      <c r="H393" s="39"/>
      <c r="I393" s="9"/>
      <c r="J393" s="9"/>
      <c r="K393" s="39"/>
      <c r="L393" s="39"/>
      <c r="M393" s="39"/>
      <c r="N393" s="9"/>
      <c r="O393" s="39"/>
      <c r="P393" s="39"/>
      <c r="Q393" s="39"/>
      <c r="R393" s="10"/>
      <c r="X393" s="12"/>
      <c r="Y393" s="12"/>
      <c r="AA393" s="13"/>
    </row>
    <row r="394" spans="2:27" ht="12.75" x14ac:dyDescent="0.2">
      <c r="B394" s="44"/>
      <c r="C394" s="10"/>
      <c r="D394" s="10"/>
      <c r="E394" s="39"/>
      <c r="F394" s="39"/>
      <c r="G394" s="39"/>
      <c r="H394" s="39"/>
      <c r="I394" s="9"/>
      <c r="J394" s="9"/>
      <c r="K394" s="39"/>
      <c r="L394" s="39"/>
      <c r="M394" s="39"/>
      <c r="N394" s="9"/>
      <c r="O394" s="39"/>
      <c r="P394" s="39"/>
      <c r="Q394" s="39"/>
      <c r="R394" s="10"/>
      <c r="X394" s="12"/>
      <c r="Y394" s="12"/>
      <c r="AA394" s="13"/>
    </row>
    <row r="395" spans="2:27" ht="12.75" x14ac:dyDescent="0.2">
      <c r="B395" s="44"/>
      <c r="C395" s="10"/>
      <c r="D395" s="10"/>
      <c r="E395" s="39"/>
      <c r="F395" s="39"/>
      <c r="G395" s="39"/>
      <c r="H395" s="39"/>
      <c r="I395" s="9"/>
      <c r="J395" s="9"/>
      <c r="K395" s="39"/>
      <c r="L395" s="39"/>
      <c r="M395" s="39"/>
      <c r="N395" s="9"/>
      <c r="O395" s="39"/>
      <c r="P395" s="39"/>
      <c r="Q395" s="39"/>
      <c r="R395" s="10"/>
      <c r="X395" s="12"/>
      <c r="Y395" s="12"/>
      <c r="AA395" s="13"/>
    </row>
    <row r="396" spans="2:27" ht="12.75" x14ac:dyDescent="0.2">
      <c r="B396" s="44"/>
      <c r="C396" s="10"/>
      <c r="D396" s="10"/>
      <c r="E396" s="39"/>
      <c r="F396" s="39"/>
      <c r="G396" s="39"/>
      <c r="H396" s="39"/>
      <c r="I396" s="9"/>
      <c r="J396" s="9"/>
      <c r="K396" s="39"/>
      <c r="L396" s="39"/>
      <c r="M396" s="39"/>
      <c r="N396" s="9"/>
      <c r="O396" s="39"/>
      <c r="P396" s="39"/>
      <c r="Q396" s="39"/>
      <c r="R396" s="10"/>
      <c r="X396" s="12"/>
      <c r="Y396" s="12"/>
      <c r="AA396" s="13"/>
    </row>
    <row r="397" spans="2:27" ht="12.75" x14ac:dyDescent="0.2">
      <c r="B397" s="44"/>
      <c r="C397" s="10"/>
      <c r="D397" s="10"/>
      <c r="E397" s="39"/>
      <c r="F397" s="39"/>
      <c r="G397" s="39"/>
      <c r="H397" s="39"/>
      <c r="I397" s="9"/>
      <c r="J397" s="9"/>
      <c r="K397" s="39"/>
      <c r="L397" s="39"/>
      <c r="M397" s="39"/>
      <c r="N397" s="9"/>
      <c r="O397" s="39"/>
      <c r="P397" s="39"/>
      <c r="Q397" s="39"/>
      <c r="R397" s="10"/>
      <c r="X397" s="12"/>
      <c r="Y397" s="12"/>
      <c r="AA397" s="13"/>
    </row>
    <row r="398" spans="2:27" ht="12.75" x14ac:dyDescent="0.2">
      <c r="B398" s="44"/>
      <c r="C398" s="10"/>
      <c r="D398" s="10"/>
      <c r="E398" s="39"/>
      <c r="F398" s="39"/>
      <c r="G398" s="39"/>
      <c r="H398" s="39"/>
      <c r="I398" s="9"/>
      <c r="J398" s="9"/>
      <c r="K398" s="39"/>
      <c r="L398" s="39"/>
      <c r="M398" s="39"/>
      <c r="N398" s="9"/>
      <c r="O398" s="39"/>
      <c r="P398" s="39"/>
      <c r="Q398" s="39"/>
      <c r="R398" s="10"/>
      <c r="X398" s="12"/>
      <c r="Y398" s="12"/>
      <c r="AA398" s="13"/>
    </row>
    <row r="399" spans="2:27" ht="12.75" x14ac:dyDescent="0.2">
      <c r="B399" s="44"/>
      <c r="C399" s="10"/>
      <c r="D399" s="10"/>
      <c r="E399" s="39"/>
      <c r="F399" s="39"/>
      <c r="G399" s="39"/>
      <c r="H399" s="39"/>
      <c r="I399" s="9"/>
      <c r="J399" s="9"/>
      <c r="K399" s="39"/>
      <c r="L399" s="39"/>
      <c r="M399" s="39"/>
      <c r="N399" s="9"/>
      <c r="O399" s="39"/>
      <c r="P399" s="39"/>
      <c r="Q399" s="39"/>
      <c r="R399" s="10"/>
      <c r="X399" s="12"/>
      <c r="Y399" s="12"/>
      <c r="AA399" s="13"/>
    </row>
    <row r="400" spans="2:27" ht="12.75" x14ac:dyDescent="0.2">
      <c r="B400" s="44"/>
      <c r="C400" s="10"/>
      <c r="D400" s="10"/>
      <c r="E400" s="39"/>
      <c r="F400" s="39"/>
      <c r="G400" s="39"/>
      <c r="H400" s="39"/>
      <c r="I400" s="9"/>
      <c r="J400" s="9"/>
      <c r="K400" s="39"/>
      <c r="L400" s="39"/>
      <c r="M400" s="39"/>
      <c r="N400" s="9"/>
      <c r="O400" s="39"/>
      <c r="P400" s="39"/>
      <c r="Q400" s="39"/>
      <c r="R400" s="10"/>
      <c r="X400" s="12"/>
      <c r="Y400" s="12"/>
      <c r="AA400" s="13"/>
    </row>
    <row r="401" spans="2:27" ht="12.75" x14ac:dyDescent="0.2">
      <c r="B401" s="44"/>
      <c r="C401" s="10"/>
      <c r="D401" s="10"/>
      <c r="E401" s="39"/>
      <c r="F401" s="39"/>
      <c r="G401" s="39"/>
      <c r="H401" s="39"/>
      <c r="I401" s="9"/>
      <c r="J401" s="9"/>
      <c r="K401" s="39"/>
      <c r="L401" s="39"/>
      <c r="M401" s="39"/>
      <c r="N401" s="9"/>
      <c r="O401" s="39"/>
      <c r="P401" s="39"/>
      <c r="Q401" s="39"/>
      <c r="R401" s="10"/>
      <c r="X401" s="12"/>
      <c r="Y401" s="12"/>
      <c r="AA401" s="13"/>
    </row>
    <row r="402" spans="2:27" ht="12.75" x14ac:dyDescent="0.2">
      <c r="B402" s="44"/>
      <c r="C402" s="10"/>
      <c r="D402" s="10"/>
      <c r="E402" s="39"/>
      <c r="F402" s="39"/>
      <c r="G402" s="39"/>
      <c r="H402" s="39"/>
      <c r="I402" s="9"/>
      <c r="J402" s="9"/>
      <c r="K402" s="39"/>
      <c r="L402" s="39"/>
      <c r="M402" s="39"/>
      <c r="N402" s="9"/>
      <c r="O402" s="39"/>
      <c r="P402" s="39"/>
      <c r="Q402" s="39"/>
      <c r="R402" s="10"/>
      <c r="X402" s="12"/>
      <c r="Y402" s="12"/>
      <c r="AA402" s="13"/>
    </row>
    <row r="403" spans="2:27" ht="12.75" x14ac:dyDescent="0.2">
      <c r="B403" s="44"/>
      <c r="C403" s="10"/>
      <c r="D403" s="10"/>
      <c r="E403" s="39"/>
      <c r="F403" s="39"/>
      <c r="G403" s="39"/>
      <c r="H403" s="39"/>
      <c r="I403" s="9"/>
      <c r="J403" s="9"/>
      <c r="K403" s="39"/>
      <c r="L403" s="39"/>
      <c r="M403" s="39"/>
      <c r="N403" s="9"/>
      <c r="O403" s="39"/>
      <c r="P403" s="39"/>
      <c r="Q403" s="39"/>
      <c r="R403" s="10"/>
      <c r="X403" s="12"/>
      <c r="Y403" s="12"/>
      <c r="AA403" s="13"/>
    </row>
    <row r="404" spans="2:27" ht="12.75" x14ac:dyDescent="0.2">
      <c r="B404" s="44"/>
      <c r="C404" s="10"/>
      <c r="D404" s="10"/>
      <c r="E404" s="39"/>
      <c r="F404" s="39"/>
      <c r="G404" s="39"/>
      <c r="H404" s="39"/>
      <c r="I404" s="9"/>
      <c r="J404" s="9"/>
      <c r="K404" s="39"/>
      <c r="L404" s="39"/>
      <c r="M404" s="39"/>
      <c r="N404" s="9"/>
      <c r="O404" s="39"/>
      <c r="P404" s="39"/>
      <c r="Q404" s="39"/>
      <c r="R404" s="10"/>
      <c r="X404" s="12"/>
      <c r="Y404" s="12"/>
      <c r="AA404" s="13"/>
    </row>
    <row r="405" spans="2:27" ht="12.75" x14ac:dyDescent="0.2">
      <c r="B405" s="44"/>
      <c r="C405" s="10"/>
      <c r="D405" s="10"/>
      <c r="E405" s="39"/>
      <c r="F405" s="39"/>
      <c r="G405" s="39"/>
      <c r="H405" s="39"/>
      <c r="I405" s="9"/>
      <c r="J405" s="9"/>
      <c r="K405" s="39"/>
      <c r="L405" s="39"/>
      <c r="M405" s="39"/>
      <c r="N405" s="9"/>
      <c r="O405" s="39"/>
      <c r="P405" s="39"/>
      <c r="Q405" s="39"/>
      <c r="R405" s="10"/>
      <c r="X405" s="12"/>
      <c r="Y405" s="12"/>
      <c r="AA405" s="13"/>
    </row>
    <row r="406" spans="2:27" ht="12.75" x14ac:dyDescent="0.2">
      <c r="B406" s="44"/>
      <c r="C406" s="10"/>
      <c r="D406" s="10"/>
      <c r="E406" s="39"/>
      <c r="F406" s="39"/>
      <c r="G406" s="39"/>
      <c r="H406" s="39"/>
      <c r="I406" s="9"/>
      <c r="J406" s="9"/>
      <c r="K406" s="39"/>
      <c r="L406" s="39"/>
      <c r="M406" s="39"/>
      <c r="N406" s="9"/>
      <c r="O406" s="39"/>
      <c r="P406" s="39"/>
      <c r="Q406" s="39"/>
      <c r="R406" s="10"/>
      <c r="X406" s="12"/>
      <c r="Y406" s="12"/>
      <c r="AA406" s="13"/>
    </row>
    <row r="407" spans="2:27" ht="12.75" x14ac:dyDescent="0.2">
      <c r="B407" s="44"/>
      <c r="C407" s="10"/>
      <c r="D407" s="10"/>
      <c r="E407" s="39"/>
      <c r="F407" s="39"/>
      <c r="G407" s="39"/>
      <c r="H407" s="39"/>
      <c r="I407" s="9"/>
      <c r="J407" s="9"/>
      <c r="K407" s="39"/>
      <c r="L407" s="39"/>
      <c r="M407" s="39"/>
      <c r="N407" s="9"/>
      <c r="O407" s="39"/>
      <c r="P407" s="39"/>
      <c r="Q407" s="39"/>
      <c r="R407" s="10"/>
      <c r="X407" s="12"/>
      <c r="Y407" s="12"/>
      <c r="AA407" s="13"/>
    </row>
    <row r="408" spans="2:27" ht="12.75" x14ac:dyDescent="0.2">
      <c r="B408" s="44"/>
      <c r="C408" s="10"/>
      <c r="D408" s="10"/>
      <c r="E408" s="39"/>
      <c r="F408" s="39"/>
      <c r="G408" s="39"/>
      <c r="H408" s="39"/>
      <c r="I408" s="9"/>
      <c r="J408" s="9"/>
      <c r="K408" s="39"/>
      <c r="L408" s="39"/>
      <c r="M408" s="39"/>
      <c r="N408" s="9"/>
      <c r="O408" s="39"/>
      <c r="P408" s="39"/>
      <c r="Q408" s="39"/>
      <c r="R408" s="10"/>
      <c r="X408" s="12"/>
      <c r="Y408" s="12"/>
      <c r="AA408" s="13"/>
    </row>
    <row r="409" spans="2:27" ht="12.75" x14ac:dyDescent="0.2">
      <c r="B409" s="44"/>
      <c r="C409" s="10"/>
      <c r="D409" s="10"/>
      <c r="E409" s="39"/>
      <c r="F409" s="39"/>
      <c r="G409" s="39"/>
      <c r="H409" s="39"/>
      <c r="I409" s="9"/>
      <c r="J409" s="9"/>
      <c r="K409" s="39"/>
      <c r="L409" s="39"/>
      <c r="M409" s="39"/>
      <c r="N409" s="9"/>
      <c r="O409" s="39"/>
      <c r="P409" s="39"/>
      <c r="Q409" s="39"/>
      <c r="R409" s="10"/>
      <c r="X409" s="12"/>
      <c r="Y409" s="12"/>
      <c r="AA409" s="13"/>
    </row>
    <row r="410" spans="2:27" ht="12.75" x14ac:dyDescent="0.2">
      <c r="B410" s="44"/>
      <c r="C410" s="10"/>
      <c r="D410" s="10"/>
      <c r="E410" s="39"/>
      <c r="F410" s="39"/>
      <c r="G410" s="39"/>
      <c r="H410" s="39"/>
      <c r="I410" s="9"/>
      <c r="J410" s="9"/>
      <c r="K410" s="39"/>
      <c r="L410" s="39"/>
      <c r="M410" s="39"/>
      <c r="N410" s="9"/>
      <c r="O410" s="39"/>
      <c r="P410" s="39"/>
      <c r="Q410" s="39"/>
      <c r="R410" s="10"/>
      <c r="X410" s="12"/>
      <c r="Y410" s="12"/>
      <c r="AA410" s="13"/>
    </row>
    <row r="411" spans="2:27" ht="12.75" x14ac:dyDescent="0.2">
      <c r="B411" s="44"/>
      <c r="C411" s="10"/>
      <c r="D411" s="10"/>
      <c r="E411" s="39"/>
      <c r="F411" s="39"/>
      <c r="G411" s="39"/>
      <c r="H411" s="39"/>
      <c r="I411" s="9"/>
      <c r="J411" s="9"/>
      <c r="K411" s="39"/>
      <c r="L411" s="39"/>
      <c r="M411" s="39"/>
      <c r="N411" s="9"/>
      <c r="O411" s="39"/>
      <c r="P411" s="39"/>
      <c r="Q411" s="39"/>
      <c r="R411" s="10"/>
      <c r="X411" s="12"/>
      <c r="Y411" s="12"/>
      <c r="AA411" s="13"/>
    </row>
    <row r="412" spans="2:27" ht="12.75" x14ac:dyDescent="0.2">
      <c r="B412" s="44"/>
      <c r="C412" s="10"/>
      <c r="D412" s="10"/>
      <c r="E412" s="39"/>
      <c r="F412" s="39"/>
      <c r="G412" s="39"/>
      <c r="H412" s="39"/>
      <c r="I412" s="9"/>
      <c r="J412" s="9"/>
      <c r="K412" s="39"/>
      <c r="L412" s="39"/>
      <c r="M412" s="39"/>
      <c r="N412" s="9"/>
      <c r="O412" s="39"/>
      <c r="P412" s="39"/>
      <c r="Q412" s="39"/>
      <c r="R412" s="10"/>
      <c r="X412" s="12"/>
      <c r="Y412" s="12"/>
      <c r="AA412" s="13"/>
    </row>
    <row r="413" spans="2:27" ht="12.75" x14ac:dyDescent="0.2">
      <c r="B413" s="44"/>
      <c r="C413" s="10"/>
      <c r="D413" s="10"/>
      <c r="E413" s="39"/>
      <c r="F413" s="39"/>
      <c r="G413" s="39"/>
      <c r="H413" s="39"/>
      <c r="I413" s="9"/>
      <c r="J413" s="9"/>
      <c r="K413" s="39"/>
      <c r="L413" s="39"/>
      <c r="M413" s="39"/>
      <c r="N413" s="9"/>
      <c r="O413" s="39"/>
      <c r="P413" s="39"/>
      <c r="Q413" s="39"/>
      <c r="R413" s="10"/>
      <c r="X413" s="12"/>
      <c r="Y413" s="12"/>
      <c r="AA413" s="13"/>
    </row>
    <row r="414" spans="2:27" ht="12.75" x14ac:dyDescent="0.2">
      <c r="B414" s="44"/>
      <c r="C414" s="10"/>
      <c r="D414" s="10"/>
      <c r="E414" s="39"/>
      <c r="F414" s="39"/>
      <c r="G414" s="39"/>
      <c r="H414" s="39"/>
      <c r="I414" s="9"/>
      <c r="J414" s="9"/>
      <c r="K414" s="39"/>
      <c r="L414" s="39"/>
      <c r="M414" s="39"/>
      <c r="N414" s="9"/>
      <c r="O414" s="39"/>
      <c r="P414" s="39"/>
      <c r="Q414" s="39"/>
      <c r="R414" s="10"/>
      <c r="X414" s="12"/>
      <c r="Y414" s="12"/>
      <c r="AA414" s="13"/>
    </row>
    <row r="415" spans="2:27" ht="12.75" x14ac:dyDescent="0.2">
      <c r="B415" s="44"/>
      <c r="C415" s="10"/>
      <c r="D415" s="10"/>
      <c r="E415" s="39"/>
      <c r="F415" s="39"/>
      <c r="G415" s="39"/>
      <c r="H415" s="39"/>
      <c r="I415" s="9"/>
      <c r="J415" s="9"/>
      <c r="K415" s="39"/>
      <c r="L415" s="39"/>
      <c r="M415" s="39"/>
      <c r="N415" s="9"/>
      <c r="O415" s="39"/>
      <c r="P415" s="39"/>
      <c r="Q415" s="39"/>
      <c r="R415" s="10"/>
      <c r="X415" s="12"/>
      <c r="Y415" s="12"/>
      <c r="AA415" s="13"/>
    </row>
    <row r="416" spans="2:27" ht="12.75" x14ac:dyDescent="0.2">
      <c r="B416" s="44"/>
      <c r="C416" s="10"/>
      <c r="D416" s="10"/>
      <c r="E416" s="39"/>
      <c r="F416" s="39"/>
      <c r="G416" s="39"/>
      <c r="H416" s="39"/>
      <c r="I416" s="9"/>
      <c r="J416" s="9"/>
      <c r="K416" s="39"/>
      <c r="L416" s="39"/>
      <c r="M416" s="39"/>
      <c r="N416" s="9"/>
      <c r="O416" s="39"/>
      <c r="P416" s="39"/>
      <c r="Q416" s="39"/>
      <c r="R416" s="10"/>
      <c r="X416" s="12"/>
      <c r="Y416" s="12"/>
      <c r="AA416" s="13"/>
    </row>
    <row r="417" spans="2:27" ht="12.75" x14ac:dyDescent="0.2">
      <c r="B417" s="44"/>
      <c r="C417" s="10"/>
      <c r="D417" s="10"/>
      <c r="E417" s="39"/>
      <c r="F417" s="39"/>
      <c r="G417" s="39"/>
      <c r="H417" s="39"/>
      <c r="I417" s="9"/>
      <c r="J417" s="9"/>
      <c r="K417" s="39"/>
      <c r="L417" s="39"/>
      <c r="M417" s="39"/>
      <c r="N417" s="9"/>
      <c r="O417" s="39"/>
      <c r="P417" s="39"/>
      <c r="Q417" s="39"/>
      <c r="R417" s="10"/>
      <c r="X417" s="12"/>
      <c r="Y417" s="12"/>
      <c r="AA417" s="13"/>
    </row>
    <row r="418" spans="2:27" ht="12.75" x14ac:dyDescent="0.2">
      <c r="B418" s="44"/>
      <c r="C418" s="10"/>
      <c r="D418" s="10"/>
      <c r="E418" s="39"/>
      <c r="F418" s="39"/>
      <c r="G418" s="39"/>
      <c r="H418" s="39"/>
      <c r="I418" s="9"/>
      <c r="J418" s="9"/>
      <c r="K418" s="39"/>
      <c r="L418" s="39"/>
      <c r="M418" s="39"/>
      <c r="N418" s="9"/>
      <c r="O418" s="39"/>
      <c r="P418" s="39"/>
      <c r="Q418" s="39"/>
      <c r="R418" s="10"/>
      <c r="X418" s="12"/>
      <c r="Y418" s="12"/>
      <c r="AA418" s="13"/>
    </row>
    <row r="419" spans="2:27" ht="12.75" x14ac:dyDescent="0.2">
      <c r="B419" s="44"/>
      <c r="C419" s="10"/>
      <c r="D419" s="10"/>
      <c r="E419" s="39"/>
      <c r="F419" s="39"/>
      <c r="G419" s="39"/>
      <c r="H419" s="39"/>
      <c r="I419" s="9"/>
      <c r="J419" s="9"/>
      <c r="K419" s="39"/>
      <c r="L419" s="39"/>
      <c r="M419" s="39"/>
      <c r="N419" s="9"/>
      <c r="O419" s="39"/>
      <c r="P419" s="39"/>
      <c r="Q419" s="39"/>
      <c r="R419" s="10"/>
      <c r="X419" s="12"/>
      <c r="Y419" s="12"/>
      <c r="AA419" s="13"/>
    </row>
    <row r="420" spans="2:27" ht="12.75" x14ac:dyDescent="0.2">
      <c r="B420" s="44"/>
      <c r="C420" s="10"/>
      <c r="D420" s="10"/>
      <c r="E420" s="39"/>
      <c r="F420" s="39"/>
      <c r="G420" s="39"/>
      <c r="H420" s="39"/>
      <c r="I420" s="9"/>
      <c r="J420" s="9"/>
      <c r="K420" s="39"/>
      <c r="L420" s="39"/>
      <c r="M420" s="39"/>
      <c r="N420" s="9"/>
      <c r="O420" s="39"/>
      <c r="P420" s="39"/>
      <c r="Q420" s="39"/>
      <c r="R420" s="10"/>
      <c r="X420" s="12"/>
      <c r="Y420" s="12"/>
      <c r="AA420" s="13"/>
    </row>
    <row r="421" spans="2:27" ht="12.75" x14ac:dyDescent="0.2">
      <c r="B421" s="44"/>
      <c r="C421" s="10"/>
      <c r="D421" s="10"/>
      <c r="E421" s="39"/>
      <c r="F421" s="39"/>
      <c r="G421" s="39"/>
      <c r="H421" s="39"/>
      <c r="I421" s="9"/>
      <c r="J421" s="9"/>
      <c r="K421" s="39"/>
      <c r="L421" s="39"/>
      <c r="M421" s="39"/>
      <c r="N421" s="9"/>
      <c r="O421" s="39"/>
      <c r="P421" s="39"/>
      <c r="Q421" s="39"/>
      <c r="R421" s="10"/>
      <c r="X421" s="12"/>
      <c r="Y421" s="12"/>
      <c r="AA421" s="13"/>
    </row>
    <row r="422" spans="2:27" ht="12.75" x14ac:dyDescent="0.2">
      <c r="B422" s="44"/>
      <c r="C422" s="10"/>
      <c r="D422" s="10"/>
      <c r="E422" s="39"/>
      <c r="F422" s="39"/>
      <c r="G422" s="39"/>
      <c r="H422" s="39"/>
      <c r="I422" s="9"/>
      <c r="J422" s="9"/>
      <c r="K422" s="39"/>
      <c r="L422" s="39"/>
      <c r="M422" s="39"/>
      <c r="N422" s="9"/>
      <c r="O422" s="39"/>
      <c r="P422" s="39"/>
      <c r="Q422" s="39"/>
      <c r="R422" s="10"/>
      <c r="X422" s="12"/>
      <c r="Y422" s="12"/>
      <c r="AA422" s="13"/>
    </row>
    <row r="423" spans="2:27" ht="12.75" x14ac:dyDescent="0.2">
      <c r="B423" s="44"/>
      <c r="C423" s="10"/>
      <c r="D423" s="10"/>
      <c r="E423" s="39"/>
      <c r="F423" s="39"/>
      <c r="G423" s="39"/>
      <c r="H423" s="39"/>
      <c r="I423" s="9"/>
      <c r="J423" s="9"/>
      <c r="K423" s="39"/>
      <c r="L423" s="39"/>
      <c r="M423" s="39"/>
      <c r="N423" s="9"/>
      <c r="O423" s="39"/>
      <c r="P423" s="39"/>
      <c r="Q423" s="39"/>
      <c r="R423" s="10"/>
      <c r="X423" s="12"/>
      <c r="Y423" s="12"/>
      <c r="AA423" s="13"/>
    </row>
    <row r="424" spans="2:27" ht="12.75" x14ac:dyDescent="0.2">
      <c r="B424" s="44"/>
      <c r="C424" s="10"/>
      <c r="D424" s="10"/>
      <c r="E424" s="39"/>
      <c r="F424" s="39"/>
      <c r="G424" s="39"/>
      <c r="H424" s="39"/>
      <c r="I424" s="9"/>
      <c r="J424" s="9"/>
      <c r="K424" s="39"/>
      <c r="L424" s="39"/>
      <c r="M424" s="39"/>
      <c r="N424" s="9"/>
      <c r="O424" s="39"/>
      <c r="P424" s="39"/>
      <c r="Q424" s="39"/>
      <c r="R424" s="10"/>
      <c r="X424" s="12"/>
      <c r="Y424" s="12"/>
      <c r="AA424" s="13"/>
    </row>
    <row r="425" spans="2:27" ht="12.75" x14ac:dyDescent="0.2">
      <c r="B425" s="44"/>
      <c r="C425" s="10"/>
      <c r="D425" s="10"/>
      <c r="E425" s="39"/>
      <c r="F425" s="39"/>
      <c r="G425" s="39"/>
      <c r="H425" s="39"/>
      <c r="I425" s="9"/>
      <c r="J425" s="9"/>
      <c r="K425" s="39"/>
      <c r="L425" s="39"/>
      <c r="M425" s="39"/>
      <c r="N425" s="9"/>
      <c r="O425" s="39"/>
      <c r="P425" s="39"/>
      <c r="Q425" s="39"/>
      <c r="R425" s="10"/>
      <c r="X425" s="12"/>
      <c r="Y425" s="12"/>
      <c r="AA425" s="13"/>
    </row>
    <row r="426" spans="2:27" ht="12.75" x14ac:dyDescent="0.2">
      <c r="B426" s="44"/>
      <c r="C426" s="10"/>
      <c r="D426" s="10"/>
      <c r="E426" s="39"/>
      <c r="F426" s="39"/>
      <c r="G426" s="39"/>
      <c r="H426" s="39"/>
      <c r="I426" s="9"/>
      <c r="J426" s="9"/>
      <c r="K426" s="39"/>
      <c r="L426" s="39"/>
      <c r="M426" s="39"/>
      <c r="N426" s="9"/>
      <c r="O426" s="39"/>
      <c r="P426" s="39"/>
      <c r="Q426" s="39"/>
      <c r="R426" s="10"/>
      <c r="X426" s="12"/>
      <c r="Y426" s="12"/>
      <c r="AA426" s="13"/>
    </row>
    <row r="427" spans="2:27" ht="12.75" x14ac:dyDescent="0.2">
      <c r="B427" s="44"/>
      <c r="C427" s="10"/>
      <c r="D427" s="10"/>
      <c r="E427" s="39"/>
      <c r="F427" s="39"/>
      <c r="G427" s="39"/>
      <c r="H427" s="39"/>
      <c r="I427" s="9"/>
      <c r="J427" s="9"/>
      <c r="K427" s="39"/>
      <c r="L427" s="39"/>
      <c r="M427" s="39"/>
      <c r="N427" s="9"/>
      <c r="O427" s="39"/>
      <c r="P427" s="39"/>
      <c r="Q427" s="39"/>
      <c r="R427" s="10"/>
      <c r="X427" s="12"/>
      <c r="Y427" s="12"/>
      <c r="AA427" s="13"/>
    </row>
    <row r="428" spans="2:27" ht="12.75" x14ac:dyDescent="0.2">
      <c r="B428" s="44"/>
      <c r="C428" s="10"/>
      <c r="D428" s="10"/>
      <c r="E428" s="39"/>
      <c r="F428" s="39"/>
      <c r="G428" s="39"/>
      <c r="H428" s="39"/>
      <c r="I428" s="9"/>
      <c r="J428" s="9"/>
      <c r="K428" s="39"/>
      <c r="L428" s="39"/>
      <c r="M428" s="39"/>
      <c r="N428" s="9"/>
      <c r="O428" s="39"/>
      <c r="P428" s="39"/>
      <c r="Q428" s="39"/>
      <c r="R428" s="10"/>
      <c r="X428" s="12"/>
      <c r="Y428" s="12"/>
      <c r="AA428" s="13"/>
    </row>
    <row r="429" spans="2:27" ht="12.75" x14ac:dyDescent="0.2">
      <c r="B429" s="44"/>
      <c r="C429" s="10"/>
      <c r="D429" s="10"/>
      <c r="E429" s="39"/>
      <c r="F429" s="39"/>
      <c r="G429" s="39"/>
      <c r="H429" s="39"/>
      <c r="I429" s="9"/>
      <c r="J429" s="9"/>
      <c r="K429" s="39"/>
      <c r="L429" s="39"/>
      <c r="M429" s="39"/>
      <c r="N429" s="9"/>
      <c r="O429" s="39"/>
      <c r="P429" s="39"/>
      <c r="Q429" s="39"/>
      <c r="R429" s="10"/>
      <c r="X429" s="12"/>
      <c r="Y429" s="12"/>
      <c r="AA429" s="13"/>
    </row>
    <row r="430" spans="2:27" ht="12.75" x14ac:dyDescent="0.2">
      <c r="B430" s="44"/>
      <c r="C430" s="10"/>
      <c r="D430" s="10"/>
      <c r="E430" s="39"/>
      <c r="F430" s="39"/>
      <c r="G430" s="39"/>
      <c r="H430" s="39"/>
      <c r="I430" s="9"/>
      <c r="J430" s="9"/>
      <c r="K430" s="39"/>
      <c r="L430" s="39"/>
      <c r="M430" s="39"/>
      <c r="N430" s="9"/>
      <c r="O430" s="39"/>
      <c r="P430" s="39"/>
      <c r="Q430" s="39"/>
      <c r="R430" s="10"/>
      <c r="X430" s="12"/>
      <c r="Y430" s="12"/>
      <c r="AA430" s="13"/>
    </row>
    <row r="431" spans="2:27" ht="12.75" x14ac:dyDescent="0.2">
      <c r="B431" s="44"/>
      <c r="C431" s="10"/>
      <c r="D431" s="10"/>
      <c r="E431" s="39"/>
      <c r="F431" s="39"/>
      <c r="G431" s="39"/>
      <c r="H431" s="39"/>
      <c r="I431" s="9"/>
      <c r="J431" s="9"/>
      <c r="K431" s="39"/>
      <c r="L431" s="39"/>
      <c r="M431" s="39"/>
      <c r="N431" s="9"/>
      <c r="O431" s="39"/>
      <c r="P431" s="39"/>
      <c r="Q431" s="39"/>
      <c r="R431" s="10"/>
      <c r="X431" s="12"/>
      <c r="Y431" s="12"/>
      <c r="AA431" s="13"/>
    </row>
    <row r="432" spans="2:27" ht="12.75" x14ac:dyDescent="0.2">
      <c r="B432" s="44"/>
      <c r="C432" s="10"/>
      <c r="D432" s="10"/>
      <c r="E432" s="39"/>
      <c r="F432" s="39"/>
      <c r="G432" s="39"/>
      <c r="H432" s="39"/>
      <c r="I432" s="9"/>
      <c r="J432" s="9"/>
      <c r="K432" s="39"/>
      <c r="L432" s="39"/>
      <c r="M432" s="39"/>
      <c r="N432" s="9"/>
      <c r="O432" s="39"/>
      <c r="P432" s="39"/>
      <c r="Q432" s="39"/>
      <c r="R432" s="10"/>
      <c r="X432" s="12"/>
      <c r="Y432" s="12"/>
      <c r="AA432" s="13"/>
    </row>
    <row r="433" spans="2:27" ht="12.75" x14ac:dyDescent="0.2">
      <c r="B433" s="44"/>
      <c r="C433" s="10"/>
      <c r="D433" s="10"/>
      <c r="E433" s="39"/>
      <c r="F433" s="39"/>
      <c r="G433" s="39"/>
      <c r="H433" s="39"/>
      <c r="I433" s="9"/>
      <c r="J433" s="9"/>
      <c r="K433" s="39"/>
      <c r="L433" s="39"/>
      <c r="M433" s="39"/>
      <c r="N433" s="9"/>
      <c r="O433" s="39"/>
      <c r="P433" s="39"/>
      <c r="Q433" s="39"/>
      <c r="R433" s="10"/>
      <c r="X433" s="12"/>
      <c r="Y433" s="12"/>
      <c r="AA433" s="13"/>
    </row>
    <row r="434" spans="2:27" ht="12.75" x14ac:dyDescent="0.2">
      <c r="B434" s="44"/>
      <c r="C434" s="10"/>
      <c r="D434" s="10"/>
      <c r="E434" s="39"/>
      <c r="F434" s="39"/>
      <c r="G434" s="39"/>
      <c r="H434" s="39"/>
      <c r="I434" s="9"/>
      <c r="J434" s="9"/>
      <c r="K434" s="39"/>
      <c r="L434" s="39"/>
      <c r="M434" s="39"/>
      <c r="N434" s="9"/>
      <c r="O434" s="39"/>
      <c r="P434" s="39"/>
      <c r="Q434" s="39"/>
      <c r="R434" s="10"/>
      <c r="X434" s="12"/>
      <c r="Y434" s="12"/>
      <c r="AA434" s="13"/>
    </row>
    <row r="435" spans="2:27" ht="12.75" x14ac:dyDescent="0.2">
      <c r="B435" s="44"/>
      <c r="C435" s="10"/>
      <c r="D435" s="10"/>
      <c r="E435" s="39"/>
      <c r="F435" s="39"/>
      <c r="G435" s="39"/>
      <c r="H435" s="39"/>
      <c r="I435" s="9"/>
      <c r="J435" s="9"/>
      <c r="K435" s="39"/>
      <c r="L435" s="39"/>
      <c r="M435" s="39"/>
      <c r="N435" s="9"/>
      <c r="O435" s="39"/>
      <c r="P435" s="39"/>
      <c r="Q435" s="39"/>
      <c r="R435" s="10"/>
      <c r="X435" s="12"/>
      <c r="Y435" s="12"/>
      <c r="AA435" s="13"/>
    </row>
    <row r="436" spans="2:27" ht="12.75" x14ac:dyDescent="0.2">
      <c r="B436" s="44"/>
      <c r="C436" s="10"/>
      <c r="D436" s="10"/>
      <c r="E436" s="39"/>
      <c r="F436" s="39"/>
      <c r="G436" s="39"/>
      <c r="H436" s="39"/>
      <c r="I436" s="9"/>
      <c r="J436" s="9"/>
      <c r="K436" s="39"/>
      <c r="L436" s="39"/>
      <c r="M436" s="39"/>
      <c r="N436" s="9"/>
      <c r="O436" s="39"/>
      <c r="P436" s="39"/>
      <c r="Q436" s="39"/>
      <c r="R436" s="10"/>
      <c r="X436" s="12"/>
      <c r="Y436" s="12"/>
      <c r="AA436" s="13"/>
    </row>
    <row r="437" spans="2:27" ht="12.75" x14ac:dyDescent="0.2">
      <c r="B437" s="44"/>
      <c r="C437" s="10"/>
      <c r="D437" s="10"/>
      <c r="E437" s="39"/>
      <c r="F437" s="39"/>
      <c r="G437" s="39"/>
      <c r="H437" s="39"/>
      <c r="I437" s="9"/>
      <c r="J437" s="9"/>
      <c r="K437" s="39"/>
      <c r="L437" s="39"/>
      <c r="M437" s="39"/>
      <c r="N437" s="9"/>
      <c r="O437" s="39"/>
      <c r="P437" s="39"/>
      <c r="Q437" s="39"/>
      <c r="R437" s="10"/>
      <c r="X437" s="12"/>
      <c r="Y437" s="12"/>
      <c r="AA437" s="13"/>
    </row>
    <row r="438" spans="2:27" ht="12.75" x14ac:dyDescent="0.2">
      <c r="B438" s="44"/>
      <c r="C438" s="10"/>
      <c r="D438" s="10"/>
      <c r="E438" s="39"/>
      <c r="F438" s="39"/>
      <c r="G438" s="39"/>
      <c r="H438" s="39"/>
      <c r="I438" s="9"/>
      <c r="J438" s="9"/>
      <c r="K438" s="39"/>
      <c r="L438" s="39"/>
      <c r="M438" s="39"/>
      <c r="N438" s="9"/>
      <c r="O438" s="39"/>
      <c r="P438" s="39"/>
      <c r="Q438" s="39"/>
      <c r="R438" s="10"/>
      <c r="X438" s="12"/>
      <c r="Y438" s="12"/>
      <c r="AA438" s="13"/>
    </row>
    <row r="439" spans="2:27" ht="12.75" x14ac:dyDescent="0.2">
      <c r="B439" s="44"/>
      <c r="C439" s="10"/>
      <c r="D439" s="10"/>
      <c r="E439" s="39"/>
      <c r="F439" s="39"/>
      <c r="G439" s="39"/>
      <c r="H439" s="39"/>
      <c r="I439" s="9"/>
      <c r="J439" s="9"/>
      <c r="K439" s="39"/>
      <c r="L439" s="39"/>
      <c r="M439" s="39"/>
      <c r="N439" s="9"/>
      <c r="O439" s="39"/>
      <c r="P439" s="39"/>
      <c r="Q439" s="39"/>
      <c r="R439" s="10"/>
      <c r="X439" s="12"/>
      <c r="Y439" s="12"/>
      <c r="AA439" s="13"/>
    </row>
    <row r="440" spans="2:27" ht="12.75" x14ac:dyDescent="0.2">
      <c r="B440" s="44"/>
      <c r="C440" s="10"/>
      <c r="D440" s="10"/>
      <c r="E440" s="39"/>
      <c r="F440" s="39"/>
      <c r="G440" s="39"/>
      <c r="H440" s="39"/>
      <c r="I440" s="9"/>
      <c r="J440" s="9"/>
      <c r="K440" s="39"/>
      <c r="L440" s="39"/>
      <c r="M440" s="39"/>
      <c r="N440" s="9"/>
      <c r="O440" s="39"/>
      <c r="P440" s="39"/>
      <c r="Q440" s="39"/>
      <c r="R440" s="10"/>
      <c r="X440" s="12"/>
      <c r="Y440" s="12"/>
      <c r="AA440" s="13"/>
    </row>
    <row r="441" spans="2:27" ht="12.75" x14ac:dyDescent="0.2">
      <c r="B441" s="44"/>
      <c r="C441" s="10"/>
      <c r="D441" s="10"/>
      <c r="E441" s="39"/>
      <c r="F441" s="39"/>
      <c r="G441" s="39"/>
      <c r="H441" s="39"/>
      <c r="I441" s="9"/>
      <c r="J441" s="9"/>
      <c r="K441" s="39"/>
      <c r="L441" s="39"/>
      <c r="M441" s="39"/>
      <c r="N441" s="9"/>
      <c r="O441" s="39"/>
      <c r="P441" s="39"/>
      <c r="Q441" s="39"/>
      <c r="R441" s="10"/>
      <c r="X441" s="12"/>
      <c r="Y441" s="12"/>
      <c r="AA441" s="13"/>
    </row>
    <row r="442" spans="2:27" ht="12.75" x14ac:dyDescent="0.2">
      <c r="B442" s="44"/>
      <c r="C442" s="10"/>
      <c r="D442" s="10"/>
      <c r="E442" s="39"/>
      <c r="F442" s="39"/>
      <c r="G442" s="39"/>
      <c r="H442" s="39"/>
      <c r="I442" s="9"/>
      <c r="J442" s="9"/>
      <c r="K442" s="39"/>
      <c r="L442" s="39"/>
      <c r="M442" s="39"/>
      <c r="N442" s="9"/>
      <c r="O442" s="39"/>
      <c r="P442" s="39"/>
      <c r="Q442" s="39"/>
      <c r="R442" s="10"/>
      <c r="X442" s="12"/>
      <c r="Y442" s="12"/>
      <c r="AA442" s="13"/>
    </row>
    <row r="443" spans="2:27" ht="12.75" x14ac:dyDescent="0.2">
      <c r="B443" s="44"/>
      <c r="C443" s="10"/>
      <c r="D443" s="10"/>
      <c r="E443" s="39"/>
      <c r="F443" s="39"/>
      <c r="G443" s="39"/>
      <c r="H443" s="39"/>
      <c r="I443" s="9"/>
      <c r="J443" s="9"/>
      <c r="K443" s="39"/>
      <c r="L443" s="39"/>
      <c r="M443" s="39"/>
      <c r="N443" s="9"/>
      <c r="O443" s="39"/>
      <c r="P443" s="39"/>
      <c r="Q443" s="39"/>
      <c r="R443" s="10"/>
      <c r="X443" s="12"/>
      <c r="Y443" s="12"/>
      <c r="AA443" s="13"/>
    </row>
    <row r="444" spans="2:27" ht="12.75" x14ac:dyDescent="0.2">
      <c r="B444" s="44"/>
      <c r="C444" s="10"/>
      <c r="D444" s="10"/>
      <c r="E444" s="39"/>
      <c r="F444" s="39"/>
      <c r="G444" s="39"/>
      <c r="H444" s="39"/>
      <c r="I444" s="9"/>
      <c r="J444" s="9"/>
      <c r="K444" s="39"/>
      <c r="L444" s="39"/>
      <c r="M444" s="39"/>
      <c r="N444" s="9"/>
      <c r="O444" s="39"/>
      <c r="P444" s="39"/>
      <c r="Q444" s="39"/>
      <c r="R444" s="10"/>
      <c r="X444" s="12"/>
      <c r="Y444" s="12"/>
      <c r="AA444" s="13"/>
    </row>
    <row r="445" spans="2:27" ht="12.75" x14ac:dyDescent="0.2">
      <c r="B445" s="44"/>
      <c r="C445" s="10"/>
      <c r="D445" s="10"/>
      <c r="E445" s="39"/>
      <c r="F445" s="39"/>
      <c r="G445" s="39"/>
      <c r="H445" s="39"/>
      <c r="I445" s="9"/>
      <c r="J445" s="9"/>
      <c r="K445" s="39"/>
      <c r="L445" s="39"/>
      <c r="M445" s="39"/>
      <c r="N445" s="9"/>
      <c r="O445" s="39"/>
      <c r="P445" s="39"/>
      <c r="Q445" s="39"/>
      <c r="R445" s="10"/>
      <c r="X445" s="12"/>
      <c r="Y445" s="12"/>
      <c r="AA445" s="13"/>
    </row>
    <row r="446" spans="2:27" ht="12.75" x14ac:dyDescent="0.2">
      <c r="B446" s="44"/>
      <c r="C446" s="10"/>
      <c r="D446" s="10"/>
      <c r="E446" s="39"/>
      <c r="F446" s="39"/>
      <c r="G446" s="39"/>
      <c r="H446" s="39"/>
      <c r="I446" s="9"/>
      <c r="J446" s="9"/>
      <c r="K446" s="39"/>
      <c r="L446" s="39"/>
      <c r="M446" s="39"/>
      <c r="N446" s="9"/>
      <c r="O446" s="39"/>
      <c r="P446" s="39"/>
      <c r="Q446" s="39"/>
      <c r="R446" s="10"/>
      <c r="X446" s="12"/>
      <c r="Y446" s="12"/>
      <c r="AA446" s="13"/>
    </row>
    <row r="447" spans="2:27" ht="12.75" x14ac:dyDescent="0.2">
      <c r="B447" s="44"/>
      <c r="C447" s="10"/>
      <c r="D447" s="10"/>
      <c r="E447" s="39"/>
      <c r="F447" s="39"/>
      <c r="G447" s="39"/>
      <c r="H447" s="39"/>
      <c r="I447" s="9"/>
      <c r="J447" s="9"/>
      <c r="K447" s="39"/>
      <c r="L447" s="39"/>
      <c r="M447" s="39"/>
      <c r="N447" s="9"/>
      <c r="O447" s="39"/>
      <c r="P447" s="39"/>
      <c r="Q447" s="39"/>
      <c r="R447" s="10"/>
      <c r="X447" s="12"/>
      <c r="Y447" s="12"/>
      <c r="AA447" s="13"/>
    </row>
    <row r="448" spans="2:27" ht="12.75" x14ac:dyDescent="0.2">
      <c r="B448" s="44"/>
      <c r="C448" s="10"/>
      <c r="D448" s="10"/>
      <c r="E448" s="39"/>
      <c r="F448" s="39"/>
      <c r="G448" s="39"/>
      <c r="H448" s="39"/>
      <c r="I448" s="9"/>
      <c r="J448" s="9"/>
      <c r="K448" s="39"/>
      <c r="L448" s="39"/>
      <c r="M448" s="39"/>
      <c r="N448" s="9"/>
      <c r="O448" s="39"/>
      <c r="P448" s="39"/>
      <c r="Q448" s="39"/>
      <c r="R448" s="10"/>
      <c r="X448" s="12"/>
      <c r="Y448" s="12"/>
      <c r="AA448" s="13"/>
    </row>
    <row r="449" spans="2:27" ht="12.75" x14ac:dyDescent="0.2">
      <c r="B449" s="44"/>
      <c r="C449" s="10"/>
      <c r="D449" s="10"/>
      <c r="E449" s="39"/>
      <c r="F449" s="39"/>
      <c r="G449" s="39"/>
      <c r="H449" s="39"/>
      <c r="I449" s="9"/>
      <c r="J449" s="9"/>
      <c r="K449" s="39"/>
      <c r="L449" s="39"/>
      <c r="M449" s="39"/>
      <c r="N449" s="9"/>
      <c r="O449" s="39"/>
      <c r="P449" s="39"/>
      <c r="Q449" s="39"/>
      <c r="R449" s="10"/>
      <c r="X449" s="12"/>
      <c r="Y449" s="12"/>
      <c r="AA449" s="13"/>
    </row>
    <row r="450" spans="2:27" ht="12.75" x14ac:dyDescent="0.2">
      <c r="B450" s="44"/>
      <c r="C450" s="10"/>
      <c r="D450" s="10"/>
      <c r="E450" s="39"/>
      <c r="F450" s="39"/>
      <c r="G450" s="39"/>
      <c r="H450" s="39"/>
      <c r="I450" s="9"/>
      <c r="J450" s="9"/>
      <c r="K450" s="39"/>
      <c r="L450" s="39"/>
      <c r="M450" s="39"/>
      <c r="N450" s="9"/>
      <c r="O450" s="39"/>
      <c r="P450" s="39"/>
      <c r="Q450" s="39"/>
      <c r="R450" s="10"/>
      <c r="X450" s="12"/>
      <c r="Y450" s="12"/>
      <c r="AA450" s="13"/>
    </row>
    <row r="451" spans="2:27" ht="12.75" x14ac:dyDescent="0.2">
      <c r="B451" s="44"/>
      <c r="C451" s="10"/>
      <c r="D451" s="10"/>
      <c r="E451" s="39"/>
      <c r="F451" s="39"/>
      <c r="G451" s="39"/>
      <c r="H451" s="39"/>
      <c r="I451" s="9"/>
      <c r="J451" s="9"/>
      <c r="K451" s="39"/>
      <c r="L451" s="39"/>
      <c r="M451" s="39"/>
      <c r="N451" s="9"/>
      <c r="O451" s="39"/>
      <c r="P451" s="39"/>
      <c r="Q451" s="39"/>
      <c r="R451" s="10"/>
      <c r="X451" s="12"/>
      <c r="Y451" s="12"/>
      <c r="AA451" s="13"/>
    </row>
    <row r="452" spans="2:27" ht="12.75" x14ac:dyDescent="0.2">
      <c r="B452" s="44"/>
      <c r="C452" s="10"/>
      <c r="D452" s="10"/>
      <c r="E452" s="39"/>
      <c r="F452" s="39"/>
      <c r="G452" s="39"/>
      <c r="H452" s="39"/>
      <c r="I452" s="9"/>
      <c r="J452" s="9"/>
      <c r="K452" s="39"/>
      <c r="L452" s="39"/>
      <c r="M452" s="39"/>
      <c r="N452" s="9"/>
      <c r="O452" s="39"/>
      <c r="P452" s="39"/>
      <c r="Q452" s="39"/>
      <c r="R452" s="10"/>
      <c r="X452" s="12"/>
      <c r="Y452" s="12"/>
      <c r="AA452" s="13"/>
    </row>
    <row r="453" spans="2:27" ht="12.75" x14ac:dyDescent="0.2">
      <c r="B453" s="44"/>
      <c r="C453" s="10"/>
      <c r="D453" s="10"/>
      <c r="E453" s="39"/>
      <c r="F453" s="39"/>
      <c r="G453" s="39"/>
      <c r="H453" s="39"/>
      <c r="I453" s="9"/>
      <c r="J453" s="9"/>
      <c r="K453" s="39"/>
      <c r="L453" s="39"/>
      <c r="M453" s="39"/>
      <c r="N453" s="9"/>
      <c r="O453" s="39"/>
      <c r="P453" s="39"/>
      <c r="Q453" s="39"/>
      <c r="R453" s="10"/>
      <c r="X453" s="12"/>
      <c r="Y453" s="12"/>
      <c r="AA453" s="13"/>
    </row>
    <row r="454" spans="2:27" ht="12.75" x14ac:dyDescent="0.2">
      <c r="B454" s="44"/>
      <c r="C454" s="10"/>
      <c r="D454" s="10"/>
      <c r="E454" s="39"/>
      <c r="F454" s="39"/>
      <c r="G454" s="39"/>
      <c r="H454" s="39"/>
      <c r="I454" s="9"/>
      <c r="J454" s="9"/>
      <c r="K454" s="39"/>
      <c r="L454" s="39"/>
      <c r="M454" s="39"/>
      <c r="N454" s="9"/>
      <c r="O454" s="39"/>
      <c r="P454" s="39"/>
      <c r="Q454" s="39"/>
      <c r="R454" s="10"/>
      <c r="X454" s="12"/>
      <c r="Y454" s="12"/>
      <c r="AA454" s="13"/>
    </row>
    <row r="455" spans="2:27" ht="12.75" x14ac:dyDescent="0.2">
      <c r="B455" s="44"/>
      <c r="C455" s="10"/>
      <c r="D455" s="10"/>
      <c r="E455" s="39"/>
      <c r="F455" s="39"/>
      <c r="G455" s="39"/>
      <c r="H455" s="39"/>
      <c r="I455" s="9"/>
      <c r="J455" s="9"/>
      <c r="K455" s="39"/>
      <c r="L455" s="39"/>
      <c r="M455" s="39"/>
      <c r="N455" s="9"/>
      <c r="O455" s="39"/>
      <c r="P455" s="39"/>
      <c r="Q455" s="39"/>
      <c r="R455" s="10"/>
      <c r="X455" s="12"/>
      <c r="Y455" s="12"/>
      <c r="AA455" s="13"/>
    </row>
    <row r="456" spans="2:27" ht="12.75" x14ac:dyDescent="0.2">
      <c r="B456" s="44"/>
      <c r="C456" s="10"/>
      <c r="D456" s="10"/>
      <c r="E456" s="39"/>
      <c r="F456" s="39"/>
      <c r="G456" s="39"/>
      <c r="H456" s="39"/>
      <c r="I456" s="9"/>
      <c r="J456" s="9"/>
      <c r="K456" s="39"/>
      <c r="L456" s="39"/>
      <c r="M456" s="39"/>
      <c r="N456" s="9"/>
      <c r="O456" s="39"/>
      <c r="P456" s="39"/>
      <c r="Q456" s="39"/>
      <c r="R456" s="10"/>
      <c r="X456" s="12"/>
      <c r="Y456" s="12"/>
      <c r="AA456" s="13"/>
    </row>
    <row r="457" spans="2:27" ht="12.75" x14ac:dyDescent="0.2">
      <c r="B457" s="44"/>
      <c r="C457" s="10"/>
      <c r="D457" s="10"/>
      <c r="E457" s="39"/>
      <c r="F457" s="39"/>
      <c r="G457" s="39"/>
      <c r="H457" s="39"/>
      <c r="I457" s="9"/>
      <c r="J457" s="9"/>
      <c r="K457" s="39"/>
      <c r="L457" s="39"/>
      <c r="M457" s="39"/>
      <c r="N457" s="9"/>
      <c r="O457" s="39"/>
      <c r="P457" s="39"/>
      <c r="Q457" s="39"/>
      <c r="R457" s="10"/>
      <c r="X457" s="12"/>
      <c r="Y457" s="12"/>
      <c r="AA457" s="13"/>
    </row>
    <row r="458" spans="2:27" ht="12.75" x14ac:dyDescent="0.2">
      <c r="B458" s="44"/>
      <c r="C458" s="10"/>
      <c r="D458" s="10"/>
      <c r="E458" s="39"/>
      <c r="F458" s="39"/>
      <c r="G458" s="39"/>
      <c r="H458" s="39"/>
      <c r="I458" s="9"/>
      <c r="J458" s="9"/>
      <c r="K458" s="39"/>
      <c r="L458" s="39"/>
      <c r="M458" s="39"/>
      <c r="N458" s="9"/>
      <c r="O458" s="39"/>
      <c r="P458" s="39"/>
      <c r="Q458" s="39"/>
      <c r="R458" s="10"/>
      <c r="X458" s="12"/>
      <c r="Y458" s="12"/>
      <c r="AA458" s="13"/>
    </row>
    <row r="459" spans="2:27" ht="12.75" x14ac:dyDescent="0.2">
      <c r="B459" s="44"/>
      <c r="C459" s="10"/>
      <c r="D459" s="10"/>
      <c r="E459" s="39"/>
      <c r="F459" s="39"/>
      <c r="G459" s="39"/>
      <c r="H459" s="39"/>
      <c r="I459" s="9"/>
      <c r="J459" s="9"/>
      <c r="K459" s="39"/>
      <c r="L459" s="39"/>
      <c r="M459" s="39"/>
      <c r="N459" s="9"/>
      <c r="O459" s="39"/>
      <c r="P459" s="39"/>
      <c r="Q459" s="39"/>
      <c r="R459" s="10"/>
      <c r="X459" s="12"/>
      <c r="Y459" s="12"/>
      <c r="AA459" s="13"/>
    </row>
    <row r="460" spans="2:27" ht="12.75" x14ac:dyDescent="0.2">
      <c r="B460" s="44"/>
      <c r="C460" s="10"/>
      <c r="D460" s="10"/>
      <c r="E460" s="39"/>
      <c r="F460" s="39"/>
      <c r="G460" s="39"/>
      <c r="H460" s="39"/>
      <c r="I460" s="9"/>
      <c r="J460" s="9"/>
      <c r="K460" s="39"/>
      <c r="L460" s="39"/>
      <c r="M460" s="39"/>
      <c r="N460" s="9"/>
      <c r="O460" s="39"/>
      <c r="P460" s="39"/>
      <c r="Q460" s="39"/>
      <c r="R460" s="10"/>
      <c r="X460" s="12"/>
      <c r="Y460" s="12"/>
      <c r="AA460" s="13"/>
    </row>
    <row r="461" spans="2:27" ht="12.75" x14ac:dyDescent="0.2">
      <c r="B461" s="44"/>
      <c r="C461" s="10"/>
      <c r="D461" s="10"/>
      <c r="E461" s="39"/>
      <c r="F461" s="39"/>
      <c r="G461" s="39"/>
      <c r="H461" s="39"/>
      <c r="I461" s="9"/>
      <c r="J461" s="9"/>
      <c r="K461" s="39"/>
      <c r="L461" s="39"/>
      <c r="M461" s="39"/>
      <c r="N461" s="9"/>
      <c r="O461" s="39"/>
      <c r="P461" s="39"/>
      <c r="Q461" s="39"/>
      <c r="R461" s="10"/>
      <c r="X461" s="12"/>
      <c r="Y461" s="12"/>
      <c r="AA461" s="13"/>
    </row>
    <row r="462" spans="2:27" ht="12.75" x14ac:dyDescent="0.2">
      <c r="B462" s="44"/>
      <c r="C462" s="10"/>
      <c r="D462" s="10"/>
      <c r="E462" s="39"/>
      <c r="F462" s="39"/>
      <c r="G462" s="39"/>
      <c r="H462" s="39"/>
      <c r="I462" s="9"/>
      <c r="J462" s="9"/>
      <c r="K462" s="39"/>
      <c r="L462" s="39"/>
      <c r="M462" s="39"/>
      <c r="N462" s="9"/>
      <c r="O462" s="39"/>
      <c r="P462" s="39"/>
      <c r="Q462" s="39"/>
      <c r="R462" s="10"/>
      <c r="X462" s="12"/>
      <c r="Y462" s="12"/>
      <c r="AA462" s="13"/>
    </row>
    <row r="463" spans="2:27" ht="12.75" x14ac:dyDescent="0.2">
      <c r="B463" s="44"/>
      <c r="C463" s="10"/>
      <c r="D463" s="10"/>
      <c r="E463" s="39"/>
      <c r="F463" s="39"/>
      <c r="G463" s="39"/>
      <c r="H463" s="39"/>
      <c r="I463" s="9"/>
      <c r="J463" s="9"/>
      <c r="K463" s="39"/>
      <c r="L463" s="39"/>
      <c r="M463" s="39"/>
      <c r="N463" s="9"/>
      <c r="O463" s="39"/>
      <c r="P463" s="39"/>
      <c r="Q463" s="39"/>
      <c r="R463" s="10"/>
      <c r="X463" s="12"/>
      <c r="Y463" s="12"/>
      <c r="AA463" s="13"/>
    </row>
    <row r="464" spans="2:27" ht="12.75" x14ac:dyDescent="0.2">
      <c r="B464" s="44"/>
      <c r="C464" s="10"/>
      <c r="D464" s="10"/>
      <c r="E464" s="39"/>
      <c r="F464" s="39"/>
      <c r="G464" s="39"/>
      <c r="H464" s="39"/>
      <c r="I464" s="9"/>
      <c r="J464" s="9"/>
      <c r="K464" s="39"/>
      <c r="L464" s="39"/>
      <c r="M464" s="39"/>
      <c r="N464" s="9"/>
      <c r="O464" s="39"/>
      <c r="P464" s="39"/>
      <c r="Q464" s="39"/>
      <c r="R464" s="10"/>
      <c r="X464" s="12"/>
      <c r="Y464" s="12"/>
      <c r="AA464" s="13"/>
    </row>
    <row r="465" spans="2:27" ht="12.75" x14ac:dyDescent="0.2">
      <c r="B465" s="44"/>
      <c r="C465" s="10"/>
      <c r="D465" s="10"/>
      <c r="E465" s="39"/>
      <c r="F465" s="39"/>
      <c r="G465" s="39"/>
      <c r="H465" s="39"/>
      <c r="I465" s="9"/>
      <c r="J465" s="9"/>
      <c r="K465" s="39"/>
      <c r="L465" s="39"/>
      <c r="M465" s="39"/>
      <c r="N465" s="9"/>
      <c r="O465" s="39"/>
      <c r="P465" s="39"/>
      <c r="Q465" s="39"/>
      <c r="R465" s="10"/>
      <c r="X465" s="12"/>
      <c r="Y465" s="12"/>
      <c r="AA465" s="13"/>
    </row>
    <row r="466" spans="2:27" ht="12.75" x14ac:dyDescent="0.2">
      <c r="B466" s="44"/>
      <c r="C466" s="10"/>
      <c r="D466" s="10"/>
      <c r="E466" s="39"/>
      <c r="F466" s="39"/>
      <c r="G466" s="39"/>
      <c r="H466" s="39"/>
      <c r="I466" s="9"/>
      <c r="J466" s="9"/>
      <c r="K466" s="39"/>
      <c r="L466" s="39"/>
      <c r="M466" s="39"/>
      <c r="N466" s="9"/>
      <c r="O466" s="39"/>
      <c r="P466" s="39"/>
      <c r="Q466" s="39"/>
      <c r="R466" s="10"/>
      <c r="X466" s="12"/>
      <c r="Y466" s="12"/>
      <c r="AA466" s="13"/>
    </row>
    <row r="467" spans="2:27" ht="12.75" x14ac:dyDescent="0.2">
      <c r="B467" s="44"/>
      <c r="C467" s="10"/>
      <c r="D467" s="10"/>
      <c r="E467" s="39"/>
      <c r="F467" s="39"/>
      <c r="G467" s="39"/>
      <c r="H467" s="39"/>
      <c r="I467" s="9"/>
      <c r="J467" s="9"/>
      <c r="K467" s="39"/>
      <c r="L467" s="39"/>
      <c r="M467" s="39"/>
      <c r="N467" s="9"/>
      <c r="O467" s="39"/>
      <c r="P467" s="39"/>
      <c r="Q467" s="39"/>
      <c r="R467" s="10"/>
      <c r="X467" s="12"/>
      <c r="Y467" s="12"/>
      <c r="AA467" s="13"/>
    </row>
    <row r="468" spans="2:27" ht="12.75" x14ac:dyDescent="0.2">
      <c r="B468" s="44"/>
      <c r="C468" s="10"/>
      <c r="D468" s="10"/>
      <c r="E468" s="39"/>
      <c r="F468" s="39"/>
      <c r="G468" s="39"/>
      <c r="H468" s="39"/>
      <c r="I468" s="9"/>
      <c r="J468" s="9"/>
      <c r="K468" s="39"/>
      <c r="L468" s="39"/>
      <c r="M468" s="39"/>
      <c r="N468" s="9"/>
      <c r="O468" s="39"/>
      <c r="P468" s="39"/>
      <c r="Q468" s="39"/>
      <c r="R468" s="10"/>
      <c r="X468" s="12"/>
      <c r="Y468" s="12"/>
      <c r="AA468" s="13"/>
    </row>
    <row r="469" spans="2:27" ht="12.75" x14ac:dyDescent="0.2">
      <c r="B469" s="44"/>
      <c r="C469" s="10"/>
      <c r="D469" s="10"/>
      <c r="E469" s="39"/>
      <c r="F469" s="39"/>
      <c r="G469" s="39"/>
      <c r="H469" s="39"/>
      <c r="I469" s="9"/>
      <c r="J469" s="9"/>
      <c r="K469" s="39"/>
      <c r="L469" s="39"/>
      <c r="M469" s="39"/>
      <c r="N469" s="9"/>
      <c r="O469" s="39"/>
      <c r="P469" s="39"/>
      <c r="Q469" s="39"/>
      <c r="R469" s="10"/>
      <c r="X469" s="12"/>
      <c r="Y469" s="12"/>
      <c r="AA469" s="13"/>
    </row>
    <row r="470" spans="2:27" ht="12.75" x14ac:dyDescent="0.2">
      <c r="B470" s="44"/>
      <c r="C470" s="10"/>
      <c r="D470" s="10"/>
      <c r="E470" s="39"/>
      <c r="F470" s="39"/>
      <c r="G470" s="39"/>
      <c r="H470" s="39"/>
      <c r="I470" s="9"/>
      <c r="J470" s="9"/>
      <c r="K470" s="39"/>
      <c r="L470" s="39"/>
      <c r="M470" s="39"/>
      <c r="N470" s="9"/>
      <c r="O470" s="39"/>
      <c r="P470" s="39"/>
      <c r="Q470" s="39"/>
      <c r="R470" s="10"/>
      <c r="X470" s="12"/>
      <c r="Y470" s="12"/>
      <c r="AA470" s="13"/>
    </row>
    <row r="471" spans="2:27" ht="12.75" x14ac:dyDescent="0.2">
      <c r="B471" s="44"/>
      <c r="C471" s="10"/>
      <c r="D471" s="10"/>
      <c r="E471" s="39"/>
      <c r="F471" s="39"/>
      <c r="G471" s="39"/>
      <c r="H471" s="39"/>
      <c r="I471" s="9"/>
      <c r="J471" s="9"/>
      <c r="K471" s="39"/>
      <c r="L471" s="39"/>
      <c r="M471" s="39"/>
      <c r="N471" s="9"/>
      <c r="O471" s="39"/>
      <c r="P471" s="39"/>
      <c r="Q471" s="39"/>
      <c r="R471" s="10"/>
      <c r="X471" s="12"/>
      <c r="Y471" s="12"/>
      <c r="AA471" s="13"/>
    </row>
    <row r="472" spans="2:27" ht="12.75" x14ac:dyDescent="0.2">
      <c r="B472" s="44"/>
      <c r="C472" s="10"/>
      <c r="D472" s="10"/>
      <c r="E472" s="39"/>
      <c r="F472" s="39"/>
      <c r="G472" s="39"/>
      <c r="H472" s="39"/>
      <c r="I472" s="9"/>
      <c r="J472" s="9"/>
      <c r="K472" s="39"/>
      <c r="L472" s="39"/>
      <c r="M472" s="39"/>
      <c r="N472" s="9"/>
      <c r="O472" s="39"/>
      <c r="P472" s="39"/>
      <c r="Q472" s="39"/>
      <c r="R472" s="10"/>
      <c r="X472" s="12"/>
      <c r="Y472" s="12"/>
      <c r="AA472" s="13"/>
    </row>
    <row r="473" spans="2:27" ht="12.75" x14ac:dyDescent="0.2">
      <c r="B473" s="44"/>
      <c r="C473" s="10"/>
      <c r="D473" s="10"/>
      <c r="E473" s="39"/>
      <c r="F473" s="39"/>
      <c r="G473" s="39"/>
      <c r="H473" s="39"/>
      <c r="I473" s="9"/>
      <c r="J473" s="9"/>
      <c r="K473" s="39"/>
      <c r="L473" s="39"/>
      <c r="M473" s="39"/>
      <c r="N473" s="9"/>
      <c r="O473" s="39"/>
      <c r="P473" s="39"/>
      <c r="Q473" s="39"/>
      <c r="R473" s="10"/>
      <c r="X473" s="12"/>
      <c r="Y473" s="12"/>
      <c r="AA473" s="13"/>
    </row>
    <row r="474" spans="2:27" ht="12.75" x14ac:dyDescent="0.2">
      <c r="B474" s="44"/>
      <c r="C474" s="10"/>
      <c r="D474" s="10"/>
      <c r="E474" s="39"/>
      <c r="F474" s="39"/>
      <c r="G474" s="39"/>
      <c r="H474" s="39"/>
      <c r="I474" s="9"/>
      <c r="J474" s="9"/>
      <c r="K474" s="39"/>
      <c r="L474" s="39"/>
      <c r="M474" s="39"/>
      <c r="N474" s="9"/>
      <c r="O474" s="39"/>
      <c r="P474" s="39"/>
      <c r="Q474" s="39"/>
      <c r="R474" s="10"/>
      <c r="X474" s="12"/>
      <c r="Y474" s="12"/>
      <c r="AA474" s="13"/>
    </row>
    <row r="475" spans="2:27" ht="12.75" x14ac:dyDescent="0.2">
      <c r="B475" s="44"/>
      <c r="C475" s="10"/>
      <c r="D475" s="10"/>
      <c r="E475" s="39"/>
      <c r="F475" s="39"/>
      <c r="G475" s="39"/>
      <c r="H475" s="39"/>
      <c r="I475" s="9"/>
      <c r="J475" s="9"/>
      <c r="K475" s="39"/>
      <c r="L475" s="39"/>
      <c r="M475" s="39"/>
      <c r="N475" s="9"/>
      <c r="O475" s="39"/>
      <c r="P475" s="39"/>
      <c r="Q475" s="39"/>
      <c r="R475" s="10"/>
      <c r="X475" s="12"/>
      <c r="Y475" s="12"/>
      <c r="AA475" s="13"/>
    </row>
    <row r="476" spans="2:27" ht="12.75" x14ac:dyDescent="0.2">
      <c r="B476" s="44"/>
      <c r="C476" s="10"/>
      <c r="D476" s="10"/>
      <c r="E476" s="39"/>
      <c r="F476" s="39"/>
      <c r="G476" s="39"/>
      <c r="H476" s="39"/>
      <c r="I476" s="9"/>
      <c r="J476" s="9"/>
      <c r="K476" s="39"/>
      <c r="L476" s="39"/>
      <c r="M476" s="39"/>
      <c r="N476" s="9"/>
      <c r="O476" s="39"/>
      <c r="P476" s="39"/>
      <c r="Q476" s="39"/>
      <c r="R476" s="10"/>
      <c r="X476" s="12"/>
      <c r="Y476" s="12"/>
      <c r="AA476" s="13"/>
    </row>
    <row r="477" spans="2:27" ht="12.75" x14ac:dyDescent="0.2">
      <c r="B477" s="44"/>
      <c r="C477" s="10"/>
      <c r="D477" s="10"/>
      <c r="E477" s="39"/>
      <c r="F477" s="39"/>
      <c r="G477" s="39"/>
      <c r="H477" s="39"/>
      <c r="I477" s="9"/>
      <c r="J477" s="9"/>
      <c r="K477" s="39"/>
      <c r="L477" s="39"/>
      <c r="M477" s="39"/>
      <c r="N477" s="9"/>
      <c r="O477" s="39"/>
      <c r="P477" s="39"/>
      <c r="Q477" s="39"/>
      <c r="R477" s="10"/>
      <c r="X477" s="12"/>
      <c r="Y477" s="12"/>
      <c r="AA477" s="13"/>
    </row>
    <row r="478" spans="2:27" ht="12.75" x14ac:dyDescent="0.2">
      <c r="B478" s="44"/>
      <c r="C478" s="10"/>
      <c r="D478" s="10"/>
      <c r="E478" s="39"/>
      <c r="F478" s="39"/>
      <c r="G478" s="39"/>
      <c r="H478" s="39"/>
      <c r="I478" s="9"/>
      <c r="J478" s="9"/>
      <c r="K478" s="39"/>
      <c r="L478" s="39"/>
      <c r="M478" s="39"/>
      <c r="N478" s="9"/>
      <c r="O478" s="39"/>
      <c r="P478" s="39"/>
      <c r="Q478" s="39"/>
      <c r="R478" s="10"/>
      <c r="X478" s="12"/>
      <c r="Y478" s="12"/>
      <c r="AA478" s="13"/>
    </row>
    <row r="479" spans="2:27" ht="12.75" x14ac:dyDescent="0.2">
      <c r="B479" s="44"/>
      <c r="C479" s="10"/>
      <c r="D479" s="10"/>
      <c r="E479" s="39"/>
      <c r="F479" s="39"/>
      <c r="G479" s="39"/>
      <c r="H479" s="39"/>
      <c r="I479" s="9"/>
      <c r="J479" s="9"/>
      <c r="K479" s="39"/>
      <c r="L479" s="39"/>
      <c r="M479" s="39"/>
      <c r="N479" s="9"/>
      <c r="O479" s="39"/>
      <c r="P479" s="39"/>
      <c r="Q479" s="39"/>
      <c r="R479" s="10"/>
      <c r="X479" s="12"/>
      <c r="Y479" s="12"/>
      <c r="AA479" s="13"/>
    </row>
    <row r="480" spans="2:27" ht="12.75" x14ac:dyDescent="0.2">
      <c r="B480" s="44"/>
      <c r="C480" s="10"/>
      <c r="D480" s="10"/>
      <c r="E480" s="39"/>
      <c r="F480" s="39"/>
      <c r="G480" s="39"/>
      <c r="H480" s="39"/>
      <c r="I480" s="9"/>
      <c r="J480" s="9"/>
      <c r="K480" s="39"/>
      <c r="L480" s="39"/>
      <c r="M480" s="39"/>
      <c r="N480" s="9"/>
      <c r="O480" s="39"/>
      <c r="P480" s="39"/>
      <c r="Q480" s="39"/>
      <c r="R480" s="10"/>
      <c r="X480" s="12"/>
      <c r="Y480" s="12"/>
      <c r="AA480" s="13"/>
    </row>
    <row r="481" spans="2:27" ht="12.75" x14ac:dyDescent="0.2">
      <c r="B481" s="44"/>
      <c r="C481" s="10"/>
      <c r="D481" s="10"/>
      <c r="E481" s="39"/>
      <c r="F481" s="39"/>
      <c r="G481" s="39"/>
      <c r="H481" s="39"/>
      <c r="I481" s="9"/>
      <c r="J481" s="9"/>
      <c r="K481" s="39"/>
      <c r="L481" s="39"/>
      <c r="M481" s="39"/>
      <c r="N481" s="9"/>
      <c r="O481" s="39"/>
      <c r="P481" s="39"/>
      <c r="Q481" s="39"/>
      <c r="R481" s="10"/>
      <c r="X481" s="12"/>
      <c r="Y481" s="12"/>
      <c r="AA481" s="13"/>
    </row>
    <row r="482" spans="2:27" ht="12.75" x14ac:dyDescent="0.2">
      <c r="B482" s="44"/>
      <c r="C482" s="10"/>
      <c r="D482" s="10"/>
      <c r="E482" s="39"/>
      <c r="F482" s="39"/>
      <c r="G482" s="39"/>
      <c r="H482" s="39"/>
      <c r="I482" s="9"/>
      <c r="J482" s="9"/>
      <c r="K482" s="39"/>
      <c r="L482" s="39"/>
      <c r="M482" s="39"/>
      <c r="N482" s="9"/>
      <c r="O482" s="39"/>
      <c r="P482" s="39"/>
      <c r="Q482" s="39"/>
      <c r="R482" s="10"/>
      <c r="X482" s="12"/>
      <c r="Y482" s="12"/>
      <c r="AA482" s="13"/>
    </row>
    <row r="483" spans="2:27" ht="12.75" x14ac:dyDescent="0.2">
      <c r="B483" s="44"/>
      <c r="C483" s="10"/>
      <c r="D483" s="10"/>
      <c r="E483" s="39"/>
      <c r="F483" s="39"/>
      <c r="G483" s="39"/>
      <c r="H483" s="39"/>
      <c r="I483" s="9"/>
      <c r="J483" s="9"/>
      <c r="K483" s="39"/>
      <c r="L483" s="39"/>
      <c r="M483" s="39"/>
      <c r="N483" s="9"/>
      <c r="O483" s="39"/>
      <c r="P483" s="39"/>
      <c r="Q483" s="39"/>
      <c r="R483" s="10"/>
      <c r="X483" s="12"/>
      <c r="Y483" s="12"/>
      <c r="AA483" s="13"/>
    </row>
    <row r="484" spans="2:27" ht="12.75" x14ac:dyDescent="0.2">
      <c r="B484" s="44"/>
      <c r="C484" s="10"/>
      <c r="D484" s="10"/>
      <c r="E484" s="39"/>
      <c r="F484" s="39"/>
      <c r="G484" s="39"/>
      <c r="H484" s="39"/>
      <c r="I484" s="9"/>
      <c r="J484" s="9"/>
      <c r="K484" s="39"/>
      <c r="L484" s="39"/>
      <c r="M484" s="39"/>
      <c r="N484" s="9"/>
      <c r="O484" s="39"/>
      <c r="P484" s="39"/>
      <c r="Q484" s="39"/>
      <c r="R484" s="10"/>
      <c r="X484" s="12"/>
      <c r="Y484" s="12"/>
      <c r="AA484" s="13"/>
    </row>
    <row r="485" spans="2:27" ht="12.75" x14ac:dyDescent="0.2">
      <c r="B485" s="44"/>
      <c r="C485" s="10"/>
      <c r="D485" s="10"/>
      <c r="E485" s="39"/>
      <c r="F485" s="39"/>
      <c r="G485" s="39"/>
      <c r="H485" s="39"/>
      <c r="I485" s="9"/>
      <c r="J485" s="9"/>
      <c r="K485" s="39"/>
      <c r="L485" s="39"/>
      <c r="M485" s="39"/>
      <c r="N485" s="9"/>
      <c r="O485" s="39"/>
      <c r="P485" s="39"/>
      <c r="Q485" s="39"/>
      <c r="R485" s="10"/>
      <c r="X485" s="12"/>
      <c r="Y485" s="12"/>
      <c r="AA485" s="13"/>
    </row>
    <row r="486" spans="2:27" ht="12.75" x14ac:dyDescent="0.2">
      <c r="B486" s="44"/>
      <c r="C486" s="10"/>
      <c r="D486" s="10"/>
      <c r="E486" s="39"/>
      <c r="F486" s="39"/>
      <c r="G486" s="39"/>
      <c r="H486" s="39"/>
      <c r="I486" s="9"/>
      <c r="J486" s="9"/>
      <c r="K486" s="39"/>
      <c r="L486" s="39"/>
      <c r="M486" s="39"/>
      <c r="N486" s="9"/>
      <c r="O486" s="39"/>
      <c r="P486" s="39"/>
      <c r="Q486" s="39"/>
      <c r="R486" s="10"/>
      <c r="X486" s="12"/>
      <c r="Y486" s="12"/>
      <c r="AA486" s="13"/>
    </row>
    <row r="487" spans="2:27" ht="12.75" x14ac:dyDescent="0.2">
      <c r="B487" s="44"/>
      <c r="C487" s="10"/>
      <c r="D487" s="10"/>
      <c r="E487" s="39"/>
      <c r="F487" s="39"/>
      <c r="G487" s="39"/>
      <c r="H487" s="39"/>
      <c r="I487" s="9"/>
      <c r="J487" s="9"/>
      <c r="K487" s="39"/>
      <c r="L487" s="39"/>
      <c r="M487" s="39"/>
      <c r="N487" s="9"/>
      <c r="O487" s="39"/>
      <c r="P487" s="39"/>
      <c r="Q487" s="39"/>
      <c r="R487" s="10"/>
      <c r="X487" s="12"/>
      <c r="Y487" s="12"/>
      <c r="AA487" s="13"/>
    </row>
    <row r="488" spans="2:27" ht="12.75" x14ac:dyDescent="0.2">
      <c r="B488" s="44"/>
      <c r="C488" s="10"/>
      <c r="D488" s="10"/>
      <c r="E488" s="39"/>
      <c r="F488" s="39"/>
      <c r="G488" s="39"/>
      <c r="H488" s="39"/>
      <c r="I488" s="9"/>
      <c r="J488" s="9"/>
      <c r="K488" s="39"/>
      <c r="L488" s="39"/>
      <c r="M488" s="39"/>
      <c r="N488" s="9"/>
      <c r="O488" s="39"/>
      <c r="P488" s="39"/>
      <c r="Q488" s="39"/>
      <c r="R488" s="10"/>
      <c r="X488" s="12"/>
      <c r="Y488" s="12"/>
      <c r="AA488" s="13"/>
    </row>
    <row r="489" spans="2:27" ht="12.75" x14ac:dyDescent="0.2">
      <c r="B489" s="44"/>
      <c r="C489" s="10"/>
      <c r="D489" s="10"/>
      <c r="E489" s="39"/>
      <c r="F489" s="39"/>
      <c r="G489" s="39"/>
      <c r="H489" s="39"/>
      <c r="I489" s="9"/>
      <c r="J489" s="9"/>
      <c r="K489" s="39"/>
      <c r="L489" s="39"/>
      <c r="M489" s="39"/>
      <c r="N489" s="9"/>
      <c r="O489" s="39"/>
      <c r="P489" s="39"/>
      <c r="Q489" s="39"/>
      <c r="R489" s="10"/>
      <c r="X489" s="12"/>
      <c r="Y489" s="12"/>
      <c r="AA489" s="13"/>
    </row>
    <row r="490" spans="2:27" ht="12.75" x14ac:dyDescent="0.2">
      <c r="B490" s="44"/>
      <c r="C490" s="10"/>
      <c r="D490" s="10"/>
      <c r="E490" s="39"/>
      <c r="F490" s="39"/>
      <c r="G490" s="39"/>
      <c r="H490" s="39"/>
      <c r="I490" s="9"/>
      <c r="J490" s="9"/>
      <c r="K490" s="39"/>
      <c r="L490" s="39"/>
      <c r="M490" s="39"/>
      <c r="N490" s="9"/>
      <c r="O490" s="39"/>
      <c r="P490" s="39"/>
      <c r="Q490" s="39"/>
      <c r="R490" s="10"/>
      <c r="X490" s="12"/>
      <c r="Y490" s="12"/>
      <c r="AA490" s="13"/>
    </row>
    <row r="491" spans="2:27" ht="12.75" x14ac:dyDescent="0.2">
      <c r="B491" s="44"/>
      <c r="C491" s="10"/>
      <c r="D491" s="10"/>
      <c r="E491" s="39"/>
      <c r="F491" s="39"/>
      <c r="G491" s="39"/>
      <c r="H491" s="39"/>
      <c r="I491" s="9"/>
      <c r="J491" s="9"/>
      <c r="K491" s="39"/>
      <c r="L491" s="39"/>
      <c r="M491" s="39"/>
      <c r="N491" s="9"/>
      <c r="O491" s="39"/>
      <c r="P491" s="39"/>
      <c r="Q491" s="39"/>
      <c r="R491" s="10"/>
      <c r="X491" s="12"/>
      <c r="Y491" s="12"/>
      <c r="AA491" s="13"/>
    </row>
    <row r="492" spans="2:27" ht="12.75" x14ac:dyDescent="0.2">
      <c r="B492" s="44"/>
      <c r="C492" s="10"/>
      <c r="D492" s="10"/>
      <c r="E492" s="39"/>
      <c r="F492" s="39"/>
      <c r="G492" s="39"/>
      <c r="H492" s="39"/>
      <c r="I492" s="9"/>
      <c r="J492" s="9"/>
      <c r="K492" s="39"/>
      <c r="L492" s="39"/>
      <c r="M492" s="39"/>
      <c r="N492" s="9"/>
      <c r="O492" s="39"/>
      <c r="P492" s="39"/>
      <c r="Q492" s="39"/>
      <c r="R492" s="10"/>
      <c r="X492" s="12"/>
      <c r="Y492" s="12"/>
      <c r="AA492" s="13"/>
    </row>
    <row r="493" spans="2:27" ht="12.75" x14ac:dyDescent="0.2">
      <c r="B493" s="44"/>
      <c r="C493" s="10"/>
      <c r="D493" s="10"/>
      <c r="E493" s="39"/>
      <c r="F493" s="39"/>
      <c r="G493" s="39"/>
      <c r="H493" s="39"/>
      <c r="I493" s="9"/>
      <c r="J493" s="9"/>
      <c r="K493" s="39"/>
      <c r="L493" s="39"/>
      <c r="M493" s="39"/>
      <c r="N493" s="9"/>
      <c r="O493" s="39"/>
      <c r="P493" s="39"/>
      <c r="Q493" s="39"/>
      <c r="R493" s="10"/>
      <c r="X493" s="12"/>
      <c r="Y493" s="12"/>
      <c r="AA493" s="13"/>
    </row>
    <row r="494" spans="2:27" ht="12.75" x14ac:dyDescent="0.2">
      <c r="B494" s="44"/>
      <c r="C494" s="10"/>
      <c r="D494" s="10"/>
      <c r="E494" s="39"/>
      <c r="F494" s="39"/>
      <c r="G494" s="39"/>
      <c r="H494" s="39"/>
      <c r="I494" s="9"/>
      <c r="J494" s="9"/>
      <c r="K494" s="39"/>
      <c r="L494" s="39"/>
      <c r="M494" s="39"/>
      <c r="N494" s="9"/>
      <c r="O494" s="39"/>
      <c r="P494" s="39"/>
      <c r="Q494" s="39"/>
      <c r="R494" s="10"/>
      <c r="X494" s="12"/>
      <c r="Y494" s="12"/>
      <c r="AA494" s="13"/>
    </row>
    <row r="495" spans="2:27" ht="12.75" x14ac:dyDescent="0.2">
      <c r="B495" s="44"/>
      <c r="C495" s="10"/>
      <c r="D495" s="10"/>
      <c r="E495" s="39"/>
      <c r="F495" s="39"/>
      <c r="G495" s="39"/>
      <c r="H495" s="39"/>
      <c r="I495" s="9"/>
      <c r="J495" s="9"/>
      <c r="K495" s="39"/>
      <c r="L495" s="39"/>
      <c r="M495" s="39"/>
      <c r="N495" s="9"/>
      <c r="O495" s="39"/>
      <c r="P495" s="39"/>
      <c r="Q495" s="39"/>
      <c r="R495" s="10"/>
      <c r="X495" s="12"/>
      <c r="Y495" s="12"/>
      <c r="AA495" s="13"/>
    </row>
    <row r="496" spans="2:27" ht="12.75" x14ac:dyDescent="0.2">
      <c r="B496" s="44"/>
      <c r="C496" s="10"/>
      <c r="D496" s="10"/>
      <c r="E496" s="39"/>
      <c r="F496" s="39"/>
      <c r="G496" s="39"/>
      <c r="H496" s="39"/>
      <c r="I496" s="9"/>
      <c r="J496" s="9"/>
      <c r="K496" s="39"/>
      <c r="L496" s="39"/>
      <c r="M496" s="39"/>
      <c r="N496" s="9"/>
      <c r="O496" s="39"/>
      <c r="P496" s="39"/>
      <c r="Q496" s="39"/>
      <c r="R496" s="10"/>
      <c r="X496" s="12"/>
      <c r="Y496" s="12"/>
      <c r="AA496" s="13"/>
    </row>
    <row r="497" spans="2:27" ht="12.75" x14ac:dyDescent="0.2">
      <c r="B497" s="44"/>
      <c r="C497" s="10"/>
      <c r="D497" s="10"/>
      <c r="E497" s="39"/>
      <c r="F497" s="39"/>
      <c r="G497" s="39"/>
      <c r="H497" s="39"/>
      <c r="I497" s="9"/>
      <c r="J497" s="9"/>
      <c r="K497" s="39"/>
      <c r="L497" s="39"/>
      <c r="M497" s="39"/>
      <c r="N497" s="9"/>
      <c r="O497" s="39"/>
      <c r="P497" s="39"/>
      <c r="Q497" s="39"/>
      <c r="R497" s="10"/>
      <c r="X497" s="12"/>
      <c r="Y497" s="12"/>
      <c r="AA497" s="13"/>
    </row>
    <row r="498" spans="2:27" ht="12.75" x14ac:dyDescent="0.2">
      <c r="B498" s="44"/>
      <c r="C498" s="10"/>
      <c r="D498" s="10"/>
      <c r="E498" s="39"/>
      <c r="F498" s="39"/>
      <c r="G498" s="39"/>
      <c r="H498" s="39"/>
      <c r="I498" s="9"/>
      <c r="J498" s="9"/>
      <c r="K498" s="39"/>
      <c r="L498" s="39"/>
      <c r="M498" s="39"/>
      <c r="N498" s="9"/>
      <c r="O498" s="39"/>
      <c r="P498" s="39"/>
      <c r="Q498" s="39"/>
      <c r="R498" s="10"/>
      <c r="X498" s="12"/>
      <c r="Y498" s="12"/>
      <c r="AA498" s="13"/>
    </row>
    <row r="499" spans="2:27" ht="12.75" x14ac:dyDescent="0.2">
      <c r="B499" s="44"/>
      <c r="C499" s="10"/>
      <c r="D499" s="10"/>
      <c r="E499" s="39"/>
      <c r="F499" s="39"/>
      <c r="G499" s="39"/>
      <c r="H499" s="39"/>
      <c r="I499" s="9"/>
      <c r="J499" s="9"/>
      <c r="K499" s="39"/>
      <c r="L499" s="39"/>
      <c r="M499" s="39"/>
      <c r="N499" s="9"/>
      <c r="O499" s="39"/>
      <c r="P499" s="39"/>
      <c r="Q499" s="39"/>
      <c r="R499" s="10"/>
      <c r="X499" s="12"/>
      <c r="Y499" s="12"/>
      <c r="AA499" s="13"/>
    </row>
    <row r="500" spans="2:27" ht="12.75" x14ac:dyDescent="0.2">
      <c r="B500" s="44"/>
      <c r="C500" s="10"/>
      <c r="D500" s="10"/>
      <c r="E500" s="39"/>
      <c r="F500" s="39"/>
      <c r="G500" s="39"/>
      <c r="H500" s="39"/>
      <c r="I500" s="9"/>
      <c r="J500" s="9"/>
      <c r="K500" s="39"/>
      <c r="L500" s="39"/>
      <c r="M500" s="39"/>
      <c r="N500" s="9"/>
      <c r="O500" s="39"/>
      <c r="P500" s="39"/>
      <c r="Q500" s="39"/>
      <c r="R500" s="10"/>
      <c r="X500" s="12"/>
      <c r="Y500" s="12"/>
      <c r="AA500" s="13"/>
    </row>
    <row r="501" spans="2:27" ht="12.75" x14ac:dyDescent="0.2">
      <c r="B501" s="44"/>
      <c r="C501" s="10"/>
      <c r="D501" s="10"/>
      <c r="E501" s="39"/>
      <c r="F501" s="39"/>
      <c r="G501" s="39"/>
      <c r="H501" s="39"/>
      <c r="I501" s="9"/>
      <c r="J501" s="9"/>
      <c r="K501" s="39"/>
      <c r="L501" s="39"/>
      <c r="M501" s="39"/>
      <c r="N501" s="9"/>
      <c r="O501" s="39"/>
      <c r="P501" s="39"/>
      <c r="Q501" s="39"/>
      <c r="R501" s="10"/>
      <c r="X501" s="12"/>
      <c r="Y501" s="12"/>
      <c r="AA501" s="13"/>
    </row>
    <row r="502" spans="2:27" ht="12.75" x14ac:dyDescent="0.2">
      <c r="B502" s="44"/>
      <c r="C502" s="10"/>
      <c r="D502" s="10"/>
      <c r="E502" s="39"/>
      <c r="F502" s="39"/>
      <c r="G502" s="39"/>
      <c r="H502" s="39"/>
      <c r="I502" s="9"/>
      <c r="J502" s="9"/>
      <c r="K502" s="39"/>
      <c r="L502" s="39"/>
      <c r="M502" s="39"/>
      <c r="N502" s="9"/>
      <c r="O502" s="39"/>
      <c r="P502" s="39"/>
      <c r="Q502" s="39"/>
      <c r="R502" s="10"/>
      <c r="X502" s="12"/>
      <c r="Y502" s="12"/>
      <c r="AA502" s="13"/>
    </row>
    <row r="503" spans="2:27" ht="12.75" x14ac:dyDescent="0.2">
      <c r="B503" s="44"/>
      <c r="C503" s="10"/>
      <c r="D503" s="10"/>
      <c r="E503" s="39"/>
      <c r="F503" s="39"/>
      <c r="G503" s="39"/>
      <c r="H503" s="39"/>
      <c r="I503" s="9"/>
      <c r="J503" s="9"/>
      <c r="K503" s="39"/>
      <c r="L503" s="39"/>
      <c r="M503" s="39"/>
      <c r="N503" s="9"/>
      <c r="O503" s="39"/>
      <c r="P503" s="39"/>
      <c r="Q503" s="39"/>
      <c r="R503" s="10"/>
      <c r="X503" s="12"/>
      <c r="Y503" s="12"/>
      <c r="AA503" s="13"/>
    </row>
    <row r="504" spans="2:27" ht="12.75" x14ac:dyDescent="0.2">
      <c r="B504" s="44"/>
      <c r="C504" s="10"/>
      <c r="D504" s="10"/>
      <c r="E504" s="39"/>
      <c r="F504" s="39"/>
      <c r="G504" s="39"/>
      <c r="H504" s="39"/>
      <c r="I504" s="9"/>
      <c r="J504" s="9"/>
      <c r="K504" s="39"/>
      <c r="L504" s="39"/>
      <c r="M504" s="39"/>
      <c r="N504" s="9"/>
      <c r="O504" s="39"/>
      <c r="P504" s="39"/>
      <c r="Q504" s="39"/>
      <c r="R504" s="10"/>
      <c r="X504" s="12"/>
      <c r="Y504" s="12"/>
      <c r="AA504" s="13"/>
    </row>
    <row r="505" spans="2:27" ht="12.75" x14ac:dyDescent="0.2">
      <c r="B505" s="44"/>
      <c r="C505" s="10"/>
      <c r="D505" s="10"/>
      <c r="E505" s="39"/>
      <c r="F505" s="39"/>
      <c r="G505" s="39"/>
      <c r="H505" s="39"/>
      <c r="I505" s="9"/>
      <c r="J505" s="9"/>
      <c r="K505" s="39"/>
      <c r="L505" s="39"/>
      <c r="M505" s="39"/>
      <c r="N505" s="9"/>
      <c r="O505" s="39"/>
      <c r="P505" s="39"/>
      <c r="Q505" s="39"/>
      <c r="R505" s="10"/>
      <c r="X505" s="12"/>
      <c r="Y505" s="12"/>
      <c r="AA505" s="13"/>
    </row>
    <row r="506" spans="2:27" ht="12.75" x14ac:dyDescent="0.2">
      <c r="B506" s="44"/>
      <c r="C506" s="10"/>
      <c r="D506" s="10"/>
      <c r="E506" s="39"/>
      <c r="F506" s="39"/>
      <c r="G506" s="39"/>
      <c r="H506" s="39"/>
      <c r="I506" s="9"/>
      <c r="J506" s="9"/>
      <c r="K506" s="39"/>
      <c r="L506" s="39"/>
      <c r="M506" s="39"/>
      <c r="N506" s="9"/>
      <c r="O506" s="39"/>
      <c r="P506" s="39"/>
      <c r="Q506" s="39"/>
      <c r="R506" s="10"/>
      <c r="X506" s="12"/>
      <c r="Y506" s="12"/>
      <c r="AA506" s="13"/>
    </row>
    <row r="507" spans="2:27" ht="12.75" x14ac:dyDescent="0.2">
      <c r="B507" s="44"/>
      <c r="C507" s="10"/>
      <c r="D507" s="10"/>
      <c r="E507" s="39"/>
      <c r="F507" s="39"/>
      <c r="G507" s="39"/>
      <c r="H507" s="39"/>
      <c r="I507" s="9"/>
      <c r="J507" s="9"/>
      <c r="K507" s="39"/>
      <c r="L507" s="39"/>
      <c r="M507" s="39"/>
      <c r="N507" s="9"/>
      <c r="O507" s="39"/>
      <c r="P507" s="39"/>
      <c r="Q507" s="39"/>
      <c r="R507" s="10"/>
      <c r="X507" s="12"/>
      <c r="Y507" s="12"/>
      <c r="AA507" s="13"/>
    </row>
    <row r="508" spans="2:27" ht="12.75" x14ac:dyDescent="0.2">
      <c r="B508" s="44"/>
      <c r="C508" s="10"/>
      <c r="D508" s="10"/>
      <c r="E508" s="39"/>
      <c r="F508" s="39"/>
      <c r="G508" s="39"/>
      <c r="H508" s="39"/>
      <c r="I508" s="9"/>
      <c r="J508" s="9"/>
      <c r="K508" s="39"/>
      <c r="L508" s="39"/>
      <c r="M508" s="39"/>
      <c r="N508" s="9"/>
      <c r="O508" s="39"/>
      <c r="P508" s="39"/>
      <c r="Q508" s="39"/>
      <c r="R508" s="10"/>
      <c r="X508" s="12"/>
      <c r="Y508" s="12"/>
      <c r="AA508" s="13"/>
    </row>
    <row r="509" spans="2:27" ht="12.75" x14ac:dyDescent="0.2">
      <c r="B509" s="44"/>
      <c r="C509" s="10"/>
      <c r="D509" s="10"/>
      <c r="E509" s="39"/>
      <c r="F509" s="39"/>
      <c r="G509" s="39"/>
      <c r="H509" s="39"/>
      <c r="I509" s="9"/>
      <c r="J509" s="9"/>
      <c r="K509" s="39"/>
      <c r="L509" s="39"/>
      <c r="M509" s="39"/>
      <c r="N509" s="9"/>
      <c r="O509" s="39"/>
      <c r="P509" s="39"/>
      <c r="Q509" s="39"/>
      <c r="R509" s="10"/>
      <c r="X509" s="12"/>
      <c r="Y509" s="12"/>
      <c r="AA509" s="13"/>
    </row>
    <row r="510" spans="2:27" ht="12.75" x14ac:dyDescent="0.2">
      <c r="B510" s="44"/>
      <c r="C510" s="10"/>
      <c r="D510" s="10"/>
      <c r="E510" s="39"/>
      <c r="F510" s="39"/>
      <c r="G510" s="39"/>
      <c r="H510" s="39"/>
      <c r="I510" s="9"/>
      <c r="J510" s="9"/>
      <c r="K510" s="39"/>
      <c r="L510" s="39"/>
      <c r="M510" s="39"/>
      <c r="N510" s="9"/>
      <c r="O510" s="39"/>
      <c r="P510" s="39"/>
      <c r="Q510" s="39"/>
      <c r="R510" s="10"/>
      <c r="X510" s="12"/>
      <c r="Y510" s="12"/>
      <c r="AA510" s="13"/>
    </row>
    <row r="511" spans="2:27" ht="12.75" x14ac:dyDescent="0.2">
      <c r="B511" s="44"/>
      <c r="C511" s="10"/>
      <c r="D511" s="10"/>
      <c r="E511" s="39"/>
      <c r="F511" s="39"/>
      <c r="G511" s="39"/>
      <c r="H511" s="39"/>
      <c r="I511" s="9"/>
      <c r="J511" s="9"/>
      <c r="K511" s="39"/>
      <c r="L511" s="39"/>
      <c r="M511" s="39"/>
      <c r="N511" s="9"/>
      <c r="O511" s="39"/>
      <c r="P511" s="39"/>
      <c r="Q511" s="39"/>
      <c r="R511" s="10"/>
      <c r="X511" s="12"/>
      <c r="Y511" s="12"/>
      <c r="AA511" s="13"/>
    </row>
    <row r="512" spans="2:27" ht="12.75" x14ac:dyDescent="0.2">
      <c r="B512" s="44"/>
      <c r="C512" s="10"/>
      <c r="D512" s="10"/>
      <c r="E512" s="39"/>
      <c r="F512" s="39"/>
      <c r="G512" s="39"/>
      <c r="H512" s="39"/>
      <c r="I512" s="9"/>
      <c r="J512" s="9"/>
      <c r="K512" s="39"/>
      <c r="L512" s="39"/>
      <c r="M512" s="39"/>
      <c r="N512" s="9"/>
      <c r="O512" s="39"/>
      <c r="P512" s="39"/>
      <c r="Q512" s="39"/>
      <c r="R512" s="10"/>
      <c r="X512" s="12"/>
      <c r="Y512" s="12"/>
      <c r="AA512" s="13"/>
    </row>
    <row r="513" spans="2:27" ht="12.75" x14ac:dyDescent="0.2">
      <c r="B513" s="44"/>
      <c r="C513" s="10"/>
      <c r="D513" s="10"/>
      <c r="E513" s="39"/>
      <c r="F513" s="39"/>
      <c r="G513" s="39"/>
      <c r="H513" s="39"/>
      <c r="I513" s="9"/>
      <c r="J513" s="9"/>
      <c r="K513" s="39"/>
      <c r="L513" s="39"/>
      <c r="M513" s="39"/>
      <c r="N513" s="9"/>
      <c r="O513" s="39"/>
      <c r="P513" s="39"/>
      <c r="Q513" s="39"/>
      <c r="R513" s="10"/>
      <c r="X513" s="12"/>
      <c r="Y513" s="12"/>
      <c r="AA513" s="13"/>
    </row>
    <row r="514" spans="2:27" ht="12.75" x14ac:dyDescent="0.2">
      <c r="B514" s="44"/>
      <c r="C514" s="10"/>
      <c r="D514" s="10"/>
      <c r="E514" s="39"/>
      <c r="F514" s="39"/>
      <c r="G514" s="39"/>
      <c r="H514" s="39"/>
      <c r="I514" s="9"/>
      <c r="J514" s="9"/>
      <c r="K514" s="39"/>
      <c r="L514" s="39"/>
      <c r="M514" s="39"/>
      <c r="N514" s="9"/>
      <c r="O514" s="39"/>
      <c r="P514" s="39"/>
      <c r="Q514" s="39"/>
      <c r="R514" s="10"/>
      <c r="X514" s="12"/>
      <c r="Y514" s="12"/>
      <c r="AA514" s="13"/>
    </row>
    <row r="515" spans="2:27" ht="12.75" x14ac:dyDescent="0.2">
      <c r="B515" s="44"/>
      <c r="C515" s="10"/>
      <c r="D515" s="10"/>
      <c r="E515" s="39"/>
      <c r="F515" s="39"/>
      <c r="G515" s="39"/>
      <c r="H515" s="39"/>
      <c r="I515" s="9"/>
      <c r="J515" s="9"/>
      <c r="K515" s="39"/>
      <c r="L515" s="39"/>
      <c r="M515" s="39"/>
      <c r="N515" s="9"/>
      <c r="O515" s="39"/>
      <c r="P515" s="39"/>
      <c r="Q515" s="39"/>
      <c r="R515" s="10"/>
      <c r="X515" s="12"/>
      <c r="Y515" s="12"/>
      <c r="AA515" s="13"/>
    </row>
    <row r="516" spans="2:27" ht="12.75" x14ac:dyDescent="0.2">
      <c r="B516" s="44"/>
      <c r="C516" s="10"/>
      <c r="D516" s="10"/>
      <c r="E516" s="39"/>
      <c r="F516" s="39"/>
      <c r="G516" s="39"/>
      <c r="H516" s="39"/>
      <c r="I516" s="9"/>
      <c r="J516" s="9"/>
      <c r="K516" s="39"/>
      <c r="L516" s="39"/>
      <c r="M516" s="39"/>
      <c r="N516" s="9"/>
      <c r="O516" s="39"/>
      <c r="P516" s="39"/>
      <c r="Q516" s="39"/>
      <c r="R516" s="10"/>
      <c r="X516" s="12"/>
      <c r="Y516" s="12"/>
      <c r="AA516" s="13"/>
    </row>
    <row r="517" spans="2:27" ht="12.75" x14ac:dyDescent="0.2">
      <c r="B517" s="44"/>
      <c r="C517" s="10"/>
      <c r="D517" s="10"/>
      <c r="E517" s="39"/>
      <c r="F517" s="39"/>
      <c r="G517" s="39"/>
      <c r="H517" s="39"/>
      <c r="I517" s="9"/>
      <c r="J517" s="9"/>
      <c r="K517" s="39"/>
      <c r="L517" s="39"/>
      <c r="M517" s="39"/>
      <c r="N517" s="9"/>
      <c r="O517" s="39"/>
      <c r="P517" s="39"/>
      <c r="Q517" s="39"/>
      <c r="R517" s="10"/>
      <c r="X517" s="12"/>
      <c r="Y517" s="12"/>
      <c r="AA517" s="13"/>
    </row>
    <row r="518" spans="2:27" ht="12.75" x14ac:dyDescent="0.2">
      <c r="B518" s="44"/>
      <c r="C518" s="10"/>
      <c r="D518" s="10"/>
      <c r="E518" s="39"/>
      <c r="F518" s="39"/>
      <c r="G518" s="39"/>
      <c r="H518" s="39"/>
      <c r="I518" s="9"/>
      <c r="J518" s="9"/>
      <c r="K518" s="39"/>
      <c r="L518" s="39"/>
      <c r="M518" s="39"/>
      <c r="N518" s="9"/>
      <c r="O518" s="39"/>
      <c r="P518" s="39"/>
      <c r="Q518" s="39"/>
      <c r="R518" s="10"/>
      <c r="X518" s="12"/>
      <c r="Y518" s="12"/>
      <c r="AA518" s="13"/>
    </row>
    <row r="519" spans="2:27" ht="12.75" x14ac:dyDescent="0.2">
      <c r="B519" s="44"/>
      <c r="C519" s="10"/>
      <c r="D519" s="10"/>
      <c r="E519" s="39"/>
      <c r="F519" s="39"/>
      <c r="G519" s="39"/>
      <c r="H519" s="39"/>
      <c r="I519" s="9"/>
      <c r="J519" s="9"/>
      <c r="K519" s="39"/>
      <c r="L519" s="39"/>
      <c r="M519" s="39"/>
      <c r="N519" s="9"/>
      <c r="O519" s="39"/>
      <c r="P519" s="39"/>
      <c r="Q519" s="39"/>
      <c r="R519" s="10"/>
      <c r="X519" s="12"/>
      <c r="Y519" s="12"/>
      <c r="AA519" s="13"/>
    </row>
    <row r="520" spans="2:27" ht="12.75" x14ac:dyDescent="0.2">
      <c r="B520" s="44"/>
      <c r="C520" s="10"/>
      <c r="D520" s="10"/>
      <c r="E520" s="39"/>
      <c r="F520" s="39"/>
      <c r="G520" s="39"/>
      <c r="H520" s="39"/>
      <c r="I520" s="9"/>
      <c r="J520" s="9"/>
      <c r="K520" s="39"/>
      <c r="L520" s="39"/>
      <c r="M520" s="39"/>
      <c r="N520" s="9"/>
      <c r="O520" s="39"/>
      <c r="P520" s="39"/>
      <c r="Q520" s="39"/>
      <c r="R520" s="10"/>
      <c r="X520" s="12"/>
      <c r="Y520" s="12"/>
      <c r="AA520" s="13"/>
    </row>
    <row r="521" spans="2:27" ht="12.75" x14ac:dyDescent="0.2">
      <c r="B521" s="44"/>
      <c r="C521" s="10"/>
      <c r="D521" s="10"/>
      <c r="E521" s="39"/>
      <c r="F521" s="39"/>
      <c r="G521" s="39"/>
      <c r="H521" s="39"/>
      <c r="I521" s="9"/>
      <c r="J521" s="9"/>
      <c r="K521" s="39"/>
      <c r="L521" s="39"/>
      <c r="M521" s="39"/>
      <c r="N521" s="9"/>
      <c r="O521" s="39"/>
      <c r="P521" s="39"/>
      <c r="Q521" s="39"/>
      <c r="R521" s="10"/>
      <c r="X521" s="12"/>
      <c r="Y521" s="12"/>
      <c r="AA521" s="13"/>
    </row>
    <row r="522" spans="2:27" ht="12.75" x14ac:dyDescent="0.2">
      <c r="B522" s="44"/>
      <c r="C522" s="10"/>
      <c r="D522" s="10"/>
      <c r="E522" s="39"/>
      <c r="F522" s="39"/>
      <c r="G522" s="39"/>
      <c r="H522" s="39"/>
      <c r="I522" s="9"/>
      <c r="J522" s="9"/>
      <c r="K522" s="39"/>
      <c r="L522" s="39"/>
      <c r="M522" s="39"/>
      <c r="N522" s="9"/>
      <c r="O522" s="39"/>
      <c r="P522" s="39"/>
      <c r="Q522" s="39"/>
      <c r="R522" s="10"/>
      <c r="X522" s="12"/>
      <c r="Y522" s="12"/>
      <c r="AA522" s="13"/>
    </row>
    <row r="523" spans="2:27" ht="12.75" x14ac:dyDescent="0.2">
      <c r="B523" s="44"/>
      <c r="C523" s="10"/>
      <c r="D523" s="10"/>
      <c r="E523" s="39"/>
      <c r="F523" s="39"/>
      <c r="G523" s="39"/>
      <c r="H523" s="39"/>
      <c r="I523" s="9"/>
      <c r="J523" s="9"/>
      <c r="K523" s="39"/>
      <c r="L523" s="39"/>
      <c r="M523" s="39"/>
      <c r="N523" s="9"/>
      <c r="O523" s="39"/>
      <c r="P523" s="39"/>
      <c r="Q523" s="39"/>
      <c r="R523" s="10"/>
      <c r="X523" s="12"/>
      <c r="Y523" s="12"/>
      <c r="AA523" s="13"/>
    </row>
    <row r="524" spans="2:27" ht="12.75" x14ac:dyDescent="0.2">
      <c r="B524" s="44"/>
      <c r="C524" s="10"/>
      <c r="D524" s="10"/>
      <c r="E524" s="39"/>
      <c r="F524" s="39"/>
      <c r="G524" s="39"/>
      <c r="H524" s="39"/>
      <c r="I524" s="9"/>
      <c r="J524" s="9"/>
      <c r="K524" s="39"/>
      <c r="L524" s="39"/>
      <c r="M524" s="39"/>
      <c r="N524" s="9"/>
      <c r="O524" s="39"/>
      <c r="P524" s="39"/>
      <c r="Q524" s="39"/>
      <c r="R524" s="10"/>
      <c r="X524" s="12"/>
      <c r="Y524" s="12"/>
      <c r="AA524" s="13"/>
    </row>
    <row r="525" spans="2:27" ht="12.75" x14ac:dyDescent="0.2">
      <c r="B525" s="44"/>
      <c r="C525" s="10"/>
      <c r="D525" s="10"/>
      <c r="E525" s="39"/>
      <c r="F525" s="39"/>
      <c r="G525" s="39"/>
      <c r="H525" s="39"/>
      <c r="I525" s="9"/>
      <c r="J525" s="9"/>
      <c r="K525" s="39"/>
      <c r="L525" s="39"/>
      <c r="M525" s="39"/>
      <c r="N525" s="9"/>
      <c r="O525" s="39"/>
      <c r="P525" s="39"/>
      <c r="Q525" s="39"/>
      <c r="R525" s="10"/>
      <c r="X525" s="12"/>
      <c r="Y525" s="12"/>
      <c r="AA525" s="13"/>
    </row>
    <row r="526" spans="2:27" ht="12.75" x14ac:dyDescent="0.2">
      <c r="B526" s="44"/>
      <c r="C526" s="10"/>
      <c r="D526" s="10"/>
      <c r="E526" s="39"/>
      <c r="F526" s="39"/>
      <c r="G526" s="39"/>
      <c r="H526" s="39"/>
      <c r="I526" s="9"/>
      <c r="J526" s="9"/>
      <c r="K526" s="39"/>
      <c r="L526" s="39"/>
      <c r="M526" s="39"/>
      <c r="N526" s="9"/>
      <c r="O526" s="39"/>
      <c r="P526" s="39"/>
      <c r="Q526" s="39"/>
      <c r="R526" s="10"/>
      <c r="X526" s="12"/>
      <c r="Y526" s="12"/>
      <c r="AA526" s="13"/>
    </row>
    <row r="527" spans="2:27" ht="12.75" x14ac:dyDescent="0.2">
      <c r="B527" s="44"/>
      <c r="C527" s="10"/>
      <c r="D527" s="10"/>
      <c r="E527" s="39"/>
      <c r="F527" s="39"/>
      <c r="G527" s="39"/>
      <c r="H527" s="39"/>
      <c r="I527" s="9"/>
      <c r="J527" s="9"/>
      <c r="K527" s="39"/>
      <c r="L527" s="39"/>
      <c r="M527" s="39"/>
      <c r="N527" s="9"/>
      <c r="O527" s="39"/>
      <c r="P527" s="39"/>
      <c r="Q527" s="39"/>
      <c r="R527" s="10"/>
      <c r="X527" s="12"/>
      <c r="Y527" s="12"/>
      <c r="AA527" s="13"/>
    </row>
    <row r="528" spans="2:27" ht="12.75" x14ac:dyDescent="0.2">
      <c r="B528" s="44"/>
      <c r="C528" s="10"/>
      <c r="D528" s="10"/>
      <c r="E528" s="39"/>
      <c r="F528" s="39"/>
      <c r="G528" s="39"/>
      <c r="H528" s="39"/>
      <c r="I528" s="9"/>
      <c r="J528" s="9"/>
      <c r="K528" s="39"/>
      <c r="L528" s="39"/>
      <c r="M528" s="39"/>
      <c r="N528" s="9"/>
      <c r="O528" s="39"/>
      <c r="P528" s="39"/>
      <c r="Q528" s="39"/>
      <c r="R528" s="10"/>
      <c r="X528" s="12"/>
      <c r="Y528" s="12"/>
      <c r="AA528" s="13"/>
    </row>
    <row r="529" spans="2:27" ht="12.75" x14ac:dyDescent="0.2">
      <c r="B529" s="44"/>
      <c r="C529" s="10"/>
      <c r="D529" s="10"/>
      <c r="E529" s="39"/>
      <c r="F529" s="39"/>
      <c r="G529" s="39"/>
      <c r="H529" s="39"/>
      <c r="I529" s="9"/>
      <c r="J529" s="9"/>
      <c r="K529" s="39"/>
      <c r="L529" s="39"/>
      <c r="M529" s="39"/>
      <c r="N529" s="9"/>
      <c r="O529" s="39"/>
      <c r="P529" s="39"/>
      <c r="Q529" s="39"/>
      <c r="R529" s="10"/>
      <c r="X529" s="12"/>
      <c r="Y529" s="12"/>
      <c r="AA529" s="13"/>
    </row>
    <row r="530" spans="2:27" ht="12.75" x14ac:dyDescent="0.2">
      <c r="B530" s="44"/>
      <c r="C530" s="10"/>
      <c r="D530" s="10"/>
      <c r="E530" s="39"/>
      <c r="F530" s="39"/>
      <c r="G530" s="39"/>
      <c r="H530" s="39"/>
      <c r="I530" s="9"/>
      <c r="J530" s="9"/>
      <c r="K530" s="39"/>
      <c r="L530" s="39"/>
      <c r="M530" s="39"/>
      <c r="N530" s="9"/>
      <c r="O530" s="39"/>
      <c r="P530" s="39"/>
      <c r="Q530" s="39"/>
      <c r="R530" s="10"/>
      <c r="X530" s="12"/>
      <c r="Y530" s="12"/>
      <c r="AA530" s="13"/>
    </row>
    <row r="531" spans="2:27" ht="12.75" x14ac:dyDescent="0.2">
      <c r="B531" s="44"/>
      <c r="C531" s="10"/>
      <c r="D531" s="10"/>
      <c r="E531" s="39"/>
      <c r="F531" s="39"/>
      <c r="G531" s="39"/>
      <c r="H531" s="39"/>
      <c r="I531" s="9"/>
      <c r="J531" s="9"/>
      <c r="K531" s="39"/>
      <c r="L531" s="39"/>
      <c r="M531" s="39"/>
      <c r="N531" s="9"/>
      <c r="O531" s="39"/>
      <c r="P531" s="39"/>
      <c r="Q531" s="39"/>
      <c r="R531" s="10"/>
      <c r="X531" s="12"/>
      <c r="Y531" s="12"/>
      <c r="AA531" s="13"/>
    </row>
    <row r="532" spans="2:27" ht="12.75" x14ac:dyDescent="0.2">
      <c r="B532" s="44"/>
      <c r="C532" s="10"/>
      <c r="D532" s="10"/>
      <c r="E532" s="39"/>
      <c r="F532" s="39"/>
      <c r="G532" s="39"/>
      <c r="H532" s="39"/>
      <c r="I532" s="9"/>
      <c r="J532" s="9"/>
      <c r="K532" s="39"/>
      <c r="L532" s="39"/>
      <c r="M532" s="39"/>
      <c r="N532" s="9"/>
      <c r="O532" s="39"/>
      <c r="P532" s="39"/>
      <c r="Q532" s="39"/>
      <c r="R532" s="10"/>
      <c r="X532" s="12"/>
      <c r="Y532" s="12"/>
      <c r="AA532" s="13"/>
    </row>
    <row r="533" spans="2:27" ht="12.75" x14ac:dyDescent="0.2">
      <c r="B533" s="44"/>
      <c r="C533" s="10"/>
      <c r="D533" s="10"/>
      <c r="E533" s="39"/>
      <c r="F533" s="39"/>
      <c r="G533" s="39"/>
      <c r="H533" s="39"/>
      <c r="I533" s="9"/>
      <c r="J533" s="9"/>
      <c r="K533" s="39"/>
      <c r="L533" s="39"/>
      <c r="M533" s="39"/>
      <c r="N533" s="9"/>
      <c r="O533" s="39"/>
      <c r="P533" s="39"/>
      <c r="Q533" s="39"/>
      <c r="R533" s="10"/>
      <c r="X533" s="12"/>
      <c r="Y533" s="12"/>
      <c r="AA533" s="13"/>
    </row>
    <row r="534" spans="2:27" ht="12.75" x14ac:dyDescent="0.2">
      <c r="B534" s="44"/>
      <c r="C534" s="10"/>
      <c r="D534" s="10"/>
      <c r="E534" s="39"/>
      <c r="F534" s="39"/>
      <c r="G534" s="39"/>
      <c r="H534" s="39"/>
      <c r="I534" s="9"/>
      <c r="J534" s="9"/>
      <c r="K534" s="39"/>
      <c r="L534" s="39"/>
      <c r="M534" s="39"/>
      <c r="N534" s="9"/>
      <c r="O534" s="39"/>
      <c r="P534" s="39"/>
      <c r="Q534" s="39"/>
      <c r="R534" s="10"/>
      <c r="X534" s="12"/>
      <c r="Y534" s="12"/>
      <c r="AA534" s="13"/>
    </row>
    <row r="535" spans="2:27" ht="12.75" x14ac:dyDescent="0.2">
      <c r="B535" s="44"/>
      <c r="C535" s="10"/>
      <c r="D535" s="10"/>
      <c r="E535" s="39"/>
      <c r="F535" s="39"/>
      <c r="G535" s="39"/>
      <c r="H535" s="39"/>
      <c r="I535" s="9"/>
      <c r="J535" s="9"/>
      <c r="K535" s="39"/>
      <c r="L535" s="39"/>
      <c r="M535" s="39"/>
      <c r="N535" s="9"/>
      <c r="O535" s="39"/>
      <c r="P535" s="39"/>
      <c r="Q535" s="39"/>
      <c r="R535" s="10"/>
      <c r="X535" s="12"/>
      <c r="Y535" s="12"/>
      <c r="AA535" s="13"/>
    </row>
    <row r="536" spans="2:27" ht="12.75" x14ac:dyDescent="0.2">
      <c r="B536" s="44"/>
      <c r="C536" s="10"/>
      <c r="D536" s="10"/>
      <c r="E536" s="39"/>
      <c r="F536" s="39"/>
      <c r="G536" s="39"/>
      <c r="H536" s="39"/>
      <c r="I536" s="9"/>
      <c r="J536" s="9"/>
      <c r="K536" s="39"/>
      <c r="L536" s="39"/>
      <c r="M536" s="39"/>
      <c r="N536" s="9"/>
      <c r="O536" s="39"/>
      <c r="P536" s="39"/>
      <c r="Q536" s="39"/>
      <c r="R536" s="10"/>
      <c r="X536" s="12"/>
      <c r="Y536" s="12"/>
      <c r="AA536" s="13"/>
    </row>
    <row r="537" spans="2:27" ht="12.75" x14ac:dyDescent="0.2">
      <c r="B537" s="44"/>
      <c r="C537" s="10"/>
      <c r="D537" s="10"/>
      <c r="E537" s="39"/>
      <c r="F537" s="39"/>
      <c r="G537" s="39"/>
      <c r="H537" s="39"/>
      <c r="I537" s="9"/>
      <c r="J537" s="9"/>
      <c r="K537" s="39"/>
      <c r="L537" s="39"/>
      <c r="M537" s="39"/>
      <c r="N537" s="9"/>
      <c r="O537" s="39"/>
      <c r="P537" s="39"/>
      <c r="Q537" s="39"/>
      <c r="R537" s="10"/>
      <c r="X537" s="12"/>
      <c r="Y537" s="12"/>
      <c r="AA537" s="13"/>
    </row>
    <row r="538" spans="2:27" ht="12.75" x14ac:dyDescent="0.2">
      <c r="B538" s="44"/>
      <c r="C538" s="10"/>
      <c r="D538" s="10"/>
      <c r="E538" s="39"/>
      <c r="F538" s="39"/>
      <c r="G538" s="39"/>
      <c r="H538" s="39"/>
      <c r="I538" s="9"/>
      <c r="J538" s="9"/>
      <c r="K538" s="39"/>
      <c r="L538" s="39"/>
      <c r="M538" s="39"/>
      <c r="N538" s="9"/>
      <c r="O538" s="39"/>
      <c r="P538" s="39"/>
      <c r="Q538" s="39"/>
      <c r="R538" s="10"/>
      <c r="X538" s="12"/>
      <c r="Y538" s="12"/>
      <c r="AA538" s="13"/>
    </row>
    <row r="539" spans="2:27" ht="12.75" x14ac:dyDescent="0.2">
      <c r="B539" s="44"/>
      <c r="C539" s="10"/>
      <c r="D539" s="10"/>
      <c r="E539" s="39"/>
      <c r="F539" s="39"/>
      <c r="G539" s="39"/>
      <c r="H539" s="39"/>
      <c r="I539" s="9"/>
      <c r="J539" s="9"/>
      <c r="K539" s="39"/>
      <c r="L539" s="39"/>
      <c r="M539" s="39"/>
      <c r="N539" s="9"/>
      <c r="O539" s="39"/>
      <c r="P539" s="39"/>
      <c r="Q539" s="39"/>
      <c r="R539" s="10"/>
      <c r="X539" s="12"/>
      <c r="Y539" s="12"/>
      <c r="AA539" s="13"/>
    </row>
    <row r="540" spans="2:27" ht="12.75" x14ac:dyDescent="0.2">
      <c r="B540" s="44"/>
      <c r="C540" s="10"/>
      <c r="D540" s="10"/>
      <c r="E540" s="39"/>
      <c r="F540" s="39"/>
      <c r="G540" s="39"/>
      <c r="H540" s="39"/>
      <c r="I540" s="9"/>
      <c r="J540" s="9"/>
      <c r="K540" s="39"/>
      <c r="L540" s="39"/>
      <c r="M540" s="39"/>
      <c r="N540" s="9"/>
      <c r="O540" s="39"/>
      <c r="P540" s="39"/>
      <c r="Q540" s="39"/>
      <c r="R540" s="10"/>
      <c r="X540" s="12"/>
      <c r="Y540" s="12"/>
      <c r="AA540" s="13"/>
    </row>
    <row r="541" spans="2:27" ht="12.75" x14ac:dyDescent="0.2">
      <c r="B541" s="44"/>
      <c r="C541" s="10"/>
      <c r="D541" s="10"/>
      <c r="E541" s="39"/>
      <c r="F541" s="39"/>
      <c r="G541" s="39"/>
      <c r="H541" s="39"/>
      <c r="I541" s="9"/>
      <c r="J541" s="9"/>
      <c r="K541" s="39"/>
      <c r="L541" s="39"/>
      <c r="M541" s="39"/>
      <c r="N541" s="9"/>
      <c r="O541" s="39"/>
      <c r="P541" s="39"/>
      <c r="Q541" s="39"/>
      <c r="R541" s="10"/>
      <c r="X541" s="12"/>
      <c r="Y541" s="12"/>
      <c r="AA541" s="13"/>
    </row>
    <row r="542" spans="2:27" ht="12.75" x14ac:dyDescent="0.2">
      <c r="B542" s="44"/>
      <c r="C542" s="10"/>
      <c r="D542" s="10"/>
      <c r="E542" s="39"/>
      <c r="F542" s="39"/>
      <c r="G542" s="39"/>
      <c r="H542" s="39"/>
      <c r="I542" s="9"/>
      <c r="J542" s="9"/>
      <c r="K542" s="39"/>
      <c r="L542" s="39"/>
      <c r="M542" s="39"/>
      <c r="N542" s="9"/>
      <c r="O542" s="39"/>
      <c r="P542" s="39"/>
      <c r="Q542" s="39"/>
      <c r="R542" s="10"/>
      <c r="X542" s="12"/>
      <c r="Y542" s="12"/>
      <c r="AA542" s="13"/>
    </row>
    <row r="543" spans="2:27" ht="12.75" x14ac:dyDescent="0.2">
      <c r="B543" s="44"/>
      <c r="C543" s="10"/>
      <c r="D543" s="10"/>
      <c r="E543" s="39"/>
      <c r="F543" s="39"/>
      <c r="G543" s="39"/>
      <c r="H543" s="39"/>
      <c r="I543" s="9"/>
      <c r="J543" s="9"/>
      <c r="K543" s="39"/>
      <c r="L543" s="39"/>
      <c r="M543" s="39"/>
      <c r="N543" s="9"/>
      <c r="O543" s="39"/>
      <c r="P543" s="39"/>
      <c r="Q543" s="39"/>
      <c r="R543" s="10"/>
      <c r="X543" s="12"/>
      <c r="Y543" s="12"/>
      <c r="AA543" s="13"/>
    </row>
    <row r="544" spans="2:27" ht="12.75" x14ac:dyDescent="0.2">
      <c r="B544" s="44"/>
      <c r="C544" s="10"/>
      <c r="D544" s="10"/>
      <c r="E544" s="39"/>
      <c r="F544" s="39"/>
      <c r="G544" s="39"/>
      <c r="H544" s="39"/>
      <c r="I544" s="9"/>
      <c r="J544" s="9"/>
      <c r="K544" s="39"/>
      <c r="L544" s="39"/>
      <c r="M544" s="39"/>
      <c r="N544" s="9"/>
      <c r="O544" s="39"/>
      <c r="P544" s="39"/>
      <c r="Q544" s="39"/>
      <c r="R544" s="10"/>
      <c r="X544" s="12"/>
      <c r="Y544" s="12"/>
      <c r="AA544" s="13"/>
    </row>
    <row r="545" spans="2:27" ht="12.75" x14ac:dyDescent="0.2">
      <c r="B545" s="44"/>
      <c r="C545" s="10"/>
      <c r="D545" s="10"/>
      <c r="E545" s="39"/>
      <c r="F545" s="39"/>
      <c r="G545" s="39"/>
      <c r="H545" s="39"/>
      <c r="I545" s="9"/>
      <c r="J545" s="9"/>
      <c r="K545" s="39"/>
      <c r="L545" s="39"/>
      <c r="M545" s="39"/>
      <c r="N545" s="9"/>
      <c r="O545" s="39"/>
      <c r="P545" s="39"/>
      <c r="Q545" s="39"/>
      <c r="R545" s="10"/>
      <c r="X545" s="12"/>
      <c r="Y545" s="12"/>
      <c r="AA545" s="13"/>
    </row>
    <row r="546" spans="2:27" ht="12.75" x14ac:dyDescent="0.2">
      <c r="B546" s="44"/>
      <c r="C546" s="10"/>
      <c r="D546" s="10"/>
      <c r="E546" s="39"/>
      <c r="F546" s="39"/>
      <c r="G546" s="39"/>
      <c r="H546" s="39"/>
      <c r="I546" s="9"/>
      <c r="J546" s="9"/>
      <c r="K546" s="39"/>
      <c r="L546" s="39"/>
      <c r="M546" s="39"/>
      <c r="N546" s="9"/>
      <c r="O546" s="39"/>
      <c r="P546" s="39"/>
      <c r="Q546" s="39"/>
      <c r="R546" s="10"/>
      <c r="X546" s="12"/>
      <c r="Y546" s="12"/>
      <c r="AA546" s="13"/>
    </row>
    <row r="547" spans="2:27" ht="12.75" x14ac:dyDescent="0.2">
      <c r="B547" s="44"/>
      <c r="C547" s="10"/>
      <c r="D547" s="10"/>
      <c r="E547" s="39"/>
      <c r="F547" s="39"/>
      <c r="G547" s="39"/>
      <c r="H547" s="39"/>
      <c r="I547" s="9"/>
      <c r="J547" s="9"/>
      <c r="K547" s="39"/>
      <c r="L547" s="39"/>
      <c r="M547" s="39"/>
      <c r="N547" s="9"/>
      <c r="O547" s="39"/>
      <c r="P547" s="39"/>
      <c r="Q547" s="39"/>
      <c r="R547" s="10"/>
      <c r="X547" s="12"/>
      <c r="Y547" s="12"/>
      <c r="AA547" s="13"/>
    </row>
    <row r="548" spans="2:27" ht="12.75" x14ac:dyDescent="0.2">
      <c r="B548" s="44"/>
      <c r="C548" s="10"/>
      <c r="D548" s="10"/>
      <c r="E548" s="39"/>
      <c r="F548" s="39"/>
      <c r="G548" s="39"/>
      <c r="H548" s="39"/>
      <c r="I548" s="9"/>
      <c r="J548" s="9"/>
      <c r="K548" s="39"/>
      <c r="L548" s="39"/>
      <c r="M548" s="39"/>
      <c r="N548" s="9"/>
      <c r="O548" s="39"/>
      <c r="P548" s="39"/>
      <c r="Q548" s="39"/>
      <c r="R548" s="10"/>
      <c r="X548" s="12"/>
      <c r="Y548" s="12"/>
      <c r="AA548" s="13"/>
    </row>
    <row r="549" spans="2:27" ht="12.75" x14ac:dyDescent="0.2">
      <c r="B549" s="44"/>
      <c r="C549" s="10"/>
      <c r="D549" s="10"/>
      <c r="E549" s="39"/>
      <c r="F549" s="39"/>
      <c r="G549" s="39"/>
      <c r="H549" s="39"/>
      <c r="I549" s="9"/>
      <c r="J549" s="9"/>
      <c r="K549" s="39"/>
      <c r="L549" s="39"/>
      <c r="M549" s="39"/>
      <c r="N549" s="9"/>
      <c r="O549" s="39"/>
      <c r="P549" s="39"/>
      <c r="Q549" s="39"/>
      <c r="R549" s="10"/>
      <c r="X549" s="12"/>
      <c r="Y549" s="12"/>
      <c r="AA549" s="13"/>
    </row>
    <row r="550" spans="2:27" ht="12.75" x14ac:dyDescent="0.2">
      <c r="B550" s="44"/>
      <c r="C550" s="10"/>
      <c r="D550" s="10"/>
      <c r="E550" s="39"/>
      <c r="F550" s="39"/>
      <c r="G550" s="39"/>
      <c r="H550" s="39"/>
      <c r="I550" s="9"/>
      <c r="J550" s="9"/>
      <c r="K550" s="39"/>
      <c r="L550" s="39"/>
      <c r="M550" s="39"/>
      <c r="N550" s="9"/>
      <c r="O550" s="39"/>
      <c r="P550" s="39"/>
      <c r="Q550" s="39"/>
      <c r="R550" s="10"/>
      <c r="X550" s="12"/>
      <c r="Y550" s="12"/>
      <c r="AA550" s="13"/>
    </row>
    <row r="551" spans="2:27" ht="12.75" x14ac:dyDescent="0.2">
      <c r="B551" s="44"/>
      <c r="C551" s="10"/>
      <c r="D551" s="10"/>
      <c r="E551" s="39"/>
      <c r="F551" s="39"/>
      <c r="G551" s="39"/>
      <c r="H551" s="39"/>
      <c r="I551" s="9"/>
      <c r="J551" s="9"/>
      <c r="K551" s="39"/>
      <c r="L551" s="39"/>
      <c r="M551" s="39"/>
      <c r="N551" s="9"/>
      <c r="O551" s="39"/>
      <c r="P551" s="39"/>
      <c r="Q551" s="39"/>
      <c r="R551" s="10"/>
      <c r="X551" s="12"/>
      <c r="Y551" s="12"/>
      <c r="AA551" s="13"/>
    </row>
    <row r="552" spans="2:27" ht="12.75" x14ac:dyDescent="0.2">
      <c r="B552" s="44"/>
      <c r="C552" s="10"/>
      <c r="D552" s="10"/>
      <c r="E552" s="39"/>
      <c r="F552" s="39"/>
      <c r="G552" s="39"/>
      <c r="H552" s="39"/>
      <c r="I552" s="9"/>
      <c r="J552" s="9"/>
      <c r="K552" s="39"/>
      <c r="L552" s="39"/>
      <c r="M552" s="39"/>
      <c r="N552" s="9"/>
      <c r="O552" s="39"/>
      <c r="P552" s="39"/>
      <c r="Q552" s="39"/>
      <c r="R552" s="10"/>
      <c r="X552" s="12"/>
      <c r="Y552" s="12"/>
      <c r="AA552" s="13"/>
    </row>
    <row r="553" spans="2:27" ht="12.75" x14ac:dyDescent="0.2">
      <c r="B553" s="44"/>
      <c r="C553" s="10"/>
      <c r="D553" s="10"/>
      <c r="E553" s="39"/>
      <c r="F553" s="39"/>
      <c r="G553" s="39"/>
      <c r="H553" s="39"/>
      <c r="I553" s="9"/>
      <c r="J553" s="9"/>
      <c r="K553" s="39"/>
      <c r="L553" s="39"/>
      <c r="M553" s="39"/>
      <c r="N553" s="9"/>
      <c r="O553" s="39"/>
      <c r="P553" s="39"/>
      <c r="Q553" s="39"/>
      <c r="R553" s="10"/>
      <c r="X553" s="12"/>
      <c r="Y553" s="12"/>
      <c r="AA553" s="13"/>
    </row>
    <row r="554" spans="2:27" ht="12.75" x14ac:dyDescent="0.2">
      <c r="B554" s="44"/>
      <c r="C554" s="10"/>
      <c r="D554" s="10"/>
      <c r="E554" s="39"/>
      <c r="F554" s="39"/>
      <c r="G554" s="39"/>
      <c r="H554" s="39"/>
      <c r="I554" s="9"/>
      <c r="J554" s="9"/>
      <c r="K554" s="39"/>
      <c r="L554" s="39"/>
      <c r="M554" s="39"/>
      <c r="N554" s="9"/>
      <c r="O554" s="39"/>
      <c r="P554" s="39"/>
      <c r="Q554" s="39"/>
      <c r="R554" s="10"/>
      <c r="X554" s="12"/>
      <c r="Y554" s="12"/>
      <c r="AA554" s="13"/>
    </row>
    <row r="555" spans="2:27" ht="12.75" x14ac:dyDescent="0.2">
      <c r="B555" s="44"/>
      <c r="C555" s="10"/>
      <c r="D555" s="10"/>
      <c r="E555" s="39"/>
      <c r="F555" s="39"/>
      <c r="G555" s="39"/>
      <c r="H555" s="39"/>
      <c r="I555" s="9"/>
      <c r="J555" s="9"/>
      <c r="K555" s="39"/>
      <c r="L555" s="39"/>
      <c r="M555" s="39"/>
      <c r="N555" s="9"/>
      <c r="O555" s="39"/>
      <c r="P555" s="39"/>
      <c r="Q555" s="39"/>
      <c r="R555" s="10"/>
      <c r="X555" s="12"/>
      <c r="Y555" s="12"/>
      <c r="AA555" s="13"/>
    </row>
    <row r="556" spans="2:27" ht="12.75" x14ac:dyDescent="0.2">
      <c r="B556" s="44"/>
      <c r="C556" s="10"/>
      <c r="D556" s="10"/>
      <c r="E556" s="39"/>
      <c r="F556" s="39"/>
      <c r="G556" s="39"/>
      <c r="H556" s="39"/>
      <c r="I556" s="9"/>
      <c r="J556" s="9"/>
      <c r="K556" s="39"/>
      <c r="L556" s="39"/>
      <c r="M556" s="39"/>
      <c r="N556" s="9"/>
      <c r="O556" s="39"/>
      <c r="P556" s="39"/>
      <c r="Q556" s="39"/>
      <c r="R556" s="10"/>
      <c r="X556" s="12"/>
      <c r="Y556" s="12"/>
      <c r="AA556" s="13"/>
    </row>
    <row r="557" spans="2:27" ht="12.75" x14ac:dyDescent="0.2">
      <c r="B557" s="44"/>
      <c r="C557" s="10"/>
      <c r="D557" s="10"/>
      <c r="E557" s="39"/>
      <c r="F557" s="39"/>
      <c r="G557" s="39"/>
      <c r="H557" s="39"/>
      <c r="I557" s="9"/>
      <c r="J557" s="9"/>
      <c r="K557" s="39"/>
      <c r="L557" s="39"/>
      <c r="M557" s="39"/>
      <c r="N557" s="9"/>
      <c r="O557" s="39"/>
      <c r="P557" s="39"/>
      <c r="Q557" s="39"/>
      <c r="R557" s="10"/>
      <c r="X557" s="12"/>
      <c r="Y557" s="12"/>
      <c r="AA557" s="13"/>
    </row>
    <row r="558" spans="2:27" ht="12.75" x14ac:dyDescent="0.2">
      <c r="B558" s="44"/>
      <c r="C558" s="10"/>
      <c r="D558" s="10"/>
      <c r="E558" s="39"/>
      <c r="F558" s="39"/>
      <c r="G558" s="39"/>
      <c r="H558" s="39"/>
      <c r="I558" s="9"/>
      <c r="J558" s="9"/>
      <c r="K558" s="39"/>
      <c r="L558" s="39"/>
      <c r="M558" s="39"/>
      <c r="N558" s="9"/>
      <c r="O558" s="39"/>
      <c r="P558" s="39"/>
      <c r="Q558" s="39"/>
      <c r="R558" s="10"/>
      <c r="X558" s="12"/>
      <c r="Y558" s="12"/>
      <c r="AA558" s="13"/>
    </row>
    <row r="559" spans="2:27" ht="12.75" x14ac:dyDescent="0.2">
      <c r="B559" s="44"/>
      <c r="C559" s="10"/>
      <c r="D559" s="10"/>
      <c r="E559" s="39"/>
      <c r="F559" s="39"/>
      <c r="G559" s="39"/>
      <c r="H559" s="39"/>
      <c r="I559" s="9"/>
      <c r="J559" s="9"/>
      <c r="K559" s="39"/>
      <c r="L559" s="39"/>
      <c r="M559" s="39"/>
      <c r="N559" s="9"/>
      <c r="O559" s="39"/>
      <c r="P559" s="39"/>
      <c r="Q559" s="39"/>
      <c r="R559" s="10"/>
      <c r="X559" s="12"/>
      <c r="Y559" s="12"/>
      <c r="AA559" s="13"/>
    </row>
    <row r="560" spans="2:27" ht="12.75" x14ac:dyDescent="0.2">
      <c r="B560" s="44"/>
      <c r="C560" s="10"/>
      <c r="D560" s="10"/>
      <c r="E560" s="39"/>
      <c r="F560" s="39"/>
      <c r="G560" s="39"/>
      <c r="H560" s="39"/>
      <c r="I560" s="9"/>
      <c r="J560" s="9"/>
      <c r="K560" s="39"/>
      <c r="L560" s="39"/>
      <c r="M560" s="39"/>
      <c r="N560" s="9"/>
      <c r="O560" s="39"/>
      <c r="P560" s="39"/>
      <c r="Q560" s="39"/>
      <c r="R560" s="10"/>
      <c r="X560" s="12"/>
      <c r="Y560" s="12"/>
      <c r="AA560" s="13"/>
    </row>
    <row r="561" spans="2:27" ht="12.75" x14ac:dyDescent="0.2">
      <c r="B561" s="44"/>
      <c r="C561" s="10"/>
      <c r="D561" s="10"/>
      <c r="E561" s="39"/>
      <c r="F561" s="39"/>
      <c r="G561" s="39"/>
      <c r="H561" s="39"/>
      <c r="I561" s="9"/>
      <c r="J561" s="9"/>
      <c r="K561" s="39"/>
      <c r="L561" s="39"/>
      <c r="M561" s="39"/>
      <c r="N561" s="9"/>
      <c r="O561" s="39"/>
      <c r="P561" s="39"/>
      <c r="Q561" s="39"/>
      <c r="R561" s="10"/>
      <c r="X561" s="12"/>
      <c r="Y561" s="12"/>
      <c r="AA561" s="13"/>
    </row>
    <row r="562" spans="2:27" ht="12.75" x14ac:dyDescent="0.2">
      <c r="B562" s="44"/>
      <c r="C562" s="10"/>
      <c r="D562" s="10"/>
      <c r="E562" s="39"/>
      <c r="F562" s="39"/>
      <c r="G562" s="39"/>
      <c r="H562" s="39"/>
      <c r="I562" s="9"/>
      <c r="J562" s="9"/>
      <c r="K562" s="39"/>
      <c r="L562" s="39"/>
      <c r="M562" s="39"/>
      <c r="N562" s="9"/>
      <c r="O562" s="39"/>
      <c r="P562" s="39"/>
      <c r="Q562" s="39"/>
      <c r="R562" s="10"/>
      <c r="X562" s="12"/>
      <c r="Y562" s="12"/>
      <c r="AA562" s="13"/>
    </row>
    <row r="563" spans="2:27" ht="12.75" x14ac:dyDescent="0.2">
      <c r="B563" s="44"/>
      <c r="C563" s="10"/>
      <c r="D563" s="10"/>
      <c r="E563" s="39"/>
      <c r="F563" s="39"/>
      <c r="G563" s="39"/>
      <c r="H563" s="39"/>
      <c r="I563" s="9"/>
      <c r="J563" s="9"/>
      <c r="K563" s="39"/>
      <c r="L563" s="39"/>
      <c r="M563" s="39"/>
      <c r="N563" s="9"/>
      <c r="O563" s="39"/>
      <c r="P563" s="39"/>
      <c r="Q563" s="39"/>
      <c r="R563" s="10"/>
      <c r="X563" s="12"/>
      <c r="Y563" s="12"/>
      <c r="AA563" s="13"/>
    </row>
    <row r="564" spans="2:27" ht="12.75" x14ac:dyDescent="0.2">
      <c r="B564" s="44"/>
      <c r="C564" s="10"/>
      <c r="D564" s="10"/>
      <c r="E564" s="39"/>
      <c r="F564" s="39"/>
      <c r="G564" s="39"/>
      <c r="H564" s="39"/>
      <c r="I564" s="9"/>
      <c r="J564" s="9"/>
      <c r="K564" s="39"/>
      <c r="L564" s="39"/>
      <c r="M564" s="39"/>
      <c r="N564" s="9"/>
      <c r="O564" s="39"/>
      <c r="P564" s="39"/>
      <c r="Q564" s="39"/>
      <c r="R564" s="10"/>
      <c r="X564" s="12"/>
      <c r="Y564" s="12"/>
      <c r="AA564" s="13"/>
    </row>
    <row r="565" spans="2:27" ht="12.75" x14ac:dyDescent="0.2">
      <c r="B565" s="44"/>
      <c r="C565" s="10"/>
      <c r="D565" s="10"/>
      <c r="E565" s="39"/>
      <c r="F565" s="39"/>
      <c r="G565" s="39"/>
      <c r="H565" s="39"/>
      <c r="I565" s="9"/>
      <c r="J565" s="9"/>
      <c r="K565" s="39"/>
      <c r="L565" s="39"/>
      <c r="M565" s="39"/>
      <c r="N565" s="9"/>
      <c r="O565" s="39"/>
      <c r="P565" s="39"/>
      <c r="Q565" s="39"/>
      <c r="R565" s="10"/>
      <c r="X565" s="12"/>
      <c r="Y565" s="12"/>
      <c r="AA565" s="13"/>
    </row>
    <row r="566" spans="2:27" ht="12.75" x14ac:dyDescent="0.2">
      <c r="B566" s="44"/>
      <c r="C566" s="10"/>
      <c r="D566" s="10"/>
      <c r="E566" s="39"/>
      <c r="F566" s="39"/>
      <c r="G566" s="39"/>
      <c r="H566" s="39"/>
      <c r="I566" s="9"/>
      <c r="J566" s="9"/>
      <c r="K566" s="39"/>
      <c r="L566" s="39"/>
      <c r="M566" s="39"/>
      <c r="N566" s="9"/>
      <c r="O566" s="39"/>
      <c r="P566" s="39"/>
      <c r="Q566" s="39"/>
      <c r="R566" s="10"/>
      <c r="X566" s="12"/>
      <c r="Y566" s="12"/>
      <c r="AA566" s="13"/>
    </row>
    <row r="567" spans="2:27" ht="12.75" x14ac:dyDescent="0.2">
      <c r="B567" s="44"/>
      <c r="C567" s="10"/>
      <c r="D567" s="10"/>
      <c r="E567" s="39"/>
      <c r="F567" s="39"/>
      <c r="G567" s="39"/>
      <c r="H567" s="39"/>
      <c r="I567" s="9"/>
      <c r="J567" s="9"/>
      <c r="K567" s="39"/>
      <c r="L567" s="39"/>
      <c r="M567" s="39"/>
      <c r="N567" s="9"/>
      <c r="O567" s="39"/>
      <c r="P567" s="39"/>
      <c r="Q567" s="39"/>
      <c r="R567" s="10"/>
      <c r="X567" s="12"/>
      <c r="Y567" s="12"/>
      <c r="AA567" s="13"/>
    </row>
    <row r="568" spans="2:27" ht="12.75" x14ac:dyDescent="0.2">
      <c r="B568" s="44"/>
      <c r="C568" s="10"/>
      <c r="D568" s="10"/>
      <c r="E568" s="39"/>
      <c r="F568" s="39"/>
      <c r="G568" s="39"/>
      <c r="H568" s="39"/>
      <c r="I568" s="9"/>
      <c r="J568" s="9"/>
      <c r="K568" s="39"/>
      <c r="L568" s="39"/>
      <c r="M568" s="39"/>
      <c r="N568" s="9"/>
      <c r="O568" s="39"/>
      <c r="P568" s="39"/>
      <c r="Q568" s="39"/>
      <c r="R568" s="10"/>
      <c r="X568" s="12"/>
      <c r="Y568" s="12"/>
      <c r="AA568" s="13"/>
    </row>
    <row r="569" spans="2:27" ht="12.75" x14ac:dyDescent="0.2">
      <c r="B569" s="44"/>
      <c r="C569" s="10"/>
      <c r="D569" s="10"/>
      <c r="E569" s="39"/>
      <c r="F569" s="39"/>
      <c r="G569" s="39"/>
      <c r="H569" s="39"/>
      <c r="I569" s="9"/>
      <c r="J569" s="9"/>
      <c r="K569" s="39"/>
      <c r="L569" s="39"/>
      <c r="M569" s="39"/>
      <c r="N569" s="9"/>
      <c r="O569" s="39"/>
      <c r="P569" s="39"/>
      <c r="Q569" s="39"/>
      <c r="R569" s="10"/>
      <c r="X569" s="12"/>
      <c r="Y569" s="12"/>
      <c r="AA569" s="13"/>
    </row>
    <row r="570" spans="2:27" ht="12.75" x14ac:dyDescent="0.2">
      <c r="B570" s="44"/>
      <c r="C570" s="10"/>
      <c r="D570" s="10"/>
      <c r="E570" s="39"/>
      <c r="F570" s="39"/>
      <c r="G570" s="39"/>
      <c r="H570" s="39"/>
      <c r="I570" s="9"/>
      <c r="J570" s="9"/>
      <c r="K570" s="39"/>
      <c r="L570" s="39"/>
      <c r="M570" s="39"/>
      <c r="N570" s="9"/>
      <c r="O570" s="39"/>
      <c r="P570" s="39"/>
      <c r="Q570" s="39"/>
      <c r="R570" s="10"/>
      <c r="X570" s="12"/>
      <c r="Y570" s="12"/>
      <c r="AA570" s="13"/>
    </row>
    <row r="571" spans="2:27" ht="12.75" x14ac:dyDescent="0.2">
      <c r="B571" s="44"/>
      <c r="C571" s="10"/>
      <c r="D571" s="10"/>
      <c r="E571" s="39"/>
      <c r="F571" s="39"/>
      <c r="G571" s="39"/>
      <c r="H571" s="39"/>
      <c r="I571" s="9"/>
      <c r="J571" s="9"/>
      <c r="K571" s="39"/>
      <c r="L571" s="39"/>
      <c r="M571" s="39"/>
      <c r="N571" s="9"/>
      <c r="O571" s="39"/>
      <c r="P571" s="39"/>
      <c r="Q571" s="39"/>
      <c r="R571" s="10"/>
      <c r="X571" s="12"/>
      <c r="Y571" s="12"/>
      <c r="AA571" s="13"/>
    </row>
    <row r="572" spans="2:27" ht="12.75" x14ac:dyDescent="0.2">
      <c r="B572" s="44"/>
      <c r="C572" s="10"/>
      <c r="D572" s="10"/>
      <c r="E572" s="39"/>
      <c r="F572" s="39"/>
      <c r="G572" s="39"/>
      <c r="H572" s="39"/>
      <c r="I572" s="9"/>
      <c r="J572" s="9"/>
      <c r="K572" s="39"/>
      <c r="L572" s="39"/>
      <c r="M572" s="39"/>
      <c r="N572" s="9"/>
      <c r="O572" s="39"/>
      <c r="P572" s="39"/>
      <c r="Q572" s="39"/>
      <c r="R572" s="10"/>
      <c r="X572" s="12"/>
      <c r="Y572" s="12"/>
      <c r="AA572" s="13"/>
    </row>
    <row r="573" spans="2:27" ht="12.75" x14ac:dyDescent="0.2">
      <c r="B573" s="44"/>
      <c r="C573" s="10"/>
      <c r="D573" s="10"/>
      <c r="E573" s="39"/>
      <c r="F573" s="39"/>
      <c r="G573" s="39"/>
      <c r="H573" s="39"/>
      <c r="I573" s="9"/>
      <c r="J573" s="9"/>
      <c r="K573" s="39"/>
      <c r="L573" s="39"/>
      <c r="M573" s="39"/>
      <c r="N573" s="9"/>
      <c r="O573" s="39"/>
      <c r="P573" s="39"/>
      <c r="Q573" s="39"/>
      <c r="R573" s="10"/>
      <c r="X573" s="12"/>
      <c r="Y573" s="12"/>
      <c r="AA573" s="13"/>
    </row>
    <row r="574" spans="2:27" ht="12.75" x14ac:dyDescent="0.2">
      <c r="B574" s="44"/>
      <c r="C574" s="10"/>
      <c r="D574" s="10"/>
      <c r="E574" s="39"/>
      <c r="F574" s="39"/>
      <c r="G574" s="39"/>
      <c r="H574" s="39"/>
      <c r="I574" s="9"/>
      <c r="J574" s="9"/>
      <c r="K574" s="39"/>
      <c r="L574" s="39"/>
      <c r="M574" s="39"/>
      <c r="N574" s="9"/>
      <c r="O574" s="39"/>
      <c r="P574" s="39"/>
      <c r="Q574" s="39"/>
      <c r="R574" s="10"/>
      <c r="X574" s="12"/>
      <c r="Y574" s="12"/>
      <c r="AA574" s="13"/>
    </row>
    <row r="575" spans="2:27" ht="12.75" x14ac:dyDescent="0.2">
      <c r="B575" s="44"/>
      <c r="C575" s="10"/>
      <c r="D575" s="10"/>
      <c r="E575" s="39"/>
      <c r="F575" s="39"/>
      <c r="G575" s="39"/>
      <c r="H575" s="39"/>
      <c r="I575" s="9"/>
      <c r="J575" s="9"/>
      <c r="K575" s="39"/>
      <c r="L575" s="39"/>
      <c r="M575" s="39"/>
      <c r="N575" s="9"/>
      <c r="O575" s="39"/>
      <c r="P575" s="39"/>
      <c r="Q575" s="39"/>
      <c r="R575" s="10"/>
      <c r="X575" s="12"/>
      <c r="Y575" s="12"/>
      <c r="AA575" s="13"/>
    </row>
    <row r="576" spans="2:27" ht="12.75" x14ac:dyDescent="0.2">
      <c r="B576" s="44"/>
      <c r="C576" s="10"/>
      <c r="D576" s="10"/>
      <c r="E576" s="39"/>
      <c r="F576" s="39"/>
      <c r="G576" s="39"/>
      <c r="H576" s="39"/>
      <c r="I576" s="9"/>
      <c r="J576" s="9"/>
      <c r="K576" s="39"/>
      <c r="L576" s="39"/>
      <c r="M576" s="39"/>
      <c r="N576" s="9"/>
      <c r="O576" s="39"/>
      <c r="P576" s="39"/>
      <c r="Q576" s="39"/>
      <c r="R576" s="10"/>
      <c r="X576" s="12"/>
      <c r="Y576" s="12"/>
      <c r="AA576" s="13"/>
    </row>
    <row r="577" spans="2:27" ht="12.75" x14ac:dyDescent="0.2">
      <c r="B577" s="44"/>
      <c r="C577" s="10"/>
      <c r="D577" s="10"/>
      <c r="E577" s="39"/>
      <c r="F577" s="39"/>
      <c r="G577" s="39"/>
      <c r="H577" s="39"/>
      <c r="I577" s="9"/>
      <c r="J577" s="9"/>
      <c r="K577" s="39"/>
      <c r="L577" s="39"/>
      <c r="M577" s="39"/>
      <c r="N577" s="9"/>
      <c r="O577" s="39"/>
      <c r="P577" s="39"/>
      <c r="Q577" s="39"/>
      <c r="R577" s="10"/>
      <c r="X577" s="12"/>
      <c r="Y577" s="12"/>
      <c r="AA577" s="13"/>
    </row>
    <row r="578" spans="2:27" ht="12.75" x14ac:dyDescent="0.2">
      <c r="B578" s="44"/>
      <c r="C578" s="10"/>
      <c r="D578" s="10"/>
      <c r="E578" s="39"/>
      <c r="F578" s="39"/>
      <c r="G578" s="39"/>
      <c r="H578" s="39"/>
      <c r="I578" s="9"/>
      <c r="J578" s="9"/>
      <c r="K578" s="39"/>
      <c r="L578" s="39"/>
      <c r="M578" s="39"/>
      <c r="N578" s="9"/>
      <c r="O578" s="39"/>
      <c r="P578" s="39"/>
      <c r="Q578" s="39"/>
      <c r="R578" s="10"/>
      <c r="X578" s="12"/>
      <c r="Y578" s="12"/>
      <c r="AA578" s="13"/>
    </row>
    <row r="579" spans="2:27" ht="12.75" x14ac:dyDescent="0.2">
      <c r="B579" s="44"/>
      <c r="C579" s="10"/>
      <c r="D579" s="10"/>
      <c r="E579" s="39"/>
      <c r="F579" s="39"/>
      <c r="G579" s="39"/>
      <c r="H579" s="39"/>
      <c r="I579" s="9"/>
      <c r="J579" s="9"/>
      <c r="K579" s="39"/>
      <c r="L579" s="39"/>
      <c r="M579" s="39"/>
      <c r="N579" s="9"/>
      <c r="O579" s="39"/>
      <c r="P579" s="39"/>
      <c r="Q579" s="39"/>
      <c r="R579" s="10"/>
      <c r="X579" s="12"/>
      <c r="Y579" s="12"/>
      <c r="AA579" s="13"/>
    </row>
    <row r="580" spans="2:27" ht="12.75" x14ac:dyDescent="0.2">
      <c r="B580" s="44"/>
      <c r="C580" s="10"/>
      <c r="D580" s="10"/>
      <c r="E580" s="39"/>
      <c r="F580" s="39"/>
      <c r="G580" s="39"/>
      <c r="H580" s="39"/>
      <c r="I580" s="9"/>
      <c r="J580" s="9"/>
      <c r="K580" s="39"/>
      <c r="L580" s="39"/>
      <c r="M580" s="39"/>
      <c r="N580" s="9"/>
      <c r="O580" s="39"/>
      <c r="P580" s="39"/>
      <c r="Q580" s="39"/>
      <c r="R580" s="10"/>
      <c r="X580" s="12"/>
      <c r="Y580" s="12"/>
      <c r="AA580" s="13"/>
    </row>
    <row r="581" spans="2:27" ht="12.75" x14ac:dyDescent="0.2">
      <c r="B581" s="44"/>
      <c r="C581" s="10"/>
      <c r="D581" s="10"/>
      <c r="E581" s="39"/>
      <c r="F581" s="39"/>
      <c r="G581" s="39"/>
      <c r="H581" s="39"/>
      <c r="I581" s="9"/>
      <c r="J581" s="9"/>
      <c r="K581" s="39"/>
      <c r="L581" s="39"/>
      <c r="M581" s="39"/>
      <c r="N581" s="9"/>
      <c r="O581" s="39"/>
      <c r="P581" s="39"/>
      <c r="Q581" s="39"/>
      <c r="R581" s="10"/>
      <c r="X581" s="12"/>
      <c r="Y581" s="12"/>
      <c r="AA581" s="13"/>
    </row>
    <row r="582" spans="2:27" ht="12.75" x14ac:dyDescent="0.2">
      <c r="B582" s="44"/>
      <c r="C582" s="10"/>
      <c r="D582" s="10"/>
      <c r="E582" s="39"/>
      <c r="F582" s="39"/>
      <c r="G582" s="39"/>
      <c r="H582" s="39"/>
      <c r="I582" s="9"/>
      <c r="J582" s="9"/>
      <c r="K582" s="39"/>
      <c r="L582" s="39"/>
      <c r="M582" s="39"/>
      <c r="N582" s="9"/>
      <c r="O582" s="39"/>
      <c r="P582" s="39"/>
      <c r="Q582" s="39"/>
      <c r="R582" s="10"/>
      <c r="X582" s="12"/>
      <c r="Y582" s="12"/>
      <c r="AA582" s="13"/>
    </row>
    <row r="583" spans="2:27" ht="12.75" x14ac:dyDescent="0.2">
      <c r="B583" s="44"/>
      <c r="C583" s="10"/>
      <c r="D583" s="10"/>
      <c r="E583" s="39"/>
      <c r="F583" s="39"/>
      <c r="G583" s="39"/>
      <c r="H583" s="39"/>
      <c r="I583" s="9"/>
      <c r="J583" s="9"/>
      <c r="K583" s="39"/>
      <c r="L583" s="39"/>
      <c r="M583" s="39"/>
      <c r="N583" s="9"/>
      <c r="O583" s="39"/>
      <c r="P583" s="39"/>
      <c r="Q583" s="39"/>
      <c r="R583" s="10"/>
      <c r="X583" s="12"/>
      <c r="Y583" s="12"/>
      <c r="AA583" s="13"/>
    </row>
    <row r="584" spans="2:27" ht="12.75" x14ac:dyDescent="0.2">
      <c r="B584" s="44"/>
      <c r="C584" s="10"/>
      <c r="D584" s="10"/>
      <c r="E584" s="39"/>
      <c r="F584" s="39"/>
      <c r="G584" s="39"/>
      <c r="H584" s="39"/>
      <c r="I584" s="9"/>
      <c r="J584" s="9"/>
      <c r="K584" s="39"/>
      <c r="L584" s="39"/>
      <c r="M584" s="39"/>
      <c r="N584" s="9"/>
      <c r="O584" s="39"/>
      <c r="P584" s="39"/>
      <c r="Q584" s="39"/>
      <c r="R584" s="10"/>
      <c r="X584" s="12"/>
      <c r="Y584" s="12"/>
      <c r="AA584" s="13"/>
    </row>
    <row r="585" spans="2:27" ht="12.75" x14ac:dyDescent="0.2">
      <c r="B585" s="44"/>
      <c r="C585" s="10"/>
      <c r="D585" s="10"/>
      <c r="E585" s="39"/>
      <c r="F585" s="39"/>
      <c r="G585" s="39"/>
      <c r="H585" s="39"/>
      <c r="I585" s="9"/>
      <c r="J585" s="9"/>
      <c r="K585" s="39"/>
      <c r="L585" s="39"/>
      <c r="M585" s="39"/>
      <c r="N585" s="9"/>
      <c r="O585" s="39"/>
      <c r="P585" s="39"/>
      <c r="Q585" s="39"/>
      <c r="R585" s="10"/>
      <c r="X585" s="12"/>
      <c r="Y585" s="12"/>
      <c r="AA585" s="13"/>
    </row>
    <row r="586" spans="2:27" ht="12.75" x14ac:dyDescent="0.2">
      <c r="B586" s="44"/>
      <c r="C586" s="10"/>
      <c r="D586" s="10"/>
      <c r="E586" s="39"/>
      <c r="F586" s="39"/>
      <c r="G586" s="39"/>
      <c r="H586" s="39"/>
      <c r="I586" s="9"/>
      <c r="J586" s="9"/>
      <c r="K586" s="39"/>
      <c r="L586" s="39"/>
      <c r="M586" s="39"/>
      <c r="N586" s="9"/>
      <c r="O586" s="39"/>
      <c r="P586" s="39"/>
      <c r="Q586" s="39"/>
      <c r="R586" s="10"/>
      <c r="X586" s="12"/>
      <c r="Y586" s="12"/>
      <c r="AA586" s="13"/>
    </row>
    <row r="587" spans="2:27" ht="12.75" x14ac:dyDescent="0.2">
      <c r="B587" s="44"/>
      <c r="C587" s="10"/>
      <c r="D587" s="10"/>
      <c r="E587" s="39"/>
      <c r="F587" s="39"/>
      <c r="G587" s="39"/>
      <c r="H587" s="39"/>
      <c r="I587" s="9"/>
      <c r="J587" s="9"/>
      <c r="K587" s="39"/>
      <c r="L587" s="39"/>
      <c r="M587" s="39"/>
      <c r="N587" s="9"/>
      <c r="O587" s="39"/>
      <c r="P587" s="39"/>
      <c r="Q587" s="39"/>
      <c r="R587" s="10"/>
      <c r="X587" s="12"/>
      <c r="Y587" s="12"/>
      <c r="AA587" s="13"/>
    </row>
    <row r="588" spans="2:27" ht="12.75" x14ac:dyDescent="0.2">
      <c r="B588" s="44"/>
      <c r="C588" s="10"/>
      <c r="D588" s="10"/>
      <c r="E588" s="39"/>
      <c r="F588" s="39"/>
      <c r="G588" s="39"/>
      <c r="H588" s="39"/>
      <c r="I588" s="9"/>
      <c r="J588" s="9"/>
      <c r="K588" s="39"/>
      <c r="L588" s="39"/>
      <c r="M588" s="39"/>
      <c r="N588" s="9"/>
      <c r="O588" s="39"/>
      <c r="P588" s="39"/>
      <c r="Q588" s="39"/>
      <c r="R588" s="10"/>
      <c r="X588" s="12"/>
      <c r="Y588" s="12"/>
      <c r="AA588" s="13"/>
    </row>
    <row r="589" spans="2:27" ht="12.75" x14ac:dyDescent="0.2">
      <c r="B589" s="44"/>
      <c r="C589" s="10"/>
      <c r="D589" s="10"/>
      <c r="E589" s="39"/>
      <c r="F589" s="39"/>
      <c r="G589" s="39"/>
      <c r="H589" s="39"/>
      <c r="I589" s="9"/>
      <c r="J589" s="9"/>
      <c r="K589" s="39"/>
      <c r="L589" s="39"/>
      <c r="M589" s="39"/>
      <c r="N589" s="9"/>
      <c r="O589" s="39"/>
      <c r="P589" s="39"/>
      <c r="Q589" s="39"/>
      <c r="R589" s="10"/>
      <c r="X589" s="12"/>
      <c r="Y589" s="12"/>
      <c r="AA589" s="13"/>
    </row>
    <row r="590" spans="2:27" ht="12.75" x14ac:dyDescent="0.2">
      <c r="B590" s="44"/>
      <c r="C590" s="10"/>
      <c r="D590" s="10"/>
      <c r="E590" s="39"/>
      <c r="F590" s="39"/>
      <c r="G590" s="39"/>
      <c r="H590" s="39"/>
      <c r="I590" s="9"/>
      <c r="J590" s="9"/>
      <c r="K590" s="39"/>
      <c r="L590" s="39"/>
      <c r="M590" s="39"/>
      <c r="N590" s="9"/>
      <c r="O590" s="39"/>
      <c r="P590" s="39"/>
      <c r="Q590" s="39"/>
      <c r="R590" s="10"/>
      <c r="X590" s="12"/>
      <c r="Y590" s="12"/>
      <c r="AA590" s="13"/>
    </row>
    <row r="591" spans="2:27" ht="12.75" x14ac:dyDescent="0.2">
      <c r="B591" s="44"/>
      <c r="C591" s="10"/>
      <c r="D591" s="10"/>
      <c r="E591" s="39"/>
      <c r="F591" s="39"/>
      <c r="G591" s="39"/>
      <c r="H591" s="39"/>
      <c r="I591" s="9"/>
      <c r="J591" s="9"/>
      <c r="K591" s="39"/>
      <c r="L591" s="39"/>
      <c r="M591" s="39"/>
      <c r="N591" s="9"/>
      <c r="O591" s="39"/>
      <c r="P591" s="39"/>
      <c r="Q591" s="39"/>
      <c r="R591" s="10"/>
      <c r="X591" s="12"/>
      <c r="Y591" s="12"/>
      <c r="AA591" s="13"/>
    </row>
    <row r="592" spans="2:27" ht="12.75" x14ac:dyDescent="0.2">
      <c r="B592" s="44"/>
      <c r="C592" s="10"/>
      <c r="D592" s="10"/>
      <c r="E592" s="39"/>
      <c r="F592" s="39"/>
      <c r="G592" s="39"/>
      <c r="H592" s="39"/>
      <c r="I592" s="9"/>
      <c r="J592" s="9"/>
      <c r="K592" s="39"/>
      <c r="L592" s="39"/>
      <c r="M592" s="39"/>
      <c r="N592" s="9"/>
      <c r="O592" s="39"/>
      <c r="P592" s="39"/>
      <c r="Q592" s="39"/>
      <c r="R592" s="10"/>
      <c r="X592" s="12"/>
      <c r="Y592" s="12"/>
      <c r="AA592" s="13"/>
    </row>
    <row r="593" spans="2:27" ht="12.75" x14ac:dyDescent="0.2">
      <c r="B593" s="44"/>
      <c r="C593" s="10"/>
      <c r="D593" s="10"/>
      <c r="E593" s="39"/>
      <c r="F593" s="39"/>
      <c r="G593" s="39"/>
      <c r="H593" s="39"/>
      <c r="I593" s="9"/>
      <c r="J593" s="9"/>
      <c r="K593" s="39"/>
      <c r="L593" s="39"/>
      <c r="M593" s="39"/>
      <c r="N593" s="9"/>
      <c r="O593" s="39"/>
      <c r="P593" s="39"/>
      <c r="Q593" s="39"/>
      <c r="R593" s="10"/>
      <c r="X593" s="12"/>
      <c r="Y593" s="12"/>
      <c r="AA593" s="13"/>
    </row>
    <row r="594" spans="2:27" ht="12.75" x14ac:dyDescent="0.2">
      <c r="B594" s="44"/>
      <c r="C594" s="10"/>
      <c r="D594" s="10"/>
      <c r="E594" s="39"/>
      <c r="F594" s="39"/>
      <c r="G594" s="39"/>
      <c r="H594" s="39"/>
      <c r="I594" s="9"/>
      <c r="J594" s="9"/>
      <c r="K594" s="39"/>
      <c r="L594" s="39"/>
      <c r="M594" s="39"/>
      <c r="N594" s="9"/>
      <c r="O594" s="39"/>
      <c r="P594" s="39"/>
      <c r="Q594" s="39"/>
      <c r="R594" s="10"/>
      <c r="X594" s="12"/>
      <c r="Y594" s="12"/>
      <c r="AA594" s="13"/>
    </row>
    <row r="595" spans="2:27" ht="12.75" x14ac:dyDescent="0.2">
      <c r="B595" s="44"/>
      <c r="C595" s="10"/>
      <c r="D595" s="10"/>
      <c r="E595" s="39"/>
      <c r="F595" s="39"/>
      <c r="G595" s="39"/>
      <c r="H595" s="39"/>
      <c r="I595" s="9"/>
      <c r="J595" s="9"/>
      <c r="K595" s="39"/>
      <c r="L595" s="39"/>
      <c r="M595" s="39"/>
      <c r="N595" s="9"/>
      <c r="O595" s="39"/>
      <c r="P595" s="39"/>
      <c r="Q595" s="39"/>
      <c r="R595" s="10"/>
      <c r="X595" s="12"/>
      <c r="Y595" s="12"/>
      <c r="AA595" s="13"/>
    </row>
    <row r="596" spans="2:27" ht="12.75" x14ac:dyDescent="0.2">
      <c r="B596" s="44"/>
      <c r="C596" s="10"/>
      <c r="D596" s="10"/>
      <c r="E596" s="39"/>
      <c r="F596" s="39"/>
      <c r="G596" s="39"/>
      <c r="H596" s="39"/>
      <c r="I596" s="9"/>
      <c r="J596" s="9"/>
      <c r="K596" s="39"/>
      <c r="L596" s="39"/>
      <c r="M596" s="39"/>
      <c r="N596" s="9"/>
      <c r="O596" s="39"/>
      <c r="P596" s="39"/>
      <c r="Q596" s="39"/>
      <c r="R596" s="10"/>
      <c r="X596" s="12"/>
      <c r="Y596" s="12"/>
      <c r="AA596" s="13"/>
    </row>
    <row r="597" spans="2:27" ht="12.75" x14ac:dyDescent="0.2">
      <c r="B597" s="44"/>
      <c r="C597" s="10"/>
      <c r="D597" s="10"/>
      <c r="E597" s="39"/>
      <c r="F597" s="39"/>
      <c r="G597" s="39"/>
      <c r="H597" s="39"/>
      <c r="I597" s="9"/>
      <c r="J597" s="9"/>
      <c r="K597" s="39"/>
      <c r="L597" s="39"/>
      <c r="M597" s="39"/>
      <c r="N597" s="9"/>
      <c r="O597" s="39"/>
      <c r="P597" s="39"/>
      <c r="Q597" s="39"/>
      <c r="R597" s="10"/>
      <c r="X597" s="12"/>
      <c r="Y597" s="12"/>
      <c r="AA597" s="13"/>
    </row>
    <row r="598" spans="2:27" ht="12.75" x14ac:dyDescent="0.2">
      <c r="B598" s="44"/>
      <c r="C598" s="10"/>
      <c r="D598" s="10"/>
      <c r="E598" s="39"/>
      <c r="F598" s="39"/>
      <c r="G598" s="39"/>
      <c r="H598" s="39"/>
      <c r="I598" s="9"/>
      <c r="J598" s="9"/>
      <c r="K598" s="39"/>
      <c r="L598" s="39"/>
      <c r="M598" s="39"/>
      <c r="N598" s="9"/>
      <c r="O598" s="39"/>
      <c r="P598" s="39"/>
      <c r="Q598" s="39"/>
      <c r="R598" s="10"/>
      <c r="X598" s="12"/>
      <c r="Y598" s="12"/>
      <c r="AA598" s="13"/>
    </row>
    <row r="599" spans="2:27" ht="12.75" x14ac:dyDescent="0.2">
      <c r="B599" s="44"/>
      <c r="C599" s="10"/>
      <c r="D599" s="10"/>
      <c r="E599" s="39"/>
      <c r="F599" s="39"/>
      <c r="G599" s="39"/>
      <c r="H599" s="39"/>
      <c r="I599" s="9"/>
      <c r="J599" s="9"/>
      <c r="K599" s="39"/>
      <c r="L599" s="39"/>
      <c r="M599" s="39"/>
      <c r="N599" s="9"/>
      <c r="O599" s="39"/>
      <c r="P599" s="39"/>
      <c r="Q599" s="39"/>
      <c r="R599" s="10"/>
      <c r="X599" s="12"/>
      <c r="Y599" s="12"/>
      <c r="AA599" s="13"/>
    </row>
    <row r="600" spans="2:27" ht="12.75" x14ac:dyDescent="0.2">
      <c r="B600" s="44"/>
      <c r="C600" s="10"/>
      <c r="D600" s="10"/>
      <c r="E600" s="39"/>
      <c r="F600" s="39"/>
      <c r="G600" s="39"/>
      <c r="H600" s="39"/>
      <c r="I600" s="9"/>
      <c r="J600" s="9"/>
      <c r="K600" s="39"/>
      <c r="L600" s="39"/>
      <c r="M600" s="39"/>
      <c r="N600" s="9"/>
      <c r="O600" s="39"/>
      <c r="P600" s="39"/>
      <c r="Q600" s="39"/>
      <c r="R600" s="10"/>
      <c r="X600" s="12"/>
      <c r="Y600" s="12"/>
      <c r="AA600" s="13"/>
    </row>
    <row r="601" spans="2:27" ht="12.75" x14ac:dyDescent="0.2">
      <c r="B601" s="44"/>
      <c r="C601" s="10"/>
      <c r="D601" s="10"/>
      <c r="E601" s="39"/>
      <c r="F601" s="39"/>
      <c r="G601" s="39"/>
      <c r="H601" s="39"/>
      <c r="I601" s="9"/>
      <c r="J601" s="9"/>
      <c r="K601" s="39"/>
      <c r="L601" s="39"/>
      <c r="M601" s="39"/>
      <c r="N601" s="9"/>
      <c r="O601" s="39"/>
      <c r="P601" s="39"/>
      <c r="Q601" s="39"/>
      <c r="R601" s="10"/>
      <c r="X601" s="12"/>
      <c r="Y601" s="12"/>
      <c r="AA601" s="13"/>
    </row>
    <row r="602" spans="2:27" ht="12.75" x14ac:dyDescent="0.2">
      <c r="B602" s="44"/>
      <c r="C602" s="10"/>
      <c r="D602" s="10"/>
      <c r="E602" s="39"/>
      <c r="F602" s="39"/>
      <c r="G602" s="39"/>
      <c r="H602" s="39"/>
      <c r="I602" s="9"/>
      <c r="J602" s="9"/>
      <c r="K602" s="39"/>
      <c r="L602" s="39"/>
      <c r="M602" s="39"/>
      <c r="N602" s="9"/>
      <c r="O602" s="39"/>
      <c r="P602" s="39"/>
      <c r="Q602" s="39"/>
      <c r="R602" s="10"/>
      <c r="X602" s="12"/>
      <c r="Y602" s="12"/>
      <c r="AA602" s="13"/>
    </row>
    <row r="603" spans="2:27" ht="12.75" x14ac:dyDescent="0.2">
      <c r="B603" s="44"/>
      <c r="C603" s="10"/>
      <c r="D603" s="10"/>
      <c r="E603" s="39"/>
      <c r="F603" s="39"/>
      <c r="G603" s="39"/>
      <c r="H603" s="39"/>
      <c r="I603" s="9"/>
      <c r="J603" s="9"/>
      <c r="K603" s="39"/>
      <c r="L603" s="39"/>
      <c r="M603" s="39"/>
      <c r="N603" s="9"/>
      <c r="O603" s="39"/>
      <c r="P603" s="39"/>
      <c r="Q603" s="39"/>
      <c r="R603" s="10"/>
      <c r="X603" s="12"/>
      <c r="Y603" s="12"/>
      <c r="AA603" s="13"/>
    </row>
    <row r="604" spans="2:27" ht="12.75" x14ac:dyDescent="0.2">
      <c r="B604" s="44"/>
      <c r="C604" s="10"/>
      <c r="D604" s="10"/>
      <c r="E604" s="39"/>
      <c r="F604" s="39"/>
      <c r="G604" s="39"/>
      <c r="H604" s="39"/>
      <c r="I604" s="9"/>
      <c r="J604" s="9"/>
      <c r="K604" s="39"/>
      <c r="L604" s="39"/>
      <c r="M604" s="39"/>
      <c r="N604" s="9"/>
      <c r="O604" s="39"/>
      <c r="P604" s="39"/>
      <c r="Q604" s="39"/>
      <c r="R604" s="10"/>
      <c r="X604" s="12"/>
      <c r="Y604" s="12"/>
      <c r="AA604" s="13"/>
    </row>
    <row r="605" spans="2:27" ht="12.75" x14ac:dyDescent="0.2">
      <c r="B605" s="44"/>
      <c r="C605" s="10"/>
      <c r="D605" s="10"/>
      <c r="E605" s="39"/>
      <c r="F605" s="39"/>
      <c r="G605" s="39"/>
      <c r="H605" s="39"/>
      <c r="I605" s="9"/>
      <c r="J605" s="9"/>
      <c r="K605" s="39"/>
      <c r="L605" s="39"/>
      <c r="M605" s="39"/>
      <c r="N605" s="9"/>
      <c r="O605" s="39"/>
      <c r="P605" s="39"/>
      <c r="Q605" s="39"/>
      <c r="R605" s="10"/>
      <c r="X605" s="12"/>
      <c r="Y605" s="12"/>
      <c r="AA605" s="13"/>
    </row>
    <row r="606" spans="2:27" ht="12.75" x14ac:dyDescent="0.2">
      <c r="B606" s="44"/>
      <c r="C606" s="10"/>
      <c r="D606" s="10"/>
      <c r="E606" s="39"/>
      <c r="F606" s="39"/>
      <c r="G606" s="39"/>
      <c r="H606" s="39"/>
      <c r="I606" s="9"/>
      <c r="J606" s="9"/>
      <c r="K606" s="39"/>
      <c r="L606" s="39"/>
      <c r="M606" s="39"/>
      <c r="N606" s="9"/>
      <c r="O606" s="39"/>
      <c r="P606" s="39"/>
      <c r="Q606" s="39"/>
      <c r="R606" s="10"/>
      <c r="X606" s="12"/>
      <c r="Y606" s="12"/>
      <c r="AA606" s="13"/>
    </row>
    <row r="607" spans="2:27" ht="12.75" x14ac:dyDescent="0.2">
      <c r="B607" s="44"/>
      <c r="C607" s="10"/>
      <c r="D607" s="10"/>
      <c r="E607" s="39"/>
      <c r="F607" s="39"/>
      <c r="G607" s="39"/>
      <c r="H607" s="39"/>
      <c r="I607" s="9"/>
      <c r="J607" s="9"/>
      <c r="K607" s="39"/>
      <c r="L607" s="39"/>
      <c r="M607" s="39"/>
      <c r="N607" s="9"/>
      <c r="O607" s="39"/>
      <c r="P607" s="39"/>
      <c r="Q607" s="39"/>
      <c r="R607" s="10"/>
      <c r="X607" s="12"/>
      <c r="Y607" s="12"/>
      <c r="AA607" s="13"/>
    </row>
    <row r="608" spans="2:27" ht="12.75" x14ac:dyDescent="0.2">
      <c r="B608" s="44"/>
      <c r="C608" s="10"/>
      <c r="D608" s="10"/>
      <c r="E608" s="39"/>
      <c r="F608" s="39"/>
      <c r="G608" s="39"/>
      <c r="H608" s="39"/>
      <c r="I608" s="9"/>
      <c r="J608" s="9"/>
      <c r="K608" s="39"/>
      <c r="L608" s="39"/>
      <c r="M608" s="39"/>
      <c r="N608" s="9"/>
      <c r="O608" s="39"/>
      <c r="P608" s="39"/>
      <c r="Q608" s="39"/>
      <c r="R608" s="10"/>
      <c r="X608" s="12"/>
      <c r="Y608" s="12"/>
      <c r="AA608" s="13"/>
    </row>
    <row r="609" spans="2:27" ht="12.75" x14ac:dyDescent="0.2">
      <c r="B609" s="44"/>
      <c r="C609" s="10"/>
      <c r="D609" s="10"/>
      <c r="E609" s="39"/>
      <c r="F609" s="39"/>
      <c r="G609" s="39"/>
      <c r="H609" s="39"/>
      <c r="I609" s="9"/>
      <c r="J609" s="9"/>
      <c r="K609" s="39"/>
      <c r="L609" s="39"/>
      <c r="M609" s="39"/>
      <c r="N609" s="9"/>
      <c r="O609" s="39"/>
      <c r="P609" s="39"/>
      <c r="Q609" s="39"/>
      <c r="R609" s="10"/>
      <c r="X609" s="12"/>
      <c r="Y609" s="12"/>
      <c r="AA609" s="13"/>
    </row>
    <row r="610" spans="2:27" ht="12.75" x14ac:dyDescent="0.2">
      <c r="B610" s="44"/>
      <c r="C610" s="10"/>
      <c r="D610" s="10"/>
      <c r="E610" s="39"/>
      <c r="F610" s="39"/>
      <c r="G610" s="39"/>
      <c r="H610" s="39"/>
      <c r="I610" s="9"/>
      <c r="J610" s="9"/>
      <c r="K610" s="39"/>
      <c r="L610" s="39"/>
      <c r="M610" s="39"/>
      <c r="N610" s="9"/>
      <c r="O610" s="39"/>
      <c r="P610" s="39"/>
      <c r="Q610" s="39"/>
      <c r="R610" s="10"/>
      <c r="X610" s="12"/>
      <c r="Y610" s="12"/>
      <c r="AA610" s="13"/>
    </row>
    <row r="611" spans="2:27" ht="12.75" x14ac:dyDescent="0.2">
      <c r="B611" s="44"/>
      <c r="C611" s="10"/>
      <c r="D611" s="10"/>
      <c r="E611" s="39"/>
      <c r="F611" s="39"/>
      <c r="G611" s="39"/>
      <c r="H611" s="39"/>
      <c r="I611" s="9"/>
      <c r="J611" s="9"/>
      <c r="K611" s="39"/>
      <c r="L611" s="39"/>
      <c r="M611" s="39"/>
      <c r="N611" s="9"/>
      <c r="O611" s="39"/>
      <c r="P611" s="39"/>
      <c r="Q611" s="39"/>
      <c r="R611" s="10"/>
      <c r="X611" s="12"/>
      <c r="Y611" s="12"/>
      <c r="AA611" s="13"/>
    </row>
    <row r="612" spans="2:27" ht="12.75" x14ac:dyDescent="0.2">
      <c r="B612" s="44"/>
      <c r="C612" s="10"/>
      <c r="D612" s="10"/>
      <c r="E612" s="39"/>
      <c r="F612" s="39"/>
      <c r="G612" s="39"/>
      <c r="H612" s="39"/>
      <c r="I612" s="9"/>
      <c r="J612" s="9"/>
      <c r="K612" s="39"/>
      <c r="L612" s="39"/>
      <c r="M612" s="39"/>
      <c r="N612" s="9"/>
      <c r="O612" s="39"/>
      <c r="P612" s="39"/>
      <c r="Q612" s="39"/>
      <c r="R612" s="10"/>
      <c r="X612" s="12"/>
      <c r="Y612" s="12"/>
      <c r="AA612" s="13"/>
    </row>
    <row r="613" spans="2:27" ht="12.75" x14ac:dyDescent="0.2">
      <c r="B613" s="44"/>
      <c r="C613" s="10"/>
      <c r="D613" s="10"/>
      <c r="E613" s="39"/>
      <c r="F613" s="39"/>
      <c r="G613" s="39"/>
      <c r="H613" s="39"/>
      <c r="I613" s="9"/>
      <c r="J613" s="9"/>
      <c r="K613" s="39"/>
      <c r="L613" s="39"/>
      <c r="M613" s="39"/>
      <c r="N613" s="9"/>
      <c r="O613" s="39"/>
      <c r="P613" s="39"/>
      <c r="Q613" s="39"/>
      <c r="R613" s="10"/>
      <c r="X613" s="12"/>
      <c r="Y613" s="12"/>
      <c r="AA613" s="13"/>
    </row>
    <row r="614" spans="2:27" ht="12.75" x14ac:dyDescent="0.2">
      <c r="B614" s="44"/>
      <c r="C614" s="10"/>
      <c r="D614" s="10"/>
      <c r="E614" s="39"/>
      <c r="F614" s="39"/>
      <c r="G614" s="39"/>
      <c r="H614" s="39"/>
      <c r="I614" s="9"/>
      <c r="J614" s="9"/>
      <c r="K614" s="39"/>
      <c r="L614" s="39"/>
      <c r="M614" s="39"/>
      <c r="N614" s="9"/>
      <c r="O614" s="39"/>
      <c r="P614" s="39"/>
      <c r="Q614" s="39"/>
      <c r="R614" s="10"/>
      <c r="X614" s="12"/>
      <c r="Y614" s="12"/>
      <c r="AA614" s="13"/>
    </row>
    <row r="615" spans="2:27" ht="12.75" x14ac:dyDescent="0.2">
      <c r="B615" s="44"/>
      <c r="C615" s="10"/>
      <c r="D615" s="10"/>
      <c r="E615" s="39"/>
      <c r="F615" s="39"/>
      <c r="G615" s="39"/>
      <c r="H615" s="39"/>
      <c r="I615" s="9"/>
      <c r="J615" s="9"/>
      <c r="K615" s="39"/>
      <c r="L615" s="39"/>
      <c r="M615" s="39"/>
      <c r="N615" s="9"/>
      <c r="O615" s="39"/>
      <c r="P615" s="39"/>
      <c r="Q615" s="39"/>
      <c r="R615" s="10"/>
      <c r="X615" s="12"/>
      <c r="Y615" s="12"/>
      <c r="AA615" s="13"/>
    </row>
    <row r="616" spans="2:27" ht="12.75" x14ac:dyDescent="0.2">
      <c r="B616" s="44"/>
      <c r="C616" s="10"/>
      <c r="D616" s="10"/>
      <c r="E616" s="39"/>
      <c r="F616" s="39"/>
      <c r="G616" s="39"/>
      <c r="H616" s="39"/>
      <c r="I616" s="9"/>
      <c r="J616" s="9"/>
      <c r="K616" s="39"/>
      <c r="L616" s="39"/>
      <c r="M616" s="39"/>
      <c r="N616" s="9"/>
      <c r="O616" s="39"/>
      <c r="P616" s="39"/>
      <c r="Q616" s="39"/>
      <c r="R616" s="10"/>
      <c r="X616" s="12"/>
      <c r="Y616" s="12"/>
      <c r="AA616" s="13"/>
    </row>
    <row r="617" spans="2:27" ht="12.75" x14ac:dyDescent="0.2">
      <c r="B617" s="44"/>
      <c r="C617" s="10"/>
      <c r="D617" s="10"/>
      <c r="E617" s="39"/>
      <c r="F617" s="39"/>
      <c r="G617" s="39"/>
      <c r="H617" s="39"/>
      <c r="I617" s="9"/>
      <c r="J617" s="9"/>
      <c r="K617" s="39"/>
      <c r="L617" s="39"/>
      <c r="M617" s="39"/>
      <c r="N617" s="9"/>
      <c r="O617" s="39"/>
      <c r="P617" s="39"/>
      <c r="Q617" s="39"/>
      <c r="R617" s="10"/>
      <c r="X617" s="12"/>
      <c r="Y617" s="12"/>
      <c r="AA617" s="13"/>
    </row>
    <row r="618" spans="2:27" ht="12.75" x14ac:dyDescent="0.2">
      <c r="B618" s="44"/>
      <c r="C618" s="10"/>
      <c r="D618" s="10"/>
      <c r="E618" s="39"/>
      <c r="F618" s="39"/>
      <c r="G618" s="39"/>
      <c r="H618" s="39"/>
      <c r="I618" s="9"/>
      <c r="J618" s="9"/>
      <c r="K618" s="39"/>
      <c r="L618" s="39"/>
      <c r="M618" s="39"/>
      <c r="N618" s="9"/>
      <c r="O618" s="39"/>
      <c r="P618" s="39"/>
      <c r="Q618" s="39"/>
      <c r="R618" s="10"/>
      <c r="X618" s="12"/>
      <c r="Y618" s="12"/>
      <c r="AA618" s="13"/>
    </row>
    <row r="619" spans="2:27" ht="12.75" x14ac:dyDescent="0.2">
      <c r="B619" s="44"/>
      <c r="C619" s="10"/>
      <c r="D619" s="10"/>
      <c r="E619" s="39"/>
      <c r="F619" s="39"/>
      <c r="G619" s="39"/>
      <c r="H619" s="39"/>
      <c r="I619" s="9"/>
      <c r="J619" s="9"/>
      <c r="K619" s="39"/>
      <c r="L619" s="39"/>
      <c r="M619" s="39"/>
      <c r="N619" s="9"/>
      <c r="O619" s="39"/>
      <c r="P619" s="39"/>
      <c r="Q619" s="39"/>
      <c r="R619" s="10"/>
      <c r="X619" s="12"/>
      <c r="Y619" s="12"/>
      <c r="AA619" s="13"/>
    </row>
    <row r="620" spans="2:27" ht="12.75" x14ac:dyDescent="0.2">
      <c r="B620" s="44"/>
      <c r="C620" s="10"/>
      <c r="D620" s="10"/>
      <c r="E620" s="39"/>
      <c r="F620" s="39"/>
      <c r="G620" s="39"/>
      <c r="H620" s="39"/>
      <c r="I620" s="9"/>
      <c r="J620" s="9"/>
      <c r="K620" s="39"/>
      <c r="L620" s="39"/>
      <c r="M620" s="39"/>
      <c r="N620" s="9"/>
      <c r="O620" s="39"/>
      <c r="P620" s="39"/>
      <c r="Q620" s="39"/>
      <c r="R620" s="10"/>
      <c r="X620" s="12"/>
      <c r="Y620" s="12"/>
      <c r="AA620" s="13"/>
    </row>
    <row r="621" spans="2:27" ht="12.75" x14ac:dyDescent="0.2">
      <c r="B621" s="44"/>
      <c r="C621" s="10"/>
      <c r="D621" s="10"/>
      <c r="E621" s="39"/>
      <c r="F621" s="39"/>
      <c r="G621" s="39"/>
      <c r="H621" s="39"/>
      <c r="I621" s="9"/>
      <c r="J621" s="9"/>
      <c r="K621" s="39"/>
      <c r="L621" s="39"/>
      <c r="M621" s="39"/>
      <c r="N621" s="9"/>
      <c r="O621" s="39"/>
      <c r="P621" s="39"/>
      <c r="Q621" s="39"/>
      <c r="R621" s="10"/>
      <c r="X621" s="12"/>
      <c r="Y621" s="12"/>
      <c r="AA621" s="13"/>
    </row>
    <row r="622" spans="2:27" ht="12.75" x14ac:dyDescent="0.2">
      <c r="B622" s="44"/>
      <c r="C622" s="10"/>
      <c r="D622" s="10"/>
      <c r="E622" s="39"/>
      <c r="F622" s="39"/>
      <c r="G622" s="39"/>
      <c r="H622" s="39"/>
      <c r="I622" s="9"/>
      <c r="J622" s="9"/>
      <c r="K622" s="39"/>
      <c r="L622" s="39"/>
      <c r="M622" s="39"/>
      <c r="N622" s="9"/>
      <c r="O622" s="39"/>
      <c r="P622" s="39"/>
      <c r="Q622" s="39"/>
      <c r="R622" s="10"/>
      <c r="X622" s="12"/>
      <c r="Y622" s="12"/>
      <c r="AA622" s="13"/>
    </row>
    <row r="623" spans="2:27" ht="12.75" x14ac:dyDescent="0.2">
      <c r="B623" s="44"/>
      <c r="C623" s="10"/>
      <c r="D623" s="10"/>
      <c r="E623" s="39"/>
      <c r="F623" s="39"/>
      <c r="G623" s="39"/>
      <c r="H623" s="39"/>
      <c r="I623" s="9"/>
      <c r="J623" s="9"/>
      <c r="K623" s="39"/>
      <c r="L623" s="39"/>
      <c r="M623" s="39"/>
      <c r="N623" s="9"/>
      <c r="O623" s="39"/>
      <c r="P623" s="39"/>
      <c r="Q623" s="39"/>
      <c r="R623" s="10"/>
      <c r="X623" s="12"/>
      <c r="Y623" s="12"/>
      <c r="AA623" s="13"/>
    </row>
    <row r="624" spans="2:27" ht="12.75" x14ac:dyDescent="0.2">
      <c r="B624" s="44"/>
      <c r="C624" s="10"/>
      <c r="D624" s="10"/>
      <c r="E624" s="39"/>
      <c r="F624" s="39"/>
      <c r="G624" s="39"/>
      <c r="H624" s="39"/>
      <c r="I624" s="9"/>
      <c r="J624" s="9"/>
      <c r="K624" s="39"/>
      <c r="L624" s="39"/>
      <c r="M624" s="39"/>
      <c r="N624" s="9"/>
      <c r="O624" s="39"/>
      <c r="P624" s="39"/>
      <c r="Q624" s="39"/>
      <c r="R624" s="10"/>
      <c r="X624" s="12"/>
      <c r="Y624" s="12"/>
      <c r="AA624" s="13"/>
    </row>
    <row r="625" spans="2:27" ht="12.75" x14ac:dyDescent="0.2">
      <c r="B625" s="44"/>
      <c r="C625" s="10"/>
      <c r="D625" s="10"/>
      <c r="E625" s="39"/>
      <c r="F625" s="39"/>
      <c r="G625" s="39"/>
      <c r="H625" s="39"/>
      <c r="I625" s="9"/>
      <c r="J625" s="9"/>
      <c r="K625" s="39"/>
      <c r="L625" s="39"/>
      <c r="M625" s="39"/>
      <c r="N625" s="9"/>
      <c r="O625" s="39"/>
      <c r="P625" s="39"/>
      <c r="Q625" s="39"/>
      <c r="R625" s="10"/>
      <c r="X625" s="12"/>
      <c r="Y625" s="12"/>
      <c r="AA625" s="13"/>
    </row>
    <row r="626" spans="2:27" ht="12.75" x14ac:dyDescent="0.2">
      <c r="B626" s="44"/>
      <c r="C626" s="10"/>
      <c r="D626" s="10"/>
      <c r="E626" s="39"/>
      <c r="F626" s="39"/>
      <c r="G626" s="39"/>
      <c r="H626" s="39"/>
      <c r="I626" s="9"/>
      <c r="J626" s="9"/>
      <c r="K626" s="39"/>
      <c r="L626" s="39"/>
      <c r="M626" s="39"/>
      <c r="N626" s="9"/>
      <c r="O626" s="39"/>
      <c r="P626" s="39"/>
      <c r="Q626" s="39"/>
      <c r="R626" s="10"/>
      <c r="X626" s="12"/>
      <c r="Y626" s="12"/>
      <c r="AA626" s="13"/>
    </row>
    <row r="627" spans="2:27" ht="12.75" x14ac:dyDescent="0.2">
      <c r="B627" s="44"/>
      <c r="C627" s="10"/>
      <c r="D627" s="10"/>
      <c r="E627" s="39"/>
      <c r="F627" s="39"/>
      <c r="G627" s="39"/>
      <c r="H627" s="39"/>
      <c r="I627" s="9"/>
      <c r="J627" s="9"/>
      <c r="K627" s="39"/>
      <c r="L627" s="39"/>
      <c r="M627" s="39"/>
      <c r="N627" s="9"/>
      <c r="O627" s="39"/>
      <c r="P627" s="39"/>
      <c r="Q627" s="39"/>
      <c r="R627" s="10"/>
      <c r="X627" s="12"/>
      <c r="Y627" s="12"/>
      <c r="AA627" s="13"/>
    </row>
    <row r="628" spans="2:27" ht="12.75" x14ac:dyDescent="0.2">
      <c r="B628" s="44"/>
      <c r="C628" s="10"/>
      <c r="D628" s="10"/>
      <c r="E628" s="39"/>
      <c r="F628" s="39"/>
      <c r="G628" s="39"/>
      <c r="H628" s="39"/>
      <c r="I628" s="9"/>
      <c r="J628" s="9"/>
      <c r="K628" s="39"/>
      <c r="L628" s="39"/>
      <c r="M628" s="39"/>
      <c r="N628" s="9"/>
      <c r="O628" s="39"/>
      <c r="P628" s="39"/>
      <c r="Q628" s="39"/>
      <c r="R628" s="10"/>
      <c r="X628" s="12"/>
      <c r="Y628" s="12"/>
      <c r="AA628" s="13"/>
    </row>
    <row r="629" spans="2:27" ht="12.75" x14ac:dyDescent="0.2">
      <c r="B629" s="44"/>
      <c r="C629" s="10"/>
      <c r="D629" s="10"/>
      <c r="E629" s="39"/>
      <c r="F629" s="39"/>
      <c r="G629" s="39"/>
      <c r="H629" s="39"/>
      <c r="I629" s="9"/>
      <c r="J629" s="9"/>
      <c r="K629" s="39"/>
      <c r="L629" s="39"/>
      <c r="M629" s="39"/>
      <c r="N629" s="9"/>
      <c r="O629" s="39"/>
      <c r="P629" s="39"/>
      <c r="Q629" s="39"/>
      <c r="R629" s="10"/>
      <c r="X629" s="12"/>
      <c r="Y629" s="12"/>
      <c r="AA629" s="13"/>
    </row>
    <row r="630" spans="2:27" ht="12.75" x14ac:dyDescent="0.2">
      <c r="B630" s="44"/>
      <c r="C630" s="10"/>
      <c r="D630" s="10"/>
      <c r="E630" s="39"/>
      <c r="F630" s="39"/>
      <c r="G630" s="39"/>
      <c r="H630" s="39"/>
      <c r="I630" s="9"/>
      <c r="J630" s="9"/>
      <c r="K630" s="39"/>
      <c r="L630" s="39"/>
      <c r="M630" s="39"/>
      <c r="N630" s="9"/>
      <c r="O630" s="39"/>
      <c r="P630" s="39"/>
      <c r="Q630" s="39"/>
      <c r="R630" s="10"/>
      <c r="X630" s="12"/>
      <c r="Y630" s="12"/>
      <c r="AA630" s="13"/>
    </row>
    <row r="631" spans="2:27" ht="12.75" x14ac:dyDescent="0.2">
      <c r="B631" s="44"/>
      <c r="C631" s="10"/>
      <c r="D631" s="10"/>
      <c r="E631" s="39"/>
      <c r="F631" s="39"/>
      <c r="G631" s="39"/>
      <c r="H631" s="39"/>
      <c r="I631" s="9"/>
      <c r="J631" s="9"/>
      <c r="K631" s="39"/>
      <c r="L631" s="39"/>
      <c r="M631" s="39"/>
      <c r="N631" s="9"/>
      <c r="O631" s="39"/>
      <c r="P631" s="39"/>
      <c r="Q631" s="39"/>
      <c r="R631" s="10"/>
      <c r="X631" s="12"/>
      <c r="Y631" s="12"/>
      <c r="AA631" s="13"/>
    </row>
    <row r="632" spans="2:27" ht="12.75" x14ac:dyDescent="0.2">
      <c r="B632" s="44"/>
      <c r="C632" s="10"/>
      <c r="D632" s="10"/>
      <c r="E632" s="39"/>
      <c r="F632" s="39"/>
      <c r="G632" s="39"/>
      <c r="H632" s="39"/>
      <c r="I632" s="9"/>
      <c r="J632" s="9"/>
      <c r="K632" s="39"/>
      <c r="L632" s="39"/>
      <c r="M632" s="39"/>
      <c r="N632" s="9"/>
      <c r="O632" s="39"/>
      <c r="P632" s="39"/>
      <c r="Q632" s="39"/>
      <c r="R632" s="10"/>
      <c r="X632" s="12"/>
      <c r="Y632" s="12"/>
      <c r="AA632" s="13"/>
    </row>
    <row r="633" spans="2:27" ht="12.75" x14ac:dyDescent="0.2">
      <c r="B633" s="44"/>
      <c r="C633" s="10"/>
      <c r="D633" s="10"/>
      <c r="E633" s="39"/>
      <c r="F633" s="39"/>
      <c r="G633" s="39"/>
      <c r="H633" s="39"/>
      <c r="I633" s="9"/>
      <c r="J633" s="9"/>
      <c r="K633" s="39"/>
      <c r="L633" s="39"/>
      <c r="M633" s="39"/>
      <c r="N633" s="9"/>
      <c r="O633" s="39"/>
      <c r="P633" s="39"/>
      <c r="Q633" s="39"/>
      <c r="R633" s="10"/>
      <c r="X633" s="12"/>
      <c r="Y633" s="12"/>
      <c r="AA633" s="13"/>
    </row>
    <row r="634" spans="2:27" ht="12.75" x14ac:dyDescent="0.2">
      <c r="B634" s="44"/>
      <c r="C634" s="10"/>
      <c r="D634" s="10"/>
      <c r="E634" s="39"/>
      <c r="F634" s="39"/>
      <c r="G634" s="39"/>
      <c r="H634" s="39"/>
      <c r="I634" s="9"/>
      <c r="J634" s="9"/>
      <c r="K634" s="39"/>
      <c r="L634" s="39"/>
      <c r="M634" s="39"/>
      <c r="N634" s="9"/>
      <c r="O634" s="39"/>
      <c r="P634" s="39"/>
      <c r="Q634" s="39"/>
      <c r="R634" s="10"/>
      <c r="X634" s="12"/>
      <c r="Y634" s="12"/>
      <c r="AA634" s="13"/>
    </row>
    <row r="635" spans="2:27" ht="12.75" x14ac:dyDescent="0.2">
      <c r="B635" s="44"/>
      <c r="C635" s="10"/>
      <c r="D635" s="10"/>
      <c r="E635" s="39"/>
      <c r="F635" s="39"/>
      <c r="G635" s="39"/>
      <c r="H635" s="39"/>
      <c r="I635" s="9"/>
      <c r="J635" s="9"/>
      <c r="K635" s="39"/>
      <c r="L635" s="39"/>
      <c r="M635" s="39"/>
      <c r="N635" s="9"/>
      <c r="O635" s="39"/>
      <c r="P635" s="39"/>
      <c r="Q635" s="39"/>
      <c r="R635" s="10"/>
      <c r="X635" s="12"/>
      <c r="Y635" s="12"/>
      <c r="AA635" s="13"/>
    </row>
    <row r="636" spans="2:27" ht="12.75" x14ac:dyDescent="0.2">
      <c r="B636" s="44"/>
      <c r="C636" s="10"/>
      <c r="D636" s="10"/>
      <c r="E636" s="39"/>
      <c r="F636" s="39"/>
      <c r="G636" s="39"/>
      <c r="H636" s="39"/>
      <c r="I636" s="9"/>
      <c r="J636" s="9"/>
      <c r="K636" s="39"/>
      <c r="L636" s="39"/>
      <c r="M636" s="39"/>
      <c r="N636" s="9"/>
      <c r="O636" s="39"/>
      <c r="P636" s="39"/>
      <c r="Q636" s="39"/>
      <c r="R636" s="10"/>
      <c r="X636" s="12"/>
      <c r="Y636" s="12"/>
      <c r="AA636" s="13"/>
    </row>
    <row r="637" spans="2:27" ht="12.75" x14ac:dyDescent="0.2">
      <c r="B637" s="44"/>
      <c r="C637" s="10"/>
      <c r="D637" s="10"/>
      <c r="E637" s="39"/>
      <c r="F637" s="39"/>
      <c r="G637" s="39"/>
      <c r="H637" s="39"/>
      <c r="I637" s="9"/>
      <c r="J637" s="9"/>
      <c r="K637" s="39"/>
      <c r="L637" s="39"/>
      <c r="M637" s="39"/>
      <c r="N637" s="9"/>
      <c r="O637" s="39"/>
      <c r="P637" s="39"/>
      <c r="Q637" s="39"/>
      <c r="R637" s="10"/>
      <c r="X637" s="12"/>
      <c r="Y637" s="12"/>
      <c r="AA637" s="13"/>
    </row>
    <row r="638" spans="2:27" ht="12.75" x14ac:dyDescent="0.2">
      <c r="B638" s="44"/>
      <c r="C638" s="10"/>
      <c r="D638" s="10"/>
      <c r="E638" s="39"/>
      <c r="F638" s="39"/>
      <c r="G638" s="39"/>
      <c r="H638" s="39"/>
      <c r="I638" s="9"/>
      <c r="J638" s="9"/>
      <c r="K638" s="39"/>
      <c r="L638" s="39"/>
      <c r="M638" s="39"/>
      <c r="N638" s="9"/>
      <c r="O638" s="39"/>
      <c r="P638" s="39"/>
      <c r="Q638" s="39"/>
      <c r="R638" s="10"/>
      <c r="X638" s="12"/>
      <c r="Y638" s="12"/>
      <c r="AA638" s="13"/>
    </row>
    <row r="639" spans="2:27" ht="12.75" x14ac:dyDescent="0.2">
      <c r="B639" s="44"/>
      <c r="C639" s="10"/>
      <c r="D639" s="10"/>
      <c r="E639" s="39"/>
      <c r="F639" s="39"/>
      <c r="G639" s="39"/>
      <c r="H639" s="39"/>
      <c r="I639" s="9"/>
      <c r="J639" s="9"/>
      <c r="K639" s="39"/>
      <c r="L639" s="39"/>
      <c r="M639" s="39"/>
      <c r="N639" s="9"/>
      <c r="O639" s="39"/>
      <c r="P639" s="39"/>
      <c r="Q639" s="39"/>
      <c r="R639" s="10"/>
      <c r="X639" s="12"/>
      <c r="Y639" s="12"/>
      <c r="AA639" s="13"/>
    </row>
    <row r="640" spans="2:27" ht="12.75" x14ac:dyDescent="0.2">
      <c r="B640" s="44"/>
      <c r="C640" s="10"/>
      <c r="D640" s="10"/>
      <c r="E640" s="39"/>
      <c r="F640" s="39"/>
      <c r="G640" s="39"/>
      <c r="H640" s="39"/>
      <c r="I640" s="9"/>
      <c r="J640" s="9"/>
      <c r="K640" s="39"/>
      <c r="L640" s="39"/>
      <c r="M640" s="39"/>
      <c r="N640" s="9"/>
      <c r="O640" s="39"/>
      <c r="P640" s="39"/>
      <c r="Q640" s="39"/>
      <c r="R640" s="10"/>
      <c r="X640" s="12"/>
      <c r="Y640" s="12"/>
      <c r="AA640" s="13"/>
    </row>
    <row r="641" spans="2:27" ht="12.75" x14ac:dyDescent="0.2">
      <c r="B641" s="44"/>
      <c r="C641" s="10"/>
      <c r="D641" s="10"/>
      <c r="E641" s="39"/>
      <c r="F641" s="39"/>
      <c r="G641" s="39"/>
      <c r="H641" s="39"/>
      <c r="I641" s="9"/>
      <c r="J641" s="9"/>
      <c r="K641" s="39"/>
      <c r="L641" s="39"/>
      <c r="M641" s="39"/>
      <c r="N641" s="9"/>
      <c r="O641" s="39"/>
      <c r="P641" s="39"/>
      <c r="Q641" s="39"/>
      <c r="R641" s="10"/>
      <c r="X641" s="12"/>
      <c r="Y641" s="12"/>
      <c r="AA641" s="13"/>
    </row>
    <row r="642" spans="2:27" ht="12.75" x14ac:dyDescent="0.2">
      <c r="B642" s="44"/>
      <c r="C642" s="10"/>
      <c r="D642" s="10"/>
      <c r="E642" s="39"/>
      <c r="F642" s="39"/>
      <c r="G642" s="39"/>
      <c r="H642" s="39"/>
      <c r="I642" s="9"/>
      <c r="J642" s="9"/>
      <c r="K642" s="39"/>
      <c r="L642" s="39"/>
      <c r="M642" s="39"/>
      <c r="N642" s="9"/>
      <c r="O642" s="39"/>
      <c r="P642" s="39"/>
      <c r="Q642" s="39"/>
      <c r="R642" s="10"/>
      <c r="X642" s="12"/>
      <c r="Y642" s="12"/>
      <c r="AA642" s="13"/>
    </row>
    <row r="643" spans="2:27" ht="12.75" x14ac:dyDescent="0.2">
      <c r="B643" s="44"/>
      <c r="C643" s="10"/>
      <c r="D643" s="10"/>
      <c r="E643" s="39"/>
      <c r="F643" s="39"/>
      <c r="G643" s="39"/>
      <c r="H643" s="39"/>
      <c r="I643" s="9"/>
      <c r="J643" s="9"/>
      <c r="K643" s="39"/>
      <c r="L643" s="39"/>
      <c r="M643" s="39"/>
      <c r="N643" s="9"/>
      <c r="O643" s="39"/>
      <c r="P643" s="39"/>
      <c r="Q643" s="39"/>
      <c r="R643" s="10"/>
      <c r="X643" s="12"/>
      <c r="Y643" s="12"/>
      <c r="AA643" s="13"/>
    </row>
    <row r="644" spans="2:27" ht="12.75" x14ac:dyDescent="0.2">
      <c r="B644" s="44"/>
      <c r="C644" s="10"/>
      <c r="D644" s="10"/>
      <c r="E644" s="39"/>
      <c r="F644" s="39"/>
      <c r="G644" s="39"/>
      <c r="H644" s="39"/>
      <c r="I644" s="9"/>
      <c r="J644" s="9"/>
      <c r="K644" s="39"/>
      <c r="L644" s="39"/>
      <c r="M644" s="39"/>
      <c r="N644" s="9"/>
      <c r="O644" s="39"/>
      <c r="P644" s="39"/>
      <c r="Q644" s="39"/>
      <c r="R644" s="10"/>
      <c r="X644" s="12"/>
      <c r="Y644" s="12"/>
      <c r="AA644" s="13"/>
    </row>
    <row r="645" spans="2:27" ht="12.75" x14ac:dyDescent="0.2">
      <c r="B645" s="44"/>
      <c r="C645" s="10"/>
      <c r="D645" s="10"/>
      <c r="E645" s="39"/>
      <c r="F645" s="39"/>
      <c r="G645" s="39"/>
      <c r="H645" s="39"/>
      <c r="I645" s="9"/>
      <c r="J645" s="9"/>
      <c r="K645" s="39"/>
      <c r="L645" s="39"/>
      <c r="M645" s="39"/>
      <c r="N645" s="9"/>
      <c r="O645" s="39"/>
      <c r="P645" s="39"/>
      <c r="Q645" s="39"/>
      <c r="R645" s="10"/>
      <c r="X645" s="12"/>
      <c r="Y645" s="12"/>
      <c r="AA645" s="13"/>
    </row>
    <row r="646" spans="2:27" ht="12.75" x14ac:dyDescent="0.2">
      <c r="B646" s="44"/>
      <c r="C646" s="10"/>
      <c r="D646" s="10"/>
      <c r="E646" s="39"/>
      <c r="F646" s="39"/>
      <c r="G646" s="39"/>
      <c r="H646" s="39"/>
      <c r="I646" s="9"/>
      <c r="J646" s="9"/>
      <c r="K646" s="39"/>
      <c r="L646" s="39"/>
      <c r="M646" s="39"/>
      <c r="N646" s="9"/>
      <c r="O646" s="39"/>
      <c r="P646" s="39"/>
      <c r="Q646" s="39"/>
      <c r="R646" s="10"/>
      <c r="X646" s="12"/>
      <c r="Y646" s="12"/>
      <c r="AA646" s="13"/>
    </row>
    <row r="647" spans="2:27" ht="12.75" x14ac:dyDescent="0.2">
      <c r="B647" s="44"/>
      <c r="C647" s="10"/>
      <c r="D647" s="10"/>
      <c r="E647" s="39"/>
      <c r="F647" s="39"/>
      <c r="G647" s="39"/>
      <c r="H647" s="39"/>
      <c r="I647" s="9"/>
      <c r="J647" s="9"/>
      <c r="K647" s="39"/>
      <c r="L647" s="39"/>
      <c r="M647" s="39"/>
      <c r="N647" s="9"/>
      <c r="O647" s="39"/>
      <c r="P647" s="39"/>
      <c r="Q647" s="39"/>
      <c r="R647" s="10"/>
      <c r="X647" s="12"/>
      <c r="Y647" s="12"/>
      <c r="AA647" s="13"/>
    </row>
    <row r="648" spans="2:27" ht="12.75" x14ac:dyDescent="0.2">
      <c r="B648" s="44"/>
      <c r="C648" s="10"/>
      <c r="D648" s="10"/>
      <c r="E648" s="39"/>
      <c r="F648" s="39"/>
      <c r="G648" s="39"/>
      <c r="H648" s="39"/>
      <c r="I648" s="9"/>
      <c r="J648" s="9"/>
      <c r="K648" s="39"/>
      <c r="L648" s="39"/>
      <c r="M648" s="39"/>
      <c r="N648" s="9"/>
      <c r="O648" s="39"/>
      <c r="P648" s="39"/>
      <c r="Q648" s="39"/>
      <c r="R648" s="10"/>
      <c r="X648" s="12"/>
      <c r="Y648" s="12"/>
      <c r="AA648" s="13"/>
    </row>
    <row r="649" spans="2:27" ht="12.75" x14ac:dyDescent="0.2">
      <c r="B649" s="44"/>
      <c r="C649" s="10"/>
      <c r="D649" s="10"/>
      <c r="E649" s="39"/>
      <c r="F649" s="39"/>
      <c r="G649" s="39"/>
      <c r="H649" s="39"/>
      <c r="I649" s="9"/>
      <c r="J649" s="9"/>
      <c r="K649" s="39"/>
      <c r="L649" s="39"/>
      <c r="M649" s="39"/>
      <c r="N649" s="9"/>
      <c r="O649" s="39"/>
      <c r="P649" s="39"/>
      <c r="Q649" s="39"/>
      <c r="R649" s="10"/>
      <c r="X649" s="12"/>
      <c r="Y649" s="12"/>
      <c r="AA649" s="13"/>
    </row>
    <row r="650" spans="2:27" ht="12.75" x14ac:dyDescent="0.2">
      <c r="B650" s="44"/>
      <c r="C650" s="10"/>
      <c r="D650" s="10"/>
      <c r="E650" s="39"/>
      <c r="F650" s="39"/>
      <c r="G650" s="39"/>
      <c r="H650" s="39"/>
      <c r="I650" s="9"/>
      <c r="J650" s="9"/>
      <c r="K650" s="39"/>
      <c r="L650" s="39"/>
      <c r="M650" s="39"/>
      <c r="N650" s="9"/>
      <c r="O650" s="39"/>
      <c r="P650" s="39"/>
      <c r="Q650" s="39"/>
      <c r="R650" s="10"/>
      <c r="X650" s="12"/>
      <c r="Y650" s="12"/>
      <c r="AA650" s="13"/>
    </row>
    <row r="651" spans="2:27" ht="12.75" x14ac:dyDescent="0.2">
      <c r="B651" s="44"/>
      <c r="C651" s="10"/>
      <c r="D651" s="10"/>
      <c r="E651" s="39"/>
      <c r="F651" s="39"/>
      <c r="G651" s="39"/>
      <c r="H651" s="39"/>
      <c r="I651" s="9"/>
      <c r="J651" s="9"/>
      <c r="K651" s="39"/>
      <c r="L651" s="39"/>
      <c r="M651" s="39"/>
      <c r="N651" s="9"/>
      <c r="O651" s="39"/>
      <c r="P651" s="39"/>
      <c r="Q651" s="39"/>
      <c r="R651" s="10"/>
      <c r="X651" s="12"/>
      <c r="Y651" s="12"/>
      <c r="AA651" s="13"/>
    </row>
    <row r="652" spans="2:27" ht="12.75" x14ac:dyDescent="0.2">
      <c r="B652" s="44"/>
      <c r="C652" s="10"/>
      <c r="D652" s="10"/>
      <c r="E652" s="39"/>
      <c r="F652" s="39"/>
      <c r="G652" s="39"/>
      <c r="H652" s="39"/>
      <c r="I652" s="9"/>
      <c r="J652" s="9"/>
      <c r="K652" s="39"/>
      <c r="L652" s="39"/>
      <c r="M652" s="39"/>
      <c r="N652" s="9"/>
      <c r="O652" s="39"/>
      <c r="P652" s="39"/>
      <c r="Q652" s="39"/>
      <c r="R652" s="10"/>
      <c r="X652" s="12"/>
      <c r="Y652" s="12"/>
      <c r="AA652" s="13"/>
    </row>
    <row r="653" spans="2:27" ht="12.75" x14ac:dyDescent="0.2">
      <c r="B653" s="44"/>
      <c r="C653" s="10"/>
      <c r="D653" s="10"/>
      <c r="E653" s="39"/>
      <c r="F653" s="39"/>
      <c r="G653" s="39"/>
      <c r="H653" s="39"/>
      <c r="I653" s="9"/>
      <c r="J653" s="9"/>
      <c r="K653" s="39"/>
      <c r="L653" s="39"/>
      <c r="M653" s="39"/>
      <c r="N653" s="9"/>
      <c r="O653" s="39"/>
      <c r="P653" s="39"/>
      <c r="Q653" s="39"/>
      <c r="R653" s="10"/>
      <c r="X653" s="12"/>
      <c r="Y653" s="12"/>
      <c r="AA653" s="13"/>
    </row>
    <row r="654" spans="2:27" ht="12.75" x14ac:dyDescent="0.2">
      <c r="B654" s="44"/>
      <c r="C654" s="10"/>
      <c r="D654" s="10"/>
      <c r="E654" s="39"/>
      <c r="F654" s="39"/>
      <c r="G654" s="39"/>
      <c r="H654" s="39"/>
      <c r="I654" s="9"/>
      <c r="J654" s="9"/>
      <c r="K654" s="39"/>
      <c r="L654" s="39"/>
      <c r="M654" s="39"/>
      <c r="N654" s="9"/>
      <c r="O654" s="39"/>
      <c r="P654" s="39"/>
      <c r="Q654" s="39"/>
      <c r="R654" s="10"/>
      <c r="X654" s="12"/>
      <c r="Y654" s="12"/>
      <c r="AA654" s="13"/>
    </row>
    <row r="655" spans="2:27" ht="12.75" x14ac:dyDescent="0.2">
      <c r="B655" s="44"/>
      <c r="C655" s="10"/>
      <c r="D655" s="10"/>
      <c r="E655" s="39"/>
      <c r="F655" s="39"/>
      <c r="G655" s="39"/>
      <c r="H655" s="39"/>
      <c r="I655" s="9"/>
      <c r="J655" s="9"/>
      <c r="K655" s="39"/>
      <c r="L655" s="39"/>
      <c r="M655" s="39"/>
      <c r="N655" s="9"/>
      <c r="O655" s="39"/>
      <c r="P655" s="39"/>
      <c r="Q655" s="39"/>
      <c r="R655" s="10"/>
      <c r="X655" s="12"/>
      <c r="Y655" s="12"/>
      <c r="AA655" s="13"/>
    </row>
    <row r="656" spans="2:27" ht="12.75" x14ac:dyDescent="0.2">
      <c r="B656" s="44"/>
      <c r="C656" s="10"/>
      <c r="D656" s="10"/>
      <c r="E656" s="39"/>
      <c r="F656" s="39"/>
      <c r="G656" s="39"/>
      <c r="H656" s="39"/>
      <c r="I656" s="9"/>
      <c r="J656" s="9"/>
      <c r="K656" s="39"/>
      <c r="L656" s="39"/>
      <c r="M656" s="39"/>
      <c r="N656" s="9"/>
      <c r="O656" s="39"/>
      <c r="P656" s="39"/>
      <c r="Q656" s="39"/>
      <c r="R656" s="10"/>
      <c r="X656" s="12"/>
      <c r="Y656" s="12"/>
      <c r="AA656" s="13"/>
    </row>
    <row r="657" spans="2:27" ht="12.75" x14ac:dyDescent="0.2">
      <c r="B657" s="44"/>
      <c r="C657" s="10"/>
      <c r="D657" s="10"/>
      <c r="E657" s="39"/>
      <c r="F657" s="39"/>
      <c r="G657" s="39"/>
      <c r="H657" s="39"/>
      <c r="I657" s="9"/>
      <c r="J657" s="9"/>
      <c r="K657" s="39"/>
      <c r="L657" s="39"/>
      <c r="M657" s="39"/>
      <c r="N657" s="9"/>
      <c r="O657" s="39"/>
      <c r="P657" s="39"/>
      <c r="Q657" s="39"/>
      <c r="R657" s="10"/>
      <c r="X657" s="12"/>
      <c r="Y657" s="12"/>
      <c r="AA657" s="13"/>
    </row>
    <row r="658" spans="2:27" ht="12.75" x14ac:dyDescent="0.2">
      <c r="B658" s="44"/>
      <c r="C658" s="10"/>
      <c r="D658" s="10"/>
      <c r="E658" s="39"/>
      <c r="F658" s="39"/>
      <c r="G658" s="39"/>
      <c r="H658" s="39"/>
      <c r="I658" s="9"/>
      <c r="J658" s="9"/>
      <c r="K658" s="39"/>
      <c r="L658" s="39"/>
      <c r="M658" s="39"/>
      <c r="N658" s="9"/>
      <c r="O658" s="39"/>
      <c r="P658" s="39"/>
      <c r="Q658" s="39"/>
      <c r="R658" s="10"/>
      <c r="X658" s="12"/>
      <c r="Y658" s="12"/>
      <c r="AA658" s="13"/>
    </row>
    <row r="659" spans="2:27" ht="12.75" x14ac:dyDescent="0.2">
      <c r="B659" s="44"/>
      <c r="C659" s="10"/>
      <c r="D659" s="10"/>
      <c r="E659" s="39"/>
      <c r="F659" s="39"/>
      <c r="G659" s="39"/>
      <c r="H659" s="39"/>
      <c r="I659" s="9"/>
      <c r="J659" s="9"/>
      <c r="K659" s="39"/>
      <c r="L659" s="39"/>
      <c r="M659" s="39"/>
      <c r="N659" s="9"/>
      <c r="O659" s="39"/>
      <c r="P659" s="39"/>
      <c r="Q659" s="39"/>
      <c r="R659" s="10"/>
      <c r="X659" s="12"/>
      <c r="Y659" s="12"/>
      <c r="AA659" s="13"/>
    </row>
    <row r="660" spans="2:27" ht="12.75" x14ac:dyDescent="0.2">
      <c r="B660" s="44"/>
      <c r="C660" s="10"/>
      <c r="D660" s="10"/>
      <c r="E660" s="39"/>
      <c r="F660" s="39"/>
      <c r="G660" s="39"/>
      <c r="H660" s="39"/>
      <c r="I660" s="9"/>
      <c r="J660" s="9"/>
      <c r="K660" s="39"/>
      <c r="L660" s="39"/>
      <c r="M660" s="39"/>
      <c r="N660" s="9"/>
      <c r="O660" s="39"/>
      <c r="P660" s="39"/>
      <c r="Q660" s="39"/>
      <c r="R660" s="10"/>
      <c r="X660" s="12"/>
      <c r="Y660" s="12"/>
      <c r="AA660" s="13"/>
    </row>
    <row r="661" spans="2:27" ht="12.75" x14ac:dyDescent="0.2">
      <c r="B661" s="44"/>
      <c r="C661" s="10"/>
      <c r="D661" s="10"/>
      <c r="E661" s="39"/>
      <c r="F661" s="39"/>
      <c r="G661" s="39"/>
      <c r="H661" s="39"/>
      <c r="I661" s="9"/>
      <c r="J661" s="9"/>
      <c r="K661" s="39"/>
      <c r="L661" s="39"/>
      <c r="M661" s="39"/>
      <c r="N661" s="9"/>
      <c r="O661" s="39"/>
      <c r="P661" s="39"/>
      <c r="Q661" s="39"/>
      <c r="R661" s="10"/>
      <c r="X661" s="12"/>
      <c r="Y661" s="12"/>
      <c r="AA661" s="13"/>
    </row>
    <row r="662" spans="2:27" ht="12.75" x14ac:dyDescent="0.2">
      <c r="B662" s="44"/>
      <c r="C662" s="10"/>
      <c r="D662" s="10"/>
      <c r="E662" s="39"/>
      <c r="F662" s="39"/>
      <c r="G662" s="39"/>
      <c r="H662" s="39"/>
      <c r="I662" s="9"/>
      <c r="J662" s="9"/>
      <c r="K662" s="39"/>
      <c r="L662" s="39"/>
      <c r="M662" s="39"/>
      <c r="N662" s="9"/>
      <c r="O662" s="39"/>
      <c r="P662" s="39"/>
      <c r="Q662" s="39"/>
      <c r="R662" s="10"/>
      <c r="X662" s="12"/>
      <c r="Y662" s="12"/>
      <c r="AA662" s="13"/>
    </row>
    <row r="663" spans="2:27" ht="12.75" x14ac:dyDescent="0.2">
      <c r="B663" s="44"/>
      <c r="C663" s="10"/>
      <c r="D663" s="10"/>
      <c r="E663" s="39"/>
      <c r="F663" s="39"/>
      <c r="G663" s="39"/>
      <c r="H663" s="39"/>
      <c r="I663" s="9"/>
      <c r="J663" s="9"/>
      <c r="K663" s="39"/>
      <c r="L663" s="39"/>
      <c r="M663" s="39"/>
      <c r="N663" s="9"/>
      <c r="O663" s="39"/>
      <c r="P663" s="39"/>
      <c r="Q663" s="39"/>
      <c r="R663" s="10"/>
      <c r="X663" s="12"/>
      <c r="Y663" s="12"/>
      <c r="AA663" s="13"/>
    </row>
    <row r="664" spans="2:27" ht="12.75" x14ac:dyDescent="0.2">
      <c r="B664" s="44"/>
      <c r="C664" s="10"/>
      <c r="D664" s="10"/>
      <c r="E664" s="39"/>
      <c r="F664" s="39"/>
      <c r="G664" s="39"/>
      <c r="H664" s="39"/>
      <c r="I664" s="9"/>
      <c r="J664" s="9"/>
      <c r="K664" s="39"/>
      <c r="L664" s="39"/>
      <c r="M664" s="39"/>
      <c r="N664" s="9"/>
      <c r="O664" s="39"/>
      <c r="P664" s="39"/>
      <c r="Q664" s="39"/>
      <c r="R664" s="10"/>
      <c r="X664" s="12"/>
      <c r="Y664" s="12"/>
      <c r="AA664" s="13"/>
    </row>
    <row r="665" spans="2:27" ht="12.75" x14ac:dyDescent="0.2">
      <c r="B665" s="44"/>
      <c r="C665" s="10"/>
      <c r="D665" s="10"/>
      <c r="E665" s="39"/>
      <c r="F665" s="39"/>
      <c r="G665" s="39"/>
      <c r="H665" s="39"/>
      <c r="I665" s="9"/>
      <c r="J665" s="9"/>
      <c r="K665" s="39"/>
      <c r="L665" s="39"/>
      <c r="M665" s="39"/>
      <c r="N665" s="9"/>
      <c r="O665" s="39"/>
      <c r="P665" s="39"/>
      <c r="Q665" s="39"/>
      <c r="R665" s="10"/>
      <c r="X665" s="12"/>
      <c r="Y665" s="12"/>
      <c r="AA665" s="13"/>
    </row>
    <row r="666" spans="2:27" ht="12.75" x14ac:dyDescent="0.2">
      <c r="B666" s="44"/>
      <c r="C666" s="10"/>
      <c r="D666" s="10"/>
      <c r="E666" s="39"/>
      <c r="F666" s="39"/>
      <c r="G666" s="39"/>
      <c r="H666" s="39"/>
      <c r="I666" s="9"/>
      <c r="J666" s="9"/>
      <c r="K666" s="39"/>
      <c r="L666" s="39"/>
      <c r="M666" s="39"/>
      <c r="N666" s="9"/>
      <c r="O666" s="39"/>
      <c r="P666" s="39"/>
      <c r="Q666" s="39"/>
      <c r="R666" s="10"/>
      <c r="X666" s="12"/>
      <c r="Y666" s="12"/>
      <c r="AA666" s="13"/>
    </row>
    <row r="667" spans="2:27" ht="12.75" x14ac:dyDescent="0.2">
      <c r="B667" s="44"/>
      <c r="C667" s="10"/>
      <c r="D667" s="10"/>
      <c r="E667" s="39"/>
      <c r="F667" s="39"/>
      <c r="G667" s="39"/>
      <c r="H667" s="39"/>
      <c r="I667" s="9"/>
      <c r="J667" s="9"/>
      <c r="K667" s="39"/>
      <c r="L667" s="39"/>
      <c r="M667" s="39"/>
      <c r="N667" s="9"/>
      <c r="O667" s="39"/>
      <c r="P667" s="39"/>
      <c r="Q667" s="39"/>
      <c r="R667" s="10"/>
      <c r="X667" s="12"/>
      <c r="Y667" s="12"/>
      <c r="AA667" s="13"/>
    </row>
    <row r="668" spans="2:27" ht="12.75" x14ac:dyDescent="0.2">
      <c r="B668" s="44"/>
      <c r="C668" s="10"/>
      <c r="D668" s="10"/>
      <c r="E668" s="39"/>
      <c r="F668" s="39"/>
      <c r="G668" s="39"/>
      <c r="H668" s="39"/>
      <c r="I668" s="9"/>
      <c r="J668" s="9"/>
      <c r="K668" s="39"/>
      <c r="L668" s="39"/>
      <c r="M668" s="39"/>
      <c r="N668" s="9"/>
      <c r="O668" s="39"/>
      <c r="P668" s="39"/>
      <c r="Q668" s="39"/>
      <c r="R668" s="10"/>
      <c r="X668" s="12"/>
      <c r="Y668" s="12"/>
      <c r="AA668" s="13"/>
    </row>
    <row r="669" spans="2:27" ht="12.75" x14ac:dyDescent="0.2">
      <c r="B669" s="44"/>
      <c r="C669" s="10"/>
      <c r="D669" s="10"/>
      <c r="E669" s="39"/>
      <c r="F669" s="39"/>
      <c r="G669" s="39"/>
      <c r="H669" s="39"/>
      <c r="I669" s="9"/>
      <c r="J669" s="9"/>
      <c r="K669" s="39"/>
      <c r="L669" s="39"/>
      <c r="M669" s="39"/>
      <c r="N669" s="9"/>
      <c r="O669" s="39"/>
      <c r="P669" s="39"/>
      <c r="Q669" s="39"/>
      <c r="R669" s="10"/>
      <c r="X669" s="12"/>
      <c r="Y669" s="12"/>
      <c r="AA669" s="13"/>
    </row>
    <row r="670" spans="2:27" ht="12.75" x14ac:dyDescent="0.2">
      <c r="B670" s="44"/>
      <c r="C670" s="10"/>
      <c r="D670" s="10"/>
      <c r="E670" s="39"/>
      <c r="F670" s="39"/>
      <c r="G670" s="39"/>
      <c r="H670" s="39"/>
      <c r="I670" s="9"/>
      <c r="J670" s="9"/>
      <c r="K670" s="39"/>
      <c r="L670" s="39"/>
      <c r="M670" s="39"/>
      <c r="N670" s="9"/>
      <c r="O670" s="39"/>
      <c r="P670" s="39"/>
      <c r="Q670" s="39"/>
      <c r="R670" s="10"/>
      <c r="X670" s="12"/>
      <c r="Y670" s="12"/>
      <c r="AA670" s="13"/>
    </row>
    <row r="671" spans="2:27" ht="12.75" x14ac:dyDescent="0.2">
      <c r="B671" s="44"/>
      <c r="C671" s="10"/>
      <c r="D671" s="10"/>
      <c r="E671" s="39"/>
      <c r="F671" s="39"/>
      <c r="G671" s="39"/>
      <c r="H671" s="39"/>
      <c r="I671" s="9"/>
      <c r="J671" s="9"/>
      <c r="K671" s="39"/>
      <c r="L671" s="39"/>
      <c r="M671" s="39"/>
      <c r="N671" s="9"/>
      <c r="O671" s="39"/>
      <c r="P671" s="39"/>
      <c r="Q671" s="39"/>
      <c r="R671" s="10"/>
      <c r="X671" s="12"/>
      <c r="Y671" s="12"/>
      <c r="AA671" s="13"/>
    </row>
    <row r="672" spans="2:27" ht="12.75" x14ac:dyDescent="0.2">
      <c r="B672" s="44"/>
      <c r="C672" s="10"/>
      <c r="D672" s="10"/>
      <c r="E672" s="39"/>
      <c r="F672" s="39"/>
      <c r="G672" s="39"/>
      <c r="H672" s="39"/>
      <c r="I672" s="9"/>
      <c r="J672" s="9"/>
      <c r="K672" s="39"/>
      <c r="L672" s="39"/>
      <c r="M672" s="39"/>
      <c r="N672" s="9"/>
      <c r="O672" s="39"/>
      <c r="P672" s="39"/>
      <c r="Q672" s="39"/>
      <c r="R672" s="10"/>
      <c r="X672" s="12"/>
      <c r="Y672" s="12"/>
      <c r="AA672" s="13"/>
    </row>
    <row r="673" spans="2:27" ht="12.75" x14ac:dyDescent="0.2">
      <c r="B673" s="44"/>
      <c r="C673" s="10"/>
      <c r="D673" s="10"/>
      <c r="E673" s="39"/>
      <c r="F673" s="39"/>
      <c r="G673" s="39"/>
      <c r="H673" s="39"/>
      <c r="I673" s="9"/>
      <c r="J673" s="9"/>
      <c r="K673" s="39"/>
      <c r="L673" s="39"/>
      <c r="M673" s="39"/>
      <c r="N673" s="9"/>
      <c r="O673" s="39"/>
      <c r="P673" s="39"/>
      <c r="Q673" s="39"/>
      <c r="R673" s="10"/>
      <c r="X673" s="12"/>
      <c r="Y673" s="12"/>
      <c r="AA673" s="13"/>
    </row>
    <row r="674" spans="2:27" ht="12.75" x14ac:dyDescent="0.2">
      <c r="B674" s="44"/>
      <c r="C674" s="10"/>
      <c r="D674" s="10"/>
      <c r="E674" s="39"/>
      <c r="F674" s="39"/>
      <c r="G674" s="39"/>
      <c r="H674" s="39"/>
      <c r="I674" s="9"/>
      <c r="J674" s="9"/>
      <c r="K674" s="39"/>
      <c r="L674" s="39"/>
      <c r="M674" s="39"/>
      <c r="N674" s="9"/>
      <c r="O674" s="39"/>
      <c r="P674" s="39"/>
      <c r="Q674" s="39"/>
      <c r="R674" s="10"/>
      <c r="X674" s="12"/>
      <c r="Y674" s="12"/>
      <c r="AA674" s="13"/>
    </row>
    <row r="675" spans="2:27" ht="12.75" x14ac:dyDescent="0.2">
      <c r="B675" s="44"/>
      <c r="C675" s="10"/>
      <c r="D675" s="10"/>
      <c r="E675" s="39"/>
      <c r="F675" s="39"/>
      <c r="G675" s="39"/>
      <c r="H675" s="39"/>
      <c r="I675" s="9"/>
      <c r="J675" s="9"/>
      <c r="K675" s="39"/>
      <c r="L675" s="39"/>
      <c r="M675" s="39"/>
      <c r="N675" s="9"/>
      <c r="O675" s="39"/>
      <c r="P675" s="39"/>
      <c r="Q675" s="39"/>
      <c r="R675" s="10"/>
      <c r="X675" s="12"/>
      <c r="Y675" s="12"/>
      <c r="AA675" s="13"/>
    </row>
    <row r="676" spans="2:27" ht="12.75" x14ac:dyDescent="0.2">
      <c r="B676" s="44"/>
      <c r="C676" s="10"/>
      <c r="D676" s="10"/>
      <c r="E676" s="39"/>
      <c r="F676" s="39"/>
      <c r="G676" s="39"/>
      <c r="H676" s="39"/>
      <c r="I676" s="9"/>
      <c r="J676" s="9"/>
      <c r="K676" s="39"/>
      <c r="L676" s="39"/>
      <c r="M676" s="39"/>
      <c r="N676" s="9"/>
      <c r="O676" s="39"/>
      <c r="P676" s="39"/>
      <c r="Q676" s="39"/>
      <c r="R676" s="10"/>
      <c r="X676" s="12"/>
      <c r="Y676" s="12"/>
      <c r="AA676" s="13"/>
    </row>
    <row r="677" spans="2:27" ht="12.75" x14ac:dyDescent="0.2">
      <c r="B677" s="44"/>
      <c r="C677" s="10"/>
      <c r="D677" s="10"/>
      <c r="E677" s="39"/>
      <c r="F677" s="39"/>
      <c r="G677" s="39"/>
      <c r="H677" s="39"/>
      <c r="I677" s="9"/>
      <c r="J677" s="9"/>
      <c r="K677" s="39"/>
      <c r="L677" s="39"/>
      <c r="M677" s="39"/>
      <c r="N677" s="9"/>
      <c r="O677" s="39"/>
      <c r="P677" s="39"/>
      <c r="Q677" s="39"/>
      <c r="R677" s="10"/>
      <c r="X677" s="12"/>
      <c r="Y677" s="12"/>
      <c r="AA677" s="13"/>
    </row>
    <row r="678" spans="2:27" ht="12.75" x14ac:dyDescent="0.2">
      <c r="B678" s="44"/>
      <c r="C678" s="10"/>
      <c r="D678" s="10"/>
      <c r="E678" s="39"/>
      <c r="F678" s="39"/>
      <c r="G678" s="39"/>
      <c r="H678" s="39"/>
      <c r="I678" s="9"/>
      <c r="J678" s="9"/>
      <c r="K678" s="39"/>
      <c r="L678" s="39"/>
      <c r="M678" s="39"/>
      <c r="N678" s="9"/>
      <c r="O678" s="39"/>
      <c r="P678" s="39"/>
      <c r="Q678" s="39"/>
      <c r="R678" s="10"/>
      <c r="X678" s="12"/>
      <c r="Y678" s="12"/>
      <c r="AA678" s="13"/>
    </row>
    <row r="679" spans="2:27" ht="12.75" x14ac:dyDescent="0.2">
      <c r="B679" s="44"/>
      <c r="C679" s="10"/>
      <c r="D679" s="10"/>
      <c r="E679" s="39"/>
      <c r="F679" s="39"/>
      <c r="G679" s="39"/>
      <c r="H679" s="39"/>
      <c r="I679" s="9"/>
      <c r="J679" s="9"/>
      <c r="K679" s="39"/>
      <c r="L679" s="39"/>
      <c r="M679" s="39"/>
      <c r="N679" s="9"/>
      <c r="O679" s="39"/>
      <c r="P679" s="39"/>
      <c r="Q679" s="39"/>
      <c r="R679" s="10"/>
      <c r="X679" s="12"/>
      <c r="Y679" s="12"/>
      <c r="AA679" s="13"/>
    </row>
    <row r="680" spans="2:27" ht="12.75" x14ac:dyDescent="0.2">
      <c r="B680" s="44"/>
      <c r="C680" s="10"/>
      <c r="D680" s="10"/>
      <c r="E680" s="39"/>
      <c r="F680" s="39"/>
      <c r="G680" s="39"/>
      <c r="H680" s="39"/>
      <c r="I680" s="9"/>
      <c r="J680" s="9"/>
      <c r="K680" s="39"/>
      <c r="L680" s="39"/>
      <c r="M680" s="39"/>
      <c r="N680" s="9"/>
      <c r="O680" s="39"/>
      <c r="P680" s="39"/>
      <c r="Q680" s="39"/>
      <c r="R680" s="10"/>
      <c r="X680" s="12"/>
      <c r="Y680" s="12"/>
      <c r="AA680" s="13"/>
    </row>
    <row r="681" spans="2:27" ht="12.75" x14ac:dyDescent="0.2">
      <c r="B681" s="44"/>
      <c r="C681" s="10"/>
      <c r="D681" s="10"/>
      <c r="E681" s="39"/>
      <c r="F681" s="39"/>
      <c r="G681" s="39"/>
      <c r="H681" s="39"/>
      <c r="I681" s="9"/>
      <c r="J681" s="9"/>
      <c r="K681" s="39"/>
      <c r="L681" s="39"/>
      <c r="M681" s="39"/>
      <c r="N681" s="9"/>
      <c r="O681" s="39"/>
      <c r="P681" s="39"/>
      <c r="Q681" s="39"/>
      <c r="R681" s="10"/>
      <c r="X681" s="12"/>
      <c r="Y681" s="12"/>
      <c r="AA681" s="13"/>
    </row>
    <row r="682" spans="2:27" ht="12.75" x14ac:dyDescent="0.2">
      <c r="B682" s="44"/>
      <c r="C682" s="10"/>
      <c r="D682" s="10"/>
      <c r="E682" s="39"/>
      <c r="F682" s="39"/>
      <c r="G682" s="39"/>
      <c r="H682" s="39"/>
      <c r="I682" s="9"/>
      <c r="J682" s="9"/>
      <c r="K682" s="39"/>
      <c r="L682" s="39"/>
      <c r="M682" s="39"/>
      <c r="N682" s="9"/>
      <c r="O682" s="39"/>
      <c r="P682" s="39"/>
      <c r="Q682" s="39"/>
      <c r="R682" s="10"/>
      <c r="X682" s="12"/>
      <c r="Y682" s="12"/>
      <c r="AA682" s="13"/>
    </row>
    <row r="683" spans="2:27" ht="12.75" x14ac:dyDescent="0.2">
      <c r="B683" s="44"/>
      <c r="C683" s="10"/>
      <c r="D683" s="10"/>
      <c r="E683" s="39"/>
      <c r="F683" s="39"/>
      <c r="G683" s="39"/>
      <c r="H683" s="39"/>
      <c r="I683" s="9"/>
      <c r="J683" s="9"/>
      <c r="K683" s="39"/>
      <c r="L683" s="39"/>
      <c r="M683" s="39"/>
      <c r="N683" s="9"/>
      <c r="O683" s="39"/>
      <c r="P683" s="39"/>
      <c r="Q683" s="39"/>
      <c r="R683" s="10"/>
      <c r="X683" s="12"/>
      <c r="Y683" s="12"/>
      <c r="AA683" s="13"/>
    </row>
    <row r="684" spans="2:27" ht="12.75" x14ac:dyDescent="0.2">
      <c r="B684" s="44"/>
      <c r="C684" s="10"/>
      <c r="D684" s="10"/>
      <c r="E684" s="39"/>
      <c r="F684" s="39"/>
      <c r="G684" s="39"/>
      <c r="H684" s="39"/>
      <c r="I684" s="9"/>
      <c r="J684" s="9"/>
      <c r="K684" s="39"/>
      <c r="L684" s="39"/>
      <c r="M684" s="39"/>
      <c r="N684" s="9"/>
      <c r="O684" s="39"/>
      <c r="P684" s="39"/>
      <c r="Q684" s="39"/>
      <c r="R684" s="10"/>
      <c r="X684" s="12"/>
      <c r="Y684" s="12"/>
      <c r="AA684" s="13"/>
    </row>
    <row r="685" spans="2:27" ht="12.75" x14ac:dyDescent="0.2">
      <c r="B685" s="44"/>
      <c r="C685" s="10"/>
      <c r="D685" s="10"/>
      <c r="E685" s="39"/>
      <c r="F685" s="39"/>
      <c r="G685" s="39"/>
      <c r="H685" s="39"/>
      <c r="I685" s="9"/>
      <c r="J685" s="9"/>
      <c r="K685" s="39"/>
      <c r="L685" s="39"/>
      <c r="M685" s="39"/>
      <c r="N685" s="9"/>
      <c r="O685" s="39"/>
      <c r="P685" s="39"/>
      <c r="Q685" s="39"/>
      <c r="R685" s="10"/>
      <c r="X685" s="12"/>
      <c r="Y685" s="12"/>
      <c r="AA685" s="13"/>
    </row>
    <row r="686" spans="2:27" ht="12.75" x14ac:dyDescent="0.2">
      <c r="B686" s="44"/>
      <c r="C686" s="10"/>
      <c r="D686" s="10"/>
      <c r="E686" s="39"/>
      <c r="F686" s="39"/>
      <c r="G686" s="39"/>
      <c r="H686" s="39"/>
      <c r="I686" s="9"/>
      <c r="J686" s="9"/>
      <c r="K686" s="39"/>
      <c r="L686" s="39"/>
      <c r="M686" s="39"/>
      <c r="N686" s="9"/>
      <c r="O686" s="39"/>
      <c r="P686" s="39"/>
      <c r="Q686" s="39"/>
      <c r="R686" s="10"/>
      <c r="X686" s="12"/>
      <c r="Y686" s="12"/>
      <c r="AA686" s="13"/>
    </row>
    <row r="687" spans="2:27" ht="12.75" x14ac:dyDescent="0.2">
      <c r="B687" s="44"/>
      <c r="C687" s="10"/>
      <c r="D687" s="10"/>
      <c r="E687" s="39"/>
      <c r="F687" s="39"/>
      <c r="G687" s="39"/>
      <c r="H687" s="39"/>
      <c r="I687" s="9"/>
      <c r="J687" s="9"/>
      <c r="K687" s="39"/>
      <c r="L687" s="39"/>
      <c r="M687" s="39"/>
      <c r="N687" s="9"/>
      <c r="O687" s="39"/>
      <c r="P687" s="39"/>
      <c r="Q687" s="39"/>
      <c r="R687" s="10"/>
      <c r="X687" s="12"/>
      <c r="Y687" s="12"/>
      <c r="AA687" s="13"/>
    </row>
    <row r="688" spans="2:27" ht="12.75" x14ac:dyDescent="0.2">
      <c r="B688" s="44"/>
      <c r="C688" s="10"/>
      <c r="D688" s="10"/>
      <c r="E688" s="39"/>
      <c r="F688" s="39"/>
      <c r="G688" s="39"/>
      <c r="H688" s="39"/>
      <c r="I688" s="9"/>
      <c r="J688" s="9"/>
      <c r="K688" s="39"/>
      <c r="L688" s="39"/>
      <c r="M688" s="39"/>
      <c r="N688" s="9"/>
      <c r="O688" s="39"/>
      <c r="P688" s="39"/>
      <c r="Q688" s="39"/>
      <c r="R688" s="10"/>
      <c r="X688" s="12"/>
      <c r="Y688" s="12"/>
      <c r="AA688" s="13"/>
    </row>
    <row r="689" spans="2:27" ht="12.75" x14ac:dyDescent="0.2">
      <c r="B689" s="44"/>
      <c r="C689" s="10"/>
      <c r="D689" s="10"/>
      <c r="E689" s="39"/>
      <c r="F689" s="39"/>
      <c r="G689" s="39"/>
      <c r="H689" s="39"/>
      <c r="I689" s="9"/>
      <c r="J689" s="9"/>
      <c r="K689" s="39"/>
      <c r="L689" s="39"/>
      <c r="M689" s="39"/>
      <c r="N689" s="9"/>
      <c r="O689" s="39"/>
      <c r="P689" s="39"/>
      <c r="Q689" s="39"/>
      <c r="R689" s="10"/>
      <c r="X689" s="12"/>
      <c r="Y689" s="12"/>
      <c r="AA689" s="13"/>
    </row>
    <row r="690" spans="2:27" ht="12.75" x14ac:dyDescent="0.2">
      <c r="B690" s="44"/>
      <c r="C690" s="10"/>
      <c r="D690" s="10"/>
      <c r="E690" s="39"/>
      <c r="F690" s="39"/>
      <c r="G690" s="39"/>
      <c r="H690" s="39"/>
      <c r="I690" s="9"/>
      <c r="J690" s="9"/>
      <c r="K690" s="39"/>
      <c r="L690" s="39"/>
      <c r="M690" s="39"/>
      <c r="N690" s="9"/>
      <c r="O690" s="39"/>
      <c r="P690" s="39"/>
      <c r="Q690" s="39"/>
      <c r="R690" s="10"/>
      <c r="X690" s="12"/>
      <c r="Y690" s="12"/>
      <c r="AA690" s="13"/>
    </row>
    <row r="691" spans="2:27" ht="12.75" x14ac:dyDescent="0.2">
      <c r="B691" s="44"/>
      <c r="C691" s="10"/>
      <c r="D691" s="10"/>
      <c r="E691" s="39"/>
      <c r="F691" s="39"/>
      <c r="G691" s="39"/>
      <c r="H691" s="39"/>
      <c r="I691" s="9"/>
      <c r="J691" s="9"/>
      <c r="K691" s="39"/>
      <c r="L691" s="39"/>
      <c r="M691" s="39"/>
      <c r="N691" s="9"/>
      <c r="O691" s="39"/>
      <c r="P691" s="39"/>
      <c r="Q691" s="39"/>
      <c r="R691" s="10"/>
      <c r="X691" s="12"/>
      <c r="Y691" s="12"/>
      <c r="AA691" s="13"/>
    </row>
    <row r="692" spans="2:27" ht="12.75" x14ac:dyDescent="0.2">
      <c r="B692" s="44"/>
      <c r="C692" s="10"/>
      <c r="D692" s="10"/>
      <c r="E692" s="39"/>
      <c r="F692" s="39"/>
      <c r="G692" s="39"/>
      <c r="H692" s="39"/>
      <c r="I692" s="9"/>
      <c r="J692" s="9"/>
      <c r="K692" s="39"/>
      <c r="L692" s="39"/>
      <c r="M692" s="39"/>
      <c r="N692" s="9"/>
      <c r="O692" s="39"/>
      <c r="P692" s="39"/>
      <c r="Q692" s="39"/>
      <c r="R692" s="10"/>
      <c r="X692" s="12"/>
      <c r="Y692" s="12"/>
      <c r="AA692" s="13"/>
    </row>
    <row r="693" spans="2:27" ht="12.75" x14ac:dyDescent="0.2">
      <c r="B693" s="44"/>
      <c r="C693" s="10"/>
      <c r="D693" s="10"/>
      <c r="E693" s="39"/>
      <c r="F693" s="39"/>
      <c r="G693" s="39"/>
      <c r="H693" s="39"/>
      <c r="I693" s="9"/>
      <c r="J693" s="9"/>
      <c r="K693" s="39"/>
      <c r="L693" s="39"/>
      <c r="M693" s="39"/>
      <c r="N693" s="9"/>
      <c r="O693" s="39"/>
      <c r="P693" s="39"/>
      <c r="Q693" s="39"/>
      <c r="R693" s="10"/>
      <c r="X693" s="12"/>
      <c r="Y693" s="12"/>
      <c r="AA693" s="13"/>
    </row>
    <row r="694" spans="2:27" ht="12.75" x14ac:dyDescent="0.2">
      <c r="B694" s="44"/>
      <c r="C694" s="10"/>
      <c r="D694" s="10"/>
      <c r="E694" s="39"/>
      <c r="F694" s="39"/>
      <c r="G694" s="39"/>
      <c r="H694" s="39"/>
      <c r="I694" s="9"/>
      <c r="J694" s="9"/>
      <c r="K694" s="39"/>
      <c r="L694" s="39"/>
      <c r="M694" s="39"/>
      <c r="N694" s="9"/>
      <c r="O694" s="39"/>
      <c r="P694" s="39"/>
      <c r="Q694" s="39"/>
      <c r="R694" s="10"/>
      <c r="X694" s="12"/>
      <c r="Y694" s="12"/>
      <c r="AA694" s="13"/>
    </row>
    <row r="695" spans="2:27" ht="12.75" x14ac:dyDescent="0.2">
      <c r="B695" s="44"/>
      <c r="C695" s="10"/>
      <c r="D695" s="10"/>
      <c r="E695" s="39"/>
      <c r="F695" s="39"/>
      <c r="G695" s="39"/>
      <c r="H695" s="39"/>
      <c r="I695" s="9"/>
      <c r="J695" s="9"/>
      <c r="K695" s="39"/>
      <c r="L695" s="39"/>
      <c r="M695" s="39"/>
      <c r="N695" s="9"/>
      <c r="O695" s="39"/>
      <c r="P695" s="39"/>
      <c r="Q695" s="39"/>
      <c r="R695" s="10"/>
      <c r="X695" s="12"/>
      <c r="Y695" s="12"/>
      <c r="AA695" s="13"/>
    </row>
    <row r="696" spans="2:27" ht="12.75" x14ac:dyDescent="0.2">
      <c r="B696" s="44"/>
      <c r="C696" s="10"/>
      <c r="D696" s="10"/>
      <c r="E696" s="39"/>
      <c r="F696" s="39"/>
      <c r="G696" s="39"/>
      <c r="H696" s="39"/>
      <c r="I696" s="9"/>
      <c r="J696" s="9"/>
      <c r="K696" s="39"/>
      <c r="L696" s="39"/>
      <c r="M696" s="39"/>
      <c r="N696" s="9"/>
      <c r="O696" s="39"/>
      <c r="P696" s="39"/>
      <c r="Q696" s="39"/>
      <c r="R696" s="10"/>
      <c r="X696" s="12"/>
      <c r="Y696" s="12"/>
      <c r="AA696" s="13"/>
    </row>
    <row r="697" spans="2:27" ht="12.75" x14ac:dyDescent="0.2">
      <c r="B697" s="44"/>
      <c r="C697" s="10"/>
      <c r="D697" s="10"/>
      <c r="E697" s="39"/>
      <c r="F697" s="39"/>
      <c r="G697" s="39"/>
      <c r="H697" s="39"/>
      <c r="I697" s="9"/>
      <c r="J697" s="9"/>
      <c r="K697" s="39"/>
      <c r="L697" s="39"/>
      <c r="M697" s="39"/>
      <c r="N697" s="9"/>
      <c r="O697" s="39"/>
      <c r="P697" s="39"/>
      <c r="Q697" s="39"/>
      <c r="R697" s="10"/>
      <c r="X697" s="12"/>
      <c r="Y697" s="12"/>
      <c r="AA697" s="13"/>
    </row>
    <row r="698" spans="2:27" ht="12.75" x14ac:dyDescent="0.2">
      <c r="B698" s="44"/>
      <c r="C698" s="10"/>
      <c r="D698" s="10"/>
      <c r="E698" s="39"/>
      <c r="F698" s="39"/>
      <c r="G698" s="39"/>
      <c r="H698" s="39"/>
      <c r="I698" s="9"/>
      <c r="J698" s="9"/>
      <c r="K698" s="39"/>
      <c r="L698" s="39"/>
      <c r="M698" s="39"/>
      <c r="N698" s="9"/>
      <c r="O698" s="39"/>
      <c r="P698" s="39"/>
      <c r="Q698" s="39"/>
      <c r="R698" s="10"/>
      <c r="X698" s="12"/>
      <c r="Y698" s="12"/>
      <c r="AA698" s="13"/>
    </row>
    <row r="699" spans="2:27" ht="12.75" x14ac:dyDescent="0.2">
      <c r="B699" s="44"/>
      <c r="C699" s="10"/>
      <c r="D699" s="10"/>
      <c r="E699" s="39"/>
      <c r="F699" s="39"/>
      <c r="G699" s="39"/>
      <c r="H699" s="39"/>
      <c r="I699" s="9"/>
      <c r="J699" s="9"/>
      <c r="K699" s="39"/>
      <c r="L699" s="39"/>
      <c r="M699" s="39"/>
      <c r="N699" s="9"/>
      <c r="O699" s="39"/>
      <c r="P699" s="39"/>
      <c r="Q699" s="39"/>
      <c r="R699" s="10"/>
      <c r="X699" s="12"/>
      <c r="Y699" s="12"/>
      <c r="AA699" s="13"/>
    </row>
    <row r="700" spans="2:27" ht="12.75" x14ac:dyDescent="0.2">
      <c r="B700" s="44"/>
      <c r="C700" s="10"/>
      <c r="D700" s="10"/>
      <c r="E700" s="39"/>
      <c r="F700" s="39"/>
      <c r="G700" s="39"/>
      <c r="H700" s="39"/>
      <c r="I700" s="9"/>
      <c r="J700" s="9"/>
      <c r="K700" s="39"/>
      <c r="L700" s="39"/>
      <c r="M700" s="39"/>
      <c r="N700" s="9"/>
      <c r="O700" s="39"/>
      <c r="P700" s="39"/>
      <c r="Q700" s="39"/>
      <c r="R700" s="10"/>
      <c r="X700" s="12"/>
      <c r="Y700" s="12"/>
      <c r="AA700" s="13"/>
    </row>
    <row r="701" spans="2:27" ht="12.75" x14ac:dyDescent="0.2">
      <c r="B701" s="44"/>
      <c r="C701" s="10"/>
      <c r="D701" s="10"/>
      <c r="E701" s="39"/>
      <c r="F701" s="39"/>
      <c r="G701" s="39"/>
      <c r="H701" s="39"/>
      <c r="I701" s="9"/>
      <c r="J701" s="9"/>
      <c r="K701" s="39"/>
      <c r="L701" s="39"/>
      <c r="M701" s="39"/>
      <c r="N701" s="9"/>
      <c r="O701" s="39"/>
      <c r="P701" s="39"/>
      <c r="Q701" s="39"/>
      <c r="R701" s="10"/>
      <c r="X701" s="12"/>
      <c r="Y701" s="12"/>
      <c r="AA701" s="13"/>
    </row>
    <row r="702" spans="2:27" ht="12.75" x14ac:dyDescent="0.2">
      <c r="B702" s="44"/>
      <c r="C702" s="10"/>
      <c r="D702" s="10"/>
      <c r="E702" s="39"/>
      <c r="F702" s="39"/>
      <c r="G702" s="39"/>
      <c r="H702" s="39"/>
      <c r="I702" s="9"/>
      <c r="J702" s="9"/>
      <c r="K702" s="39"/>
      <c r="L702" s="39"/>
      <c r="M702" s="39"/>
      <c r="N702" s="9"/>
      <c r="O702" s="39"/>
      <c r="P702" s="39"/>
      <c r="Q702" s="39"/>
      <c r="R702" s="10"/>
      <c r="X702" s="12"/>
      <c r="Y702" s="12"/>
      <c r="AA702" s="13"/>
    </row>
    <row r="703" spans="2:27" ht="12.75" x14ac:dyDescent="0.2">
      <c r="B703" s="44"/>
      <c r="C703" s="10"/>
      <c r="D703" s="10"/>
      <c r="E703" s="39"/>
      <c r="F703" s="39"/>
      <c r="G703" s="39"/>
      <c r="H703" s="39"/>
      <c r="I703" s="9"/>
      <c r="J703" s="9"/>
      <c r="K703" s="39"/>
      <c r="L703" s="39"/>
      <c r="M703" s="39"/>
      <c r="N703" s="9"/>
      <c r="O703" s="39"/>
      <c r="P703" s="39"/>
      <c r="Q703" s="39"/>
      <c r="R703" s="10"/>
      <c r="X703" s="12"/>
      <c r="Y703" s="12"/>
      <c r="AA703" s="13"/>
    </row>
    <row r="704" spans="2:27" ht="12.75" x14ac:dyDescent="0.2">
      <c r="B704" s="44"/>
      <c r="C704" s="10"/>
      <c r="D704" s="10"/>
      <c r="E704" s="39"/>
      <c r="F704" s="39"/>
      <c r="G704" s="39"/>
      <c r="H704" s="39"/>
      <c r="I704" s="9"/>
      <c r="J704" s="9"/>
      <c r="K704" s="39"/>
      <c r="L704" s="39"/>
      <c r="M704" s="39"/>
      <c r="N704" s="9"/>
      <c r="O704" s="39"/>
      <c r="P704" s="39"/>
      <c r="Q704" s="39"/>
      <c r="R704" s="10"/>
      <c r="X704" s="12"/>
      <c r="Y704" s="12"/>
      <c r="AA704" s="13"/>
    </row>
    <row r="705" spans="2:27" ht="12.75" x14ac:dyDescent="0.2">
      <c r="B705" s="44"/>
      <c r="C705" s="10"/>
      <c r="D705" s="10"/>
      <c r="E705" s="39"/>
      <c r="F705" s="39"/>
      <c r="G705" s="39"/>
      <c r="H705" s="39"/>
      <c r="I705" s="9"/>
      <c r="J705" s="9"/>
      <c r="K705" s="39"/>
      <c r="L705" s="39"/>
      <c r="M705" s="39"/>
      <c r="N705" s="9"/>
      <c r="O705" s="39"/>
      <c r="P705" s="39"/>
      <c r="Q705" s="39"/>
      <c r="R705" s="10"/>
      <c r="X705" s="12"/>
      <c r="Y705" s="12"/>
      <c r="AA705" s="13"/>
    </row>
    <row r="706" spans="2:27" ht="12.75" x14ac:dyDescent="0.2">
      <c r="B706" s="44"/>
      <c r="C706" s="10"/>
      <c r="D706" s="10"/>
      <c r="E706" s="39"/>
      <c r="F706" s="39"/>
      <c r="G706" s="39"/>
      <c r="H706" s="39"/>
      <c r="I706" s="9"/>
      <c r="J706" s="9"/>
      <c r="K706" s="39"/>
      <c r="L706" s="39"/>
      <c r="M706" s="39"/>
      <c r="N706" s="9"/>
      <c r="O706" s="39"/>
      <c r="P706" s="39"/>
      <c r="Q706" s="39"/>
      <c r="R706" s="10"/>
      <c r="X706" s="12"/>
      <c r="Y706" s="12"/>
      <c r="AA706" s="13"/>
    </row>
    <row r="707" spans="2:27" ht="12.75" x14ac:dyDescent="0.2">
      <c r="B707" s="44"/>
      <c r="C707" s="10"/>
      <c r="D707" s="10"/>
      <c r="E707" s="39"/>
      <c r="F707" s="39"/>
      <c r="G707" s="39"/>
      <c r="H707" s="39"/>
      <c r="I707" s="9"/>
      <c r="J707" s="9"/>
      <c r="K707" s="39"/>
      <c r="L707" s="39"/>
      <c r="M707" s="39"/>
      <c r="N707" s="9"/>
      <c r="O707" s="39"/>
      <c r="P707" s="39"/>
      <c r="Q707" s="39"/>
      <c r="R707" s="10"/>
      <c r="X707" s="12"/>
      <c r="Y707" s="12"/>
      <c r="AA707" s="13"/>
    </row>
    <row r="708" spans="2:27" ht="12.75" x14ac:dyDescent="0.2">
      <c r="B708" s="44"/>
      <c r="C708" s="10"/>
      <c r="D708" s="10"/>
      <c r="E708" s="39"/>
      <c r="F708" s="39"/>
      <c r="G708" s="39"/>
      <c r="H708" s="39"/>
      <c r="I708" s="9"/>
      <c r="J708" s="9"/>
      <c r="K708" s="39"/>
      <c r="L708" s="39"/>
      <c r="M708" s="39"/>
      <c r="N708" s="9"/>
      <c r="O708" s="39"/>
      <c r="P708" s="39"/>
      <c r="Q708" s="39"/>
      <c r="R708" s="10"/>
      <c r="X708" s="12"/>
      <c r="Y708" s="12"/>
      <c r="AA708" s="13"/>
    </row>
    <row r="709" spans="2:27" ht="12.75" x14ac:dyDescent="0.2">
      <c r="B709" s="44"/>
      <c r="C709" s="10"/>
      <c r="D709" s="10"/>
      <c r="E709" s="39"/>
      <c r="F709" s="39"/>
      <c r="G709" s="39"/>
      <c r="H709" s="39"/>
      <c r="I709" s="9"/>
      <c r="J709" s="9"/>
      <c r="K709" s="39"/>
      <c r="L709" s="39"/>
      <c r="M709" s="39"/>
      <c r="N709" s="9"/>
      <c r="O709" s="39"/>
      <c r="P709" s="39"/>
      <c r="Q709" s="39"/>
      <c r="R709" s="10"/>
      <c r="X709" s="12"/>
      <c r="Y709" s="12"/>
      <c r="AA709" s="13"/>
    </row>
    <row r="710" spans="2:27" ht="12.75" x14ac:dyDescent="0.2">
      <c r="B710" s="44"/>
      <c r="C710" s="10"/>
      <c r="D710" s="10"/>
      <c r="E710" s="39"/>
      <c r="F710" s="39"/>
      <c r="G710" s="39"/>
      <c r="H710" s="39"/>
      <c r="I710" s="9"/>
      <c r="J710" s="9"/>
      <c r="K710" s="39"/>
      <c r="L710" s="39"/>
      <c r="M710" s="39"/>
      <c r="N710" s="9"/>
      <c r="O710" s="39"/>
      <c r="P710" s="39"/>
      <c r="Q710" s="39"/>
      <c r="R710" s="10"/>
      <c r="X710" s="12"/>
      <c r="Y710" s="12"/>
      <c r="AA710" s="13"/>
    </row>
    <row r="711" spans="2:27" ht="12.75" x14ac:dyDescent="0.2">
      <c r="B711" s="44"/>
      <c r="C711" s="10"/>
      <c r="D711" s="10"/>
      <c r="E711" s="39"/>
      <c r="F711" s="39"/>
      <c r="G711" s="39"/>
      <c r="H711" s="39"/>
      <c r="I711" s="9"/>
      <c r="J711" s="9"/>
      <c r="K711" s="39"/>
      <c r="L711" s="39"/>
      <c r="M711" s="39"/>
      <c r="N711" s="9"/>
      <c r="O711" s="39"/>
      <c r="P711" s="39"/>
      <c r="Q711" s="39"/>
      <c r="R711" s="10"/>
      <c r="X711" s="12"/>
      <c r="Y711" s="12"/>
      <c r="AA711" s="13"/>
    </row>
    <row r="712" spans="2:27" ht="12.75" x14ac:dyDescent="0.2">
      <c r="B712" s="44"/>
      <c r="C712" s="10"/>
      <c r="D712" s="10"/>
      <c r="E712" s="39"/>
      <c r="F712" s="39"/>
      <c r="G712" s="39"/>
      <c r="H712" s="39"/>
      <c r="I712" s="9"/>
      <c r="J712" s="9"/>
      <c r="K712" s="39"/>
      <c r="L712" s="39"/>
      <c r="M712" s="39"/>
      <c r="N712" s="9"/>
      <c r="O712" s="39"/>
      <c r="P712" s="39"/>
      <c r="Q712" s="39"/>
      <c r="R712" s="10"/>
      <c r="X712" s="12"/>
      <c r="Y712" s="12"/>
      <c r="AA712" s="13"/>
    </row>
    <row r="713" spans="2:27" ht="12.75" x14ac:dyDescent="0.2">
      <c r="B713" s="44"/>
      <c r="C713" s="10"/>
      <c r="D713" s="10"/>
      <c r="E713" s="39"/>
      <c r="F713" s="39"/>
      <c r="G713" s="39"/>
      <c r="H713" s="39"/>
      <c r="I713" s="9"/>
      <c r="J713" s="9"/>
      <c r="K713" s="39"/>
      <c r="L713" s="39"/>
      <c r="M713" s="39"/>
      <c r="N713" s="9"/>
      <c r="O713" s="39"/>
      <c r="P713" s="39"/>
      <c r="Q713" s="39"/>
      <c r="R713" s="10"/>
      <c r="X713" s="12"/>
      <c r="Y713" s="12"/>
      <c r="AA713" s="13"/>
    </row>
    <row r="714" spans="2:27" ht="12.75" x14ac:dyDescent="0.2">
      <c r="B714" s="44"/>
      <c r="C714" s="10"/>
      <c r="D714" s="10"/>
      <c r="E714" s="39"/>
      <c r="F714" s="39"/>
      <c r="G714" s="39"/>
      <c r="H714" s="39"/>
      <c r="I714" s="9"/>
      <c r="J714" s="9"/>
      <c r="K714" s="39"/>
      <c r="L714" s="39"/>
      <c r="M714" s="39"/>
      <c r="N714" s="9"/>
      <c r="O714" s="39"/>
      <c r="P714" s="39"/>
      <c r="Q714" s="39"/>
      <c r="R714" s="10"/>
      <c r="X714" s="12"/>
      <c r="Y714" s="12"/>
      <c r="AA714" s="13"/>
    </row>
    <row r="715" spans="2:27" ht="12.75" x14ac:dyDescent="0.2">
      <c r="B715" s="44"/>
      <c r="C715" s="10"/>
      <c r="D715" s="10"/>
      <c r="E715" s="39"/>
      <c r="F715" s="39"/>
      <c r="G715" s="39"/>
      <c r="H715" s="39"/>
      <c r="I715" s="9"/>
      <c r="J715" s="9"/>
      <c r="K715" s="39"/>
      <c r="L715" s="39"/>
      <c r="M715" s="39"/>
      <c r="N715" s="9"/>
      <c r="O715" s="39"/>
      <c r="P715" s="39"/>
      <c r="Q715" s="39"/>
      <c r="R715" s="10"/>
      <c r="X715" s="12"/>
      <c r="Y715" s="12"/>
      <c r="AA715" s="13"/>
    </row>
    <row r="716" spans="2:27" ht="12.75" x14ac:dyDescent="0.2">
      <c r="B716" s="44"/>
      <c r="C716" s="10"/>
      <c r="D716" s="10"/>
      <c r="E716" s="39"/>
      <c r="F716" s="39"/>
      <c r="G716" s="39"/>
      <c r="H716" s="39"/>
      <c r="I716" s="9"/>
      <c r="J716" s="9"/>
      <c r="K716" s="39"/>
      <c r="L716" s="39"/>
      <c r="M716" s="39"/>
      <c r="N716" s="9"/>
      <c r="O716" s="39"/>
      <c r="P716" s="39"/>
      <c r="Q716" s="39"/>
      <c r="R716" s="10"/>
      <c r="X716" s="12"/>
      <c r="Y716" s="12"/>
      <c r="AA716" s="13"/>
    </row>
    <row r="717" spans="2:27" ht="12.75" x14ac:dyDescent="0.2">
      <c r="B717" s="44"/>
      <c r="C717" s="10"/>
      <c r="D717" s="10"/>
      <c r="E717" s="39"/>
      <c r="F717" s="39"/>
      <c r="G717" s="39"/>
      <c r="H717" s="39"/>
      <c r="I717" s="9"/>
      <c r="J717" s="9"/>
      <c r="K717" s="39"/>
      <c r="L717" s="39"/>
      <c r="M717" s="39"/>
      <c r="N717" s="9"/>
      <c r="O717" s="39"/>
      <c r="P717" s="39"/>
      <c r="Q717" s="39"/>
      <c r="R717" s="10"/>
      <c r="X717" s="12"/>
      <c r="Y717" s="12"/>
      <c r="AA717" s="13"/>
    </row>
    <row r="718" spans="2:27" ht="12.75" x14ac:dyDescent="0.2">
      <c r="B718" s="44"/>
      <c r="C718" s="10"/>
      <c r="D718" s="10"/>
      <c r="E718" s="39"/>
      <c r="F718" s="39"/>
      <c r="G718" s="39"/>
      <c r="H718" s="39"/>
      <c r="I718" s="9"/>
      <c r="J718" s="9"/>
      <c r="K718" s="39"/>
      <c r="L718" s="39"/>
      <c r="M718" s="39"/>
      <c r="N718" s="9"/>
      <c r="O718" s="39"/>
      <c r="P718" s="39"/>
      <c r="Q718" s="39"/>
      <c r="R718" s="10"/>
      <c r="X718" s="12"/>
      <c r="Y718" s="12"/>
      <c r="AA718" s="13"/>
    </row>
    <row r="719" spans="2:27" ht="12.75" x14ac:dyDescent="0.2">
      <c r="B719" s="44"/>
      <c r="C719" s="10"/>
      <c r="D719" s="10"/>
      <c r="E719" s="39"/>
      <c r="F719" s="39"/>
      <c r="G719" s="39"/>
      <c r="H719" s="39"/>
      <c r="I719" s="9"/>
      <c r="J719" s="9"/>
      <c r="K719" s="39"/>
      <c r="L719" s="39"/>
      <c r="M719" s="39"/>
      <c r="N719" s="9"/>
      <c r="O719" s="39"/>
      <c r="P719" s="39"/>
      <c r="Q719" s="39"/>
      <c r="R719" s="10"/>
      <c r="X719" s="12"/>
      <c r="Y719" s="12"/>
      <c r="AA719" s="13"/>
    </row>
    <row r="720" spans="2:27" ht="12.75" x14ac:dyDescent="0.2">
      <c r="B720" s="44"/>
      <c r="C720" s="10"/>
      <c r="D720" s="10"/>
      <c r="E720" s="39"/>
      <c r="F720" s="39"/>
      <c r="G720" s="39"/>
      <c r="H720" s="39"/>
      <c r="I720" s="9"/>
      <c r="J720" s="9"/>
      <c r="K720" s="39"/>
      <c r="L720" s="39"/>
      <c r="M720" s="39"/>
      <c r="N720" s="9"/>
      <c r="O720" s="39"/>
      <c r="P720" s="39"/>
      <c r="Q720" s="39"/>
      <c r="R720" s="10"/>
      <c r="X720" s="12"/>
      <c r="Y720" s="12"/>
      <c r="AA720" s="13"/>
    </row>
    <row r="721" spans="2:27" ht="12.75" x14ac:dyDescent="0.2">
      <c r="B721" s="44"/>
      <c r="C721" s="10"/>
      <c r="D721" s="10"/>
      <c r="E721" s="39"/>
      <c r="F721" s="39"/>
      <c r="G721" s="39"/>
      <c r="H721" s="39"/>
      <c r="I721" s="9"/>
      <c r="J721" s="9"/>
      <c r="K721" s="39"/>
      <c r="L721" s="39"/>
      <c r="M721" s="39"/>
      <c r="N721" s="9"/>
      <c r="O721" s="39"/>
      <c r="P721" s="39"/>
      <c r="Q721" s="39"/>
      <c r="R721" s="10"/>
      <c r="X721" s="12"/>
      <c r="Y721" s="12"/>
      <c r="AA721" s="13"/>
    </row>
    <row r="722" spans="2:27" ht="12.75" x14ac:dyDescent="0.2">
      <c r="B722" s="44"/>
      <c r="C722" s="10"/>
      <c r="D722" s="10"/>
      <c r="E722" s="39"/>
      <c r="F722" s="39"/>
      <c r="G722" s="39"/>
      <c r="H722" s="39"/>
      <c r="I722" s="9"/>
      <c r="J722" s="9"/>
      <c r="K722" s="39"/>
      <c r="L722" s="39"/>
      <c r="M722" s="39"/>
      <c r="N722" s="9"/>
      <c r="O722" s="39"/>
      <c r="P722" s="39"/>
      <c r="Q722" s="39"/>
      <c r="R722" s="10"/>
      <c r="X722" s="12"/>
      <c r="Y722" s="12"/>
      <c r="AA722" s="13"/>
    </row>
    <row r="723" spans="2:27" ht="12.75" x14ac:dyDescent="0.2">
      <c r="B723" s="44"/>
      <c r="C723" s="10"/>
      <c r="D723" s="10"/>
      <c r="E723" s="39"/>
      <c r="F723" s="39"/>
      <c r="G723" s="39"/>
      <c r="H723" s="39"/>
      <c r="I723" s="9"/>
      <c r="J723" s="9"/>
      <c r="K723" s="39"/>
      <c r="L723" s="39"/>
      <c r="M723" s="39"/>
      <c r="N723" s="9"/>
      <c r="O723" s="39"/>
      <c r="P723" s="39"/>
      <c r="Q723" s="39"/>
      <c r="R723" s="10"/>
      <c r="X723" s="12"/>
      <c r="Y723" s="12"/>
      <c r="AA723" s="13"/>
    </row>
    <row r="724" spans="2:27" ht="12.75" x14ac:dyDescent="0.2">
      <c r="B724" s="44"/>
      <c r="C724" s="10"/>
      <c r="D724" s="10"/>
      <c r="E724" s="39"/>
      <c r="F724" s="39"/>
      <c r="G724" s="39"/>
      <c r="H724" s="39"/>
      <c r="I724" s="9"/>
      <c r="J724" s="9"/>
      <c r="K724" s="39"/>
      <c r="L724" s="39"/>
      <c r="M724" s="39"/>
      <c r="N724" s="9"/>
      <c r="O724" s="39"/>
      <c r="P724" s="39"/>
      <c r="Q724" s="39"/>
      <c r="R724" s="10"/>
      <c r="X724" s="12"/>
      <c r="Y724" s="12"/>
      <c r="AA724" s="13"/>
    </row>
    <row r="725" spans="2:27" ht="12.75" x14ac:dyDescent="0.2">
      <c r="B725" s="44"/>
      <c r="C725" s="10"/>
      <c r="D725" s="10"/>
      <c r="E725" s="39"/>
      <c r="F725" s="39"/>
      <c r="G725" s="39"/>
      <c r="H725" s="39"/>
      <c r="I725" s="9"/>
      <c r="J725" s="9"/>
      <c r="K725" s="39"/>
      <c r="L725" s="39"/>
      <c r="M725" s="39"/>
      <c r="N725" s="9"/>
      <c r="O725" s="39"/>
      <c r="P725" s="39"/>
      <c r="Q725" s="39"/>
      <c r="R725" s="10"/>
      <c r="X725" s="12"/>
      <c r="Y725" s="12"/>
      <c r="AA725" s="13"/>
    </row>
    <row r="726" spans="2:27" ht="12.75" x14ac:dyDescent="0.2">
      <c r="B726" s="44"/>
      <c r="C726" s="10"/>
      <c r="D726" s="10"/>
      <c r="E726" s="39"/>
      <c r="F726" s="39"/>
      <c r="G726" s="39"/>
      <c r="H726" s="39"/>
      <c r="I726" s="9"/>
      <c r="J726" s="9"/>
      <c r="K726" s="39"/>
      <c r="L726" s="39"/>
      <c r="M726" s="39"/>
      <c r="N726" s="9"/>
      <c r="O726" s="39"/>
      <c r="P726" s="39"/>
      <c r="Q726" s="39"/>
      <c r="R726" s="10"/>
      <c r="X726" s="12"/>
      <c r="Y726" s="12"/>
      <c r="AA726" s="13"/>
    </row>
    <row r="727" spans="2:27" ht="12.75" x14ac:dyDescent="0.2">
      <c r="B727" s="44"/>
      <c r="C727" s="10"/>
      <c r="D727" s="10"/>
      <c r="E727" s="39"/>
      <c r="F727" s="39"/>
      <c r="G727" s="39"/>
      <c r="H727" s="39"/>
      <c r="I727" s="9"/>
      <c r="J727" s="9"/>
      <c r="K727" s="39"/>
      <c r="L727" s="39"/>
      <c r="M727" s="39"/>
      <c r="N727" s="9"/>
      <c r="O727" s="39"/>
      <c r="P727" s="39"/>
      <c r="Q727" s="39"/>
      <c r="R727" s="10"/>
      <c r="X727" s="12"/>
      <c r="Y727" s="12"/>
      <c r="AA727" s="13"/>
    </row>
    <row r="728" spans="2:27" ht="12.75" x14ac:dyDescent="0.2">
      <c r="B728" s="44"/>
      <c r="C728" s="10"/>
      <c r="D728" s="10"/>
      <c r="E728" s="39"/>
      <c r="F728" s="39"/>
      <c r="G728" s="39"/>
      <c r="H728" s="39"/>
      <c r="I728" s="9"/>
      <c r="J728" s="9"/>
      <c r="K728" s="39"/>
      <c r="L728" s="39"/>
      <c r="M728" s="39"/>
      <c r="N728" s="9"/>
      <c r="O728" s="39"/>
      <c r="P728" s="39"/>
      <c r="Q728" s="39"/>
      <c r="R728" s="10"/>
      <c r="X728" s="12"/>
      <c r="Y728" s="12"/>
      <c r="AA728" s="13"/>
    </row>
    <row r="729" spans="2:27" ht="12.75" x14ac:dyDescent="0.2">
      <c r="B729" s="44"/>
      <c r="C729" s="10"/>
      <c r="D729" s="10"/>
      <c r="E729" s="39"/>
      <c r="F729" s="39"/>
      <c r="G729" s="39"/>
      <c r="H729" s="39"/>
      <c r="I729" s="9"/>
      <c r="J729" s="9"/>
      <c r="K729" s="39"/>
      <c r="L729" s="39"/>
      <c r="M729" s="39"/>
      <c r="N729" s="9"/>
      <c r="O729" s="39"/>
      <c r="P729" s="39"/>
      <c r="Q729" s="39"/>
      <c r="R729" s="10"/>
      <c r="X729" s="12"/>
      <c r="Y729" s="12"/>
      <c r="AA729" s="13"/>
    </row>
    <row r="730" spans="2:27" ht="12.75" x14ac:dyDescent="0.2">
      <c r="B730" s="44"/>
      <c r="C730" s="10"/>
      <c r="D730" s="10"/>
      <c r="E730" s="39"/>
      <c r="F730" s="39"/>
      <c r="G730" s="39"/>
      <c r="H730" s="39"/>
      <c r="I730" s="9"/>
      <c r="J730" s="9"/>
      <c r="K730" s="39"/>
      <c r="L730" s="39"/>
      <c r="M730" s="39"/>
      <c r="N730" s="9"/>
      <c r="O730" s="39"/>
      <c r="P730" s="39"/>
      <c r="Q730" s="39"/>
      <c r="R730" s="10"/>
      <c r="X730" s="12"/>
      <c r="Y730" s="12"/>
      <c r="AA730" s="13"/>
    </row>
    <row r="731" spans="2:27" ht="12.75" x14ac:dyDescent="0.2">
      <c r="B731" s="44"/>
      <c r="C731" s="10"/>
      <c r="D731" s="10"/>
      <c r="E731" s="39"/>
      <c r="F731" s="39"/>
      <c r="G731" s="39"/>
      <c r="H731" s="39"/>
      <c r="I731" s="9"/>
      <c r="J731" s="9"/>
      <c r="K731" s="39"/>
      <c r="L731" s="39"/>
      <c r="M731" s="39"/>
      <c r="N731" s="9"/>
      <c r="O731" s="39"/>
      <c r="P731" s="39"/>
      <c r="Q731" s="39"/>
      <c r="R731" s="10"/>
      <c r="X731" s="12"/>
      <c r="Y731" s="12"/>
      <c r="AA731" s="13"/>
    </row>
    <row r="732" spans="2:27" ht="12.75" x14ac:dyDescent="0.2">
      <c r="B732" s="44"/>
      <c r="C732" s="10"/>
      <c r="D732" s="10"/>
      <c r="E732" s="39"/>
      <c r="F732" s="39"/>
      <c r="G732" s="39"/>
      <c r="H732" s="39"/>
      <c r="I732" s="9"/>
      <c r="J732" s="9"/>
      <c r="K732" s="39"/>
      <c r="L732" s="39"/>
      <c r="M732" s="39"/>
      <c r="N732" s="9"/>
      <c r="O732" s="39"/>
      <c r="P732" s="39"/>
      <c r="Q732" s="39"/>
      <c r="R732" s="10"/>
      <c r="X732" s="12"/>
      <c r="Y732" s="12"/>
      <c r="AA732" s="13"/>
    </row>
    <row r="733" spans="2:27" ht="12.75" x14ac:dyDescent="0.2">
      <c r="B733" s="44"/>
      <c r="C733" s="10"/>
      <c r="D733" s="10"/>
      <c r="E733" s="39"/>
      <c r="F733" s="39"/>
      <c r="G733" s="39"/>
      <c r="H733" s="39"/>
      <c r="I733" s="9"/>
      <c r="J733" s="9"/>
      <c r="K733" s="39"/>
      <c r="L733" s="39"/>
      <c r="M733" s="39"/>
      <c r="N733" s="9"/>
      <c r="O733" s="39"/>
      <c r="P733" s="39"/>
      <c r="Q733" s="39"/>
      <c r="R733" s="10"/>
      <c r="X733" s="12"/>
      <c r="Y733" s="12"/>
      <c r="AA733" s="13"/>
    </row>
    <row r="734" spans="2:27" ht="12.75" x14ac:dyDescent="0.2">
      <c r="B734" s="44"/>
      <c r="C734" s="10"/>
      <c r="D734" s="10"/>
      <c r="E734" s="39"/>
      <c r="F734" s="39"/>
      <c r="G734" s="39"/>
      <c r="H734" s="39"/>
      <c r="I734" s="9"/>
      <c r="J734" s="9"/>
      <c r="K734" s="39"/>
      <c r="L734" s="39"/>
      <c r="M734" s="39"/>
      <c r="N734" s="9"/>
      <c r="O734" s="39"/>
      <c r="P734" s="39"/>
      <c r="Q734" s="39"/>
      <c r="R734" s="10"/>
      <c r="X734" s="12"/>
      <c r="Y734" s="12"/>
      <c r="AA734" s="13"/>
    </row>
    <row r="735" spans="2:27" ht="12.75" x14ac:dyDescent="0.2">
      <c r="B735" s="44"/>
      <c r="C735" s="10"/>
      <c r="D735" s="10"/>
      <c r="E735" s="39"/>
      <c r="F735" s="39"/>
      <c r="G735" s="39"/>
      <c r="H735" s="39"/>
      <c r="I735" s="9"/>
      <c r="J735" s="9"/>
      <c r="K735" s="39"/>
      <c r="L735" s="39"/>
      <c r="M735" s="39"/>
      <c r="N735" s="9"/>
      <c r="O735" s="39"/>
      <c r="P735" s="39"/>
      <c r="Q735" s="39"/>
      <c r="R735" s="10"/>
      <c r="X735" s="12"/>
      <c r="Y735" s="12"/>
      <c r="AA735" s="13"/>
    </row>
    <row r="736" spans="2:27" ht="12.75" x14ac:dyDescent="0.2">
      <c r="B736" s="44"/>
      <c r="C736" s="10"/>
      <c r="D736" s="10"/>
      <c r="E736" s="39"/>
      <c r="F736" s="39"/>
      <c r="G736" s="39"/>
      <c r="H736" s="39"/>
      <c r="I736" s="9"/>
      <c r="J736" s="9"/>
      <c r="K736" s="39"/>
      <c r="L736" s="39"/>
      <c r="M736" s="39"/>
      <c r="N736" s="9"/>
      <c r="O736" s="39"/>
      <c r="P736" s="39"/>
      <c r="Q736" s="39"/>
      <c r="R736" s="10"/>
      <c r="X736" s="12"/>
      <c r="Y736" s="12"/>
      <c r="AA736" s="13"/>
    </row>
    <row r="737" spans="2:27" ht="12.75" x14ac:dyDescent="0.2">
      <c r="B737" s="44"/>
      <c r="C737" s="10"/>
      <c r="D737" s="10"/>
      <c r="E737" s="39"/>
      <c r="F737" s="39"/>
      <c r="G737" s="39"/>
      <c r="H737" s="39"/>
      <c r="I737" s="9"/>
      <c r="J737" s="9"/>
      <c r="K737" s="39"/>
      <c r="L737" s="39"/>
      <c r="M737" s="39"/>
      <c r="N737" s="9"/>
      <c r="O737" s="39"/>
      <c r="P737" s="39"/>
      <c r="Q737" s="39"/>
      <c r="R737" s="10"/>
      <c r="X737" s="12"/>
      <c r="Y737" s="12"/>
      <c r="AA737" s="13"/>
    </row>
    <row r="738" spans="2:27" ht="12.75" x14ac:dyDescent="0.2">
      <c r="B738" s="44"/>
      <c r="C738" s="10"/>
      <c r="D738" s="10"/>
      <c r="E738" s="39"/>
      <c r="F738" s="39"/>
      <c r="G738" s="39"/>
      <c r="H738" s="39"/>
      <c r="I738" s="9"/>
      <c r="J738" s="9"/>
      <c r="K738" s="39"/>
      <c r="L738" s="39"/>
      <c r="M738" s="39"/>
      <c r="N738" s="9"/>
      <c r="O738" s="39"/>
      <c r="P738" s="39"/>
      <c r="Q738" s="39"/>
      <c r="R738" s="10"/>
      <c r="X738" s="12"/>
      <c r="Y738" s="12"/>
      <c r="AA738" s="13"/>
    </row>
    <row r="739" spans="2:27" ht="12.75" x14ac:dyDescent="0.2">
      <c r="B739" s="44"/>
      <c r="C739" s="10"/>
      <c r="D739" s="10"/>
      <c r="E739" s="39"/>
      <c r="F739" s="39"/>
      <c r="G739" s="39"/>
      <c r="H739" s="39"/>
      <c r="I739" s="9"/>
      <c r="J739" s="9"/>
      <c r="K739" s="39"/>
      <c r="L739" s="39"/>
      <c r="M739" s="39"/>
      <c r="N739" s="9"/>
      <c r="O739" s="39"/>
      <c r="P739" s="39"/>
      <c r="Q739" s="39"/>
      <c r="R739" s="10"/>
      <c r="X739" s="12"/>
      <c r="Y739" s="12"/>
      <c r="AA739" s="13"/>
    </row>
    <row r="740" spans="2:27" ht="12.75" x14ac:dyDescent="0.2">
      <c r="B740" s="44"/>
      <c r="C740" s="10"/>
      <c r="D740" s="10"/>
      <c r="E740" s="39"/>
      <c r="F740" s="39"/>
      <c r="G740" s="39"/>
      <c r="H740" s="39"/>
      <c r="I740" s="9"/>
      <c r="J740" s="9"/>
      <c r="K740" s="39"/>
      <c r="L740" s="39"/>
      <c r="M740" s="39"/>
      <c r="N740" s="9"/>
      <c r="O740" s="39"/>
      <c r="P740" s="39"/>
      <c r="Q740" s="39"/>
      <c r="R740" s="10"/>
      <c r="X740" s="12"/>
      <c r="Y740" s="12"/>
      <c r="AA740" s="13"/>
    </row>
    <row r="741" spans="2:27" ht="12.75" x14ac:dyDescent="0.2">
      <c r="B741" s="44"/>
      <c r="C741" s="10"/>
      <c r="D741" s="10"/>
      <c r="E741" s="39"/>
      <c r="F741" s="39"/>
      <c r="G741" s="39"/>
      <c r="H741" s="39"/>
      <c r="I741" s="9"/>
      <c r="J741" s="9"/>
      <c r="K741" s="39"/>
      <c r="L741" s="39"/>
      <c r="M741" s="39"/>
      <c r="N741" s="9"/>
      <c r="O741" s="39"/>
      <c r="P741" s="39"/>
      <c r="Q741" s="39"/>
      <c r="R741" s="10"/>
      <c r="X741" s="12"/>
      <c r="Y741" s="12"/>
      <c r="AA741" s="13"/>
    </row>
    <row r="742" spans="2:27" ht="12.75" x14ac:dyDescent="0.2">
      <c r="B742" s="44"/>
      <c r="C742" s="10"/>
      <c r="D742" s="10"/>
      <c r="E742" s="39"/>
      <c r="F742" s="39"/>
      <c r="G742" s="39"/>
      <c r="H742" s="39"/>
      <c r="I742" s="9"/>
      <c r="J742" s="9"/>
      <c r="K742" s="39"/>
      <c r="L742" s="39"/>
      <c r="M742" s="39"/>
      <c r="N742" s="9"/>
      <c r="O742" s="39"/>
      <c r="P742" s="39"/>
      <c r="Q742" s="39"/>
      <c r="R742" s="10"/>
      <c r="X742" s="12"/>
      <c r="Y742" s="12"/>
      <c r="AA742" s="13"/>
    </row>
    <row r="743" spans="2:27" ht="12.75" x14ac:dyDescent="0.2">
      <c r="B743" s="44"/>
      <c r="C743" s="10"/>
      <c r="D743" s="10"/>
      <c r="E743" s="39"/>
      <c r="F743" s="39"/>
      <c r="G743" s="39"/>
      <c r="H743" s="39"/>
      <c r="I743" s="9"/>
      <c r="J743" s="9"/>
      <c r="K743" s="39"/>
      <c r="L743" s="39"/>
      <c r="M743" s="39"/>
      <c r="N743" s="9"/>
      <c r="O743" s="39"/>
      <c r="P743" s="39"/>
      <c r="Q743" s="39"/>
      <c r="R743" s="10"/>
      <c r="X743" s="12"/>
      <c r="Y743" s="12"/>
      <c r="AA743" s="13"/>
    </row>
    <row r="744" spans="2:27" ht="12.75" x14ac:dyDescent="0.2">
      <c r="B744" s="44"/>
      <c r="C744" s="10"/>
      <c r="D744" s="10"/>
      <c r="E744" s="39"/>
      <c r="F744" s="39"/>
      <c r="G744" s="39"/>
      <c r="H744" s="39"/>
      <c r="I744" s="9"/>
      <c r="J744" s="9"/>
      <c r="K744" s="39"/>
      <c r="L744" s="39"/>
      <c r="M744" s="39"/>
      <c r="N744" s="9"/>
      <c r="O744" s="39"/>
      <c r="P744" s="39"/>
      <c r="Q744" s="39"/>
      <c r="R744" s="10"/>
      <c r="X744" s="12"/>
      <c r="Y744" s="12"/>
      <c r="AA744" s="13"/>
    </row>
    <row r="745" spans="2:27" ht="12.75" x14ac:dyDescent="0.2">
      <c r="B745" s="44"/>
      <c r="C745" s="10"/>
      <c r="D745" s="10"/>
      <c r="E745" s="39"/>
      <c r="F745" s="39"/>
      <c r="G745" s="39"/>
      <c r="H745" s="39"/>
      <c r="I745" s="9"/>
      <c r="J745" s="9"/>
      <c r="K745" s="39"/>
      <c r="L745" s="39"/>
      <c r="M745" s="39"/>
      <c r="N745" s="9"/>
      <c r="O745" s="39"/>
      <c r="P745" s="39"/>
      <c r="Q745" s="39"/>
      <c r="R745" s="10"/>
      <c r="X745" s="12"/>
      <c r="Y745" s="12"/>
      <c r="AA745" s="13"/>
    </row>
    <row r="746" spans="2:27" ht="12.75" x14ac:dyDescent="0.2">
      <c r="B746" s="44"/>
      <c r="C746" s="10"/>
      <c r="D746" s="10"/>
      <c r="E746" s="39"/>
      <c r="F746" s="39"/>
      <c r="G746" s="39"/>
      <c r="H746" s="39"/>
      <c r="I746" s="9"/>
      <c r="J746" s="9"/>
      <c r="K746" s="39"/>
      <c r="L746" s="39"/>
      <c r="M746" s="39"/>
      <c r="N746" s="9"/>
      <c r="O746" s="39"/>
      <c r="P746" s="39"/>
      <c r="Q746" s="39"/>
      <c r="R746" s="10"/>
      <c r="X746" s="12"/>
      <c r="Y746" s="12"/>
      <c r="AA746" s="13"/>
    </row>
    <row r="747" spans="2:27" ht="12.75" x14ac:dyDescent="0.2">
      <c r="B747" s="44"/>
      <c r="C747" s="10"/>
      <c r="D747" s="10"/>
      <c r="E747" s="39"/>
      <c r="F747" s="39"/>
      <c r="G747" s="39"/>
      <c r="H747" s="39"/>
      <c r="I747" s="9"/>
      <c r="J747" s="9"/>
      <c r="K747" s="39"/>
      <c r="L747" s="39"/>
      <c r="M747" s="39"/>
      <c r="N747" s="9"/>
      <c r="O747" s="39"/>
      <c r="P747" s="39"/>
      <c r="Q747" s="39"/>
      <c r="R747" s="10"/>
      <c r="X747" s="12"/>
      <c r="Y747" s="12"/>
      <c r="AA747" s="13"/>
    </row>
    <row r="748" spans="2:27" ht="12.75" x14ac:dyDescent="0.2">
      <c r="B748" s="44"/>
      <c r="C748" s="10"/>
      <c r="D748" s="10"/>
      <c r="E748" s="39"/>
      <c r="F748" s="39"/>
      <c r="G748" s="39"/>
      <c r="H748" s="39"/>
      <c r="I748" s="9"/>
      <c r="J748" s="9"/>
      <c r="K748" s="39"/>
      <c r="L748" s="39"/>
      <c r="M748" s="39"/>
      <c r="N748" s="9"/>
      <c r="O748" s="39"/>
      <c r="P748" s="39"/>
      <c r="Q748" s="39"/>
      <c r="R748" s="10"/>
      <c r="X748" s="12"/>
      <c r="Y748" s="12"/>
      <c r="AA748" s="13"/>
    </row>
    <row r="749" spans="2:27" ht="12.75" x14ac:dyDescent="0.2">
      <c r="B749" s="44"/>
      <c r="C749" s="10"/>
      <c r="D749" s="10"/>
      <c r="E749" s="39"/>
      <c r="F749" s="39"/>
      <c r="G749" s="39"/>
      <c r="H749" s="39"/>
      <c r="I749" s="9"/>
      <c r="J749" s="9"/>
      <c r="K749" s="39"/>
      <c r="L749" s="39"/>
      <c r="M749" s="39"/>
      <c r="N749" s="9"/>
      <c r="O749" s="39"/>
      <c r="P749" s="39"/>
      <c r="Q749" s="39"/>
      <c r="R749" s="10"/>
      <c r="X749" s="12"/>
      <c r="Y749" s="12"/>
      <c r="AA749" s="13"/>
    </row>
    <row r="750" spans="2:27" ht="12.75" x14ac:dyDescent="0.2">
      <c r="B750" s="44"/>
      <c r="C750" s="10"/>
      <c r="D750" s="10"/>
      <c r="E750" s="39"/>
      <c r="F750" s="39"/>
      <c r="G750" s="39"/>
      <c r="H750" s="39"/>
      <c r="I750" s="9"/>
      <c r="J750" s="9"/>
      <c r="K750" s="39"/>
      <c r="L750" s="39"/>
      <c r="M750" s="39"/>
      <c r="N750" s="9"/>
      <c r="O750" s="39"/>
      <c r="P750" s="39"/>
      <c r="Q750" s="39"/>
      <c r="R750" s="10"/>
      <c r="X750" s="12"/>
      <c r="Y750" s="12"/>
      <c r="AA750" s="13"/>
    </row>
    <row r="751" spans="2:27" ht="12.75" x14ac:dyDescent="0.2">
      <c r="B751" s="44"/>
      <c r="C751" s="10"/>
      <c r="D751" s="10"/>
      <c r="E751" s="39"/>
      <c r="F751" s="39"/>
      <c r="G751" s="39"/>
      <c r="H751" s="39"/>
      <c r="I751" s="9"/>
      <c r="J751" s="9"/>
      <c r="K751" s="39"/>
      <c r="L751" s="39"/>
      <c r="M751" s="39"/>
      <c r="N751" s="9"/>
      <c r="O751" s="39"/>
      <c r="P751" s="39"/>
      <c r="Q751" s="39"/>
      <c r="R751" s="10"/>
      <c r="X751" s="12"/>
      <c r="Y751" s="12"/>
      <c r="AA751" s="13"/>
    </row>
    <row r="752" spans="2:27" ht="12.75" x14ac:dyDescent="0.2">
      <c r="B752" s="44"/>
      <c r="C752" s="10"/>
      <c r="D752" s="10"/>
      <c r="E752" s="39"/>
      <c r="F752" s="39"/>
      <c r="G752" s="39"/>
      <c r="H752" s="39"/>
      <c r="I752" s="9"/>
      <c r="J752" s="9"/>
      <c r="K752" s="39"/>
      <c r="L752" s="39"/>
      <c r="M752" s="39"/>
      <c r="N752" s="9"/>
      <c r="O752" s="39"/>
      <c r="P752" s="39"/>
      <c r="Q752" s="39"/>
      <c r="R752" s="10"/>
      <c r="X752" s="12"/>
      <c r="Y752" s="12"/>
      <c r="AA752" s="13"/>
    </row>
    <row r="753" spans="2:27" ht="12.75" x14ac:dyDescent="0.2">
      <c r="B753" s="44"/>
      <c r="C753" s="10"/>
      <c r="D753" s="10"/>
      <c r="E753" s="39"/>
      <c r="F753" s="39"/>
      <c r="G753" s="39"/>
      <c r="H753" s="39"/>
      <c r="I753" s="9"/>
      <c r="J753" s="9"/>
      <c r="K753" s="39"/>
      <c r="L753" s="39"/>
      <c r="M753" s="39"/>
      <c r="N753" s="9"/>
      <c r="O753" s="39"/>
      <c r="P753" s="39"/>
      <c r="Q753" s="39"/>
      <c r="R753" s="10"/>
      <c r="X753" s="12"/>
      <c r="Y753" s="12"/>
      <c r="AA753" s="13"/>
    </row>
    <row r="754" spans="2:27" ht="12.75" x14ac:dyDescent="0.2">
      <c r="B754" s="44"/>
      <c r="C754" s="10"/>
      <c r="D754" s="10"/>
      <c r="E754" s="39"/>
      <c r="F754" s="39"/>
      <c r="G754" s="39"/>
      <c r="H754" s="39"/>
      <c r="I754" s="9"/>
      <c r="J754" s="9"/>
      <c r="K754" s="39"/>
      <c r="L754" s="39"/>
      <c r="M754" s="39"/>
      <c r="N754" s="9"/>
      <c r="O754" s="39"/>
      <c r="P754" s="39"/>
      <c r="Q754" s="39"/>
      <c r="R754" s="10"/>
      <c r="X754" s="12"/>
      <c r="Y754" s="12"/>
      <c r="AA754" s="13"/>
    </row>
    <row r="755" spans="2:27" ht="12.75" x14ac:dyDescent="0.2">
      <c r="B755" s="44"/>
      <c r="C755" s="10"/>
      <c r="D755" s="10"/>
      <c r="E755" s="39"/>
      <c r="F755" s="39"/>
      <c r="G755" s="39"/>
      <c r="H755" s="39"/>
      <c r="I755" s="9"/>
      <c r="J755" s="9"/>
      <c r="K755" s="39"/>
      <c r="L755" s="39"/>
      <c r="M755" s="39"/>
      <c r="N755" s="9"/>
      <c r="O755" s="39"/>
      <c r="P755" s="39"/>
      <c r="Q755" s="39"/>
      <c r="R755" s="10"/>
      <c r="X755" s="12"/>
      <c r="Y755" s="12"/>
      <c r="AA755" s="13"/>
    </row>
    <row r="756" spans="2:27" ht="12.75" x14ac:dyDescent="0.2">
      <c r="B756" s="44"/>
      <c r="C756" s="10"/>
      <c r="D756" s="10"/>
      <c r="E756" s="39"/>
      <c r="F756" s="39"/>
      <c r="G756" s="39"/>
      <c r="H756" s="39"/>
      <c r="I756" s="9"/>
      <c r="J756" s="9"/>
      <c r="K756" s="39"/>
      <c r="L756" s="39"/>
      <c r="M756" s="39"/>
      <c r="N756" s="9"/>
      <c r="O756" s="39"/>
      <c r="P756" s="39"/>
      <c r="Q756" s="39"/>
      <c r="R756" s="10"/>
      <c r="X756" s="12"/>
      <c r="Y756" s="12"/>
      <c r="AA756" s="13"/>
    </row>
    <row r="757" spans="2:27" ht="12.75" x14ac:dyDescent="0.2">
      <c r="B757" s="44"/>
      <c r="C757" s="10"/>
      <c r="D757" s="10"/>
      <c r="E757" s="39"/>
      <c r="F757" s="39"/>
      <c r="G757" s="39"/>
      <c r="H757" s="39"/>
      <c r="I757" s="9"/>
      <c r="J757" s="9"/>
      <c r="K757" s="39"/>
      <c r="L757" s="39"/>
      <c r="M757" s="39"/>
      <c r="N757" s="9"/>
      <c r="O757" s="39"/>
      <c r="P757" s="39"/>
      <c r="Q757" s="39"/>
      <c r="R757" s="10"/>
      <c r="X757" s="12"/>
      <c r="Y757" s="12"/>
      <c r="AA757" s="13"/>
    </row>
    <row r="758" spans="2:27" ht="12.75" x14ac:dyDescent="0.2">
      <c r="B758" s="44"/>
      <c r="C758" s="10"/>
      <c r="D758" s="10"/>
      <c r="E758" s="39"/>
      <c r="F758" s="39"/>
      <c r="G758" s="39"/>
      <c r="H758" s="39"/>
      <c r="I758" s="9"/>
      <c r="J758" s="9"/>
      <c r="K758" s="39"/>
      <c r="L758" s="39"/>
      <c r="M758" s="39"/>
      <c r="N758" s="9"/>
      <c r="O758" s="39"/>
      <c r="P758" s="39"/>
      <c r="Q758" s="39"/>
      <c r="R758" s="10"/>
      <c r="X758" s="12"/>
      <c r="Y758" s="12"/>
      <c r="AA758" s="13"/>
    </row>
    <row r="759" spans="2:27" ht="12.75" x14ac:dyDescent="0.2">
      <c r="B759" s="44"/>
      <c r="C759" s="10"/>
      <c r="D759" s="10"/>
      <c r="E759" s="39"/>
      <c r="F759" s="39"/>
      <c r="G759" s="39"/>
      <c r="H759" s="39"/>
      <c r="I759" s="9"/>
      <c r="J759" s="9"/>
      <c r="K759" s="39"/>
      <c r="L759" s="39"/>
      <c r="M759" s="39"/>
      <c r="N759" s="9"/>
      <c r="O759" s="39"/>
      <c r="P759" s="39"/>
      <c r="Q759" s="39"/>
      <c r="R759" s="10"/>
      <c r="X759" s="12"/>
      <c r="Y759" s="12"/>
      <c r="AA759" s="13"/>
    </row>
    <row r="760" spans="2:27" ht="12.75" x14ac:dyDescent="0.2">
      <c r="B760" s="44"/>
      <c r="C760" s="10"/>
      <c r="D760" s="10"/>
      <c r="E760" s="39"/>
      <c r="F760" s="39"/>
      <c r="G760" s="39"/>
      <c r="H760" s="39"/>
      <c r="I760" s="9"/>
      <c r="J760" s="9"/>
      <c r="K760" s="39"/>
      <c r="L760" s="39"/>
      <c r="M760" s="39"/>
      <c r="N760" s="9"/>
      <c r="O760" s="39"/>
      <c r="P760" s="39"/>
      <c r="Q760" s="39"/>
      <c r="R760" s="10"/>
      <c r="X760" s="12"/>
      <c r="Y760" s="12"/>
      <c r="AA760" s="13"/>
    </row>
    <row r="761" spans="2:27" ht="12.75" x14ac:dyDescent="0.2">
      <c r="B761" s="44"/>
      <c r="C761" s="10"/>
      <c r="D761" s="10"/>
      <c r="E761" s="39"/>
      <c r="F761" s="39"/>
      <c r="G761" s="39"/>
      <c r="H761" s="39"/>
      <c r="I761" s="9"/>
      <c r="J761" s="9"/>
      <c r="K761" s="39"/>
      <c r="L761" s="39"/>
      <c r="M761" s="39"/>
      <c r="N761" s="9"/>
      <c r="O761" s="39"/>
      <c r="P761" s="39"/>
      <c r="Q761" s="39"/>
      <c r="R761" s="10"/>
      <c r="X761" s="12"/>
      <c r="Y761" s="12"/>
      <c r="AA761" s="13"/>
    </row>
    <row r="762" spans="2:27" ht="12.75" x14ac:dyDescent="0.2">
      <c r="B762" s="44"/>
      <c r="C762" s="10"/>
      <c r="D762" s="10"/>
      <c r="E762" s="39"/>
      <c r="F762" s="39"/>
      <c r="G762" s="39"/>
      <c r="H762" s="39"/>
      <c r="I762" s="9"/>
      <c r="J762" s="9"/>
      <c r="K762" s="39"/>
      <c r="L762" s="39"/>
      <c r="M762" s="39"/>
      <c r="N762" s="9"/>
      <c r="O762" s="39"/>
      <c r="P762" s="39"/>
      <c r="Q762" s="39"/>
      <c r="R762" s="10"/>
      <c r="X762" s="12"/>
      <c r="Y762" s="12"/>
      <c r="AA762" s="13"/>
    </row>
    <row r="763" spans="2:27" ht="12.75" x14ac:dyDescent="0.2">
      <c r="B763" s="44"/>
      <c r="C763" s="10"/>
      <c r="D763" s="10"/>
      <c r="E763" s="39"/>
      <c r="F763" s="39"/>
      <c r="G763" s="39"/>
      <c r="H763" s="39"/>
      <c r="I763" s="9"/>
      <c r="J763" s="9"/>
      <c r="K763" s="39"/>
      <c r="L763" s="39"/>
      <c r="M763" s="39"/>
      <c r="N763" s="9"/>
      <c r="O763" s="39"/>
      <c r="P763" s="39"/>
      <c r="Q763" s="39"/>
      <c r="R763" s="10"/>
      <c r="X763" s="12"/>
      <c r="Y763" s="12"/>
      <c r="AA763" s="13"/>
    </row>
    <row r="764" spans="2:27" ht="12.75" x14ac:dyDescent="0.2">
      <c r="B764" s="44"/>
      <c r="C764" s="10"/>
      <c r="D764" s="10"/>
      <c r="E764" s="39"/>
      <c r="F764" s="39"/>
      <c r="G764" s="39"/>
      <c r="H764" s="39"/>
      <c r="I764" s="9"/>
      <c r="J764" s="9"/>
      <c r="K764" s="39"/>
      <c r="L764" s="39"/>
      <c r="M764" s="39"/>
      <c r="N764" s="9"/>
      <c r="O764" s="39"/>
      <c r="P764" s="39"/>
      <c r="Q764" s="39"/>
      <c r="R764" s="10"/>
      <c r="X764" s="12"/>
      <c r="Y764" s="12"/>
      <c r="AA764" s="13"/>
    </row>
    <row r="765" spans="2:27" ht="12.75" x14ac:dyDescent="0.2">
      <c r="B765" s="44"/>
      <c r="C765" s="10"/>
      <c r="D765" s="10"/>
      <c r="E765" s="39"/>
      <c r="F765" s="39"/>
      <c r="G765" s="39"/>
      <c r="H765" s="39"/>
      <c r="I765" s="9"/>
      <c r="J765" s="9"/>
      <c r="K765" s="39"/>
      <c r="L765" s="39"/>
      <c r="M765" s="39"/>
      <c r="N765" s="9"/>
      <c r="O765" s="39"/>
      <c r="P765" s="39"/>
      <c r="Q765" s="39"/>
      <c r="R765" s="10"/>
      <c r="X765" s="12"/>
      <c r="Y765" s="12"/>
      <c r="AA765" s="13"/>
    </row>
    <row r="766" spans="2:27" ht="12.75" x14ac:dyDescent="0.2">
      <c r="B766" s="44"/>
      <c r="C766" s="10"/>
      <c r="D766" s="10"/>
      <c r="E766" s="39"/>
      <c r="F766" s="39"/>
      <c r="G766" s="39"/>
      <c r="H766" s="39"/>
      <c r="I766" s="9"/>
      <c r="J766" s="9"/>
      <c r="K766" s="39"/>
      <c r="L766" s="39"/>
      <c r="M766" s="39"/>
      <c r="N766" s="9"/>
      <c r="O766" s="39"/>
      <c r="P766" s="39"/>
      <c r="Q766" s="39"/>
      <c r="R766" s="10"/>
      <c r="X766" s="12"/>
      <c r="Y766" s="12"/>
      <c r="AA766" s="13"/>
    </row>
    <row r="767" spans="2:27" ht="12.75" x14ac:dyDescent="0.2">
      <c r="B767" s="44"/>
      <c r="C767" s="10"/>
      <c r="D767" s="10"/>
      <c r="E767" s="39"/>
      <c r="F767" s="39"/>
      <c r="G767" s="39"/>
      <c r="H767" s="39"/>
      <c r="I767" s="9"/>
      <c r="J767" s="9"/>
      <c r="K767" s="39"/>
      <c r="L767" s="39"/>
      <c r="M767" s="39"/>
      <c r="N767" s="9"/>
      <c r="O767" s="39"/>
      <c r="P767" s="39"/>
      <c r="Q767" s="39"/>
      <c r="R767" s="10"/>
      <c r="X767" s="12"/>
      <c r="Y767" s="12"/>
      <c r="AA767" s="13"/>
    </row>
    <row r="768" spans="2:27" ht="12.75" x14ac:dyDescent="0.2">
      <c r="B768" s="44"/>
      <c r="C768" s="10"/>
      <c r="D768" s="10"/>
      <c r="E768" s="39"/>
      <c r="F768" s="39"/>
      <c r="G768" s="39"/>
      <c r="H768" s="39"/>
      <c r="I768" s="9"/>
      <c r="J768" s="9"/>
      <c r="K768" s="39"/>
      <c r="L768" s="39"/>
      <c r="M768" s="39"/>
      <c r="N768" s="9"/>
      <c r="O768" s="39"/>
      <c r="P768" s="39"/>
      <c r="Q768" s="39"/>
      <c r="R768" s="10"/>
      <c r="X768" s="12"/>
      <c r="Y768" s="12"/>
      <c r="AA768" s="13"/>
    </row>
    <row r="769" spans="2:27" ht="12.75" x14ac:dyDescent="0.2">
      <c r="B769" s="44"/>
      <c r="C769" s="10"/>
      <c r="D769" s="10"/>
      <c r="E769" s="39"/>
      <c r="F769" s="39"/>
      <c r="G769" s="39"/>
      <c r="H769" s="39"/>
      <c r="I769" s="9"/>
      <c r="J769" s="9"/>
      <c r="K769" s="39"/>
      <c r="L769" s="39"/>
      <c r="M769" s="39"/>
      <c r="N769" s="9"/>
      <c r="O769" s="39"/>
      <c r="P769" s="39"/>
      <c r="Q769" s="39"/>
      <c r="R769" s="10"/>
      <c r="X769" s="12"/>
      <c r="Y769" s="12"/>
      <c r="AA769" s="13"/>
    </row>
    <row r="770" spans="2:27" ht="12.75" x14ac:dyDescent="0.2">
      <c r="B770" s="44"/>
      <c r="C770" s="10"/>
      <c r="D770" s="10"/>
      <c r="E770" s="39"/>
      <c r="F770" s="39"/>
      <c r="G770" s="39"/>
      <c r="H770" s="39"/>
      <c r="I770" s="9"/>
      <c r="J770" s="9"/>
      <c r="K770" s="39"/>
      <c r="L770" s="39"/>
      <c r="M770" s="39"/>
      <c r="N770" s="9"/>
      <c r="O770" s="39"/>
      <c r="P770" s="39"/>
      <c r="Q770" s="39"/>
      <c r="R770" s="10"/>
      <c r="X770" s="12"/>
      <c r="Y770" s="12"/>
      <c r="AA770" s="13"/>
    </row>
    <row r="771" spans="2:27" ht="12.75" x14ac:dyDescent="0.2">
      <c r="B771" s="44"/>
      <c r="C771" s="10"/>
      <c r="D771" s="10"/>
      <c r="E771" s="39"/>
      <c r="F771" s="39"/>
      <c r="G771" s="39"/>
      <c r="H771" s="39"/>
      <c r="I771" s="9"/>
      <c r="J771" s="9"/>
      <c r="K771" s="39"/>
      <c r="L771" s="39"/>
      <c r="M771" s="39"/>
      <c r="N771" s="9"/>
      <c r="O771" s="39"/>
      <c r="P771" s="39"/>
      <c r="Q771" s="39"/>
      <c r="R771" s="10"/>
      <c r="X771" s="12"/>
      <c r="Y771" s="12"/>
      <c r="AA771" s="13"/>
    </row>
    <row r="772" spans="2:27" ht="12.75" x14ac:dyDescent="0.2">
      <c r="B772" s="44"/>
      <c r="C772" s="10"/>
      <c r="D772" s="10"/>
      <c r="E772" s="39"/>
      <c r="F772" s="39"/>
      <c r="G772" s="39"/>
      <c r="H772" s="39"/>
      <c r="I772" s="9"/>
      <c r="J772" s="9"/>
      <c r="K772" s="39"/>
      <c r="L772" s="39"/>
      <c r="M772" s="39"/>
      <c r="N772" s="9"/>
      <c r="O772" s="39"/>
      <c r="P772" s="39"/>
      <c r="Q772" s="39"/>
      <c r="R772" s="10"/>
      <c r="X772" s="12"/>
      <c r="Y772" s="12"/>
      <c r="AA772" s="13"/>
    </row>
    <row r="773" spans="2:27" ht="12.75" x14ac:dyDescent="0.2">
      <c r="B773" s="44"/>
      <c r="C773" s="10"/>
      <c r="D773" s="10"/>
      <c r="E773" s="39"/>
      <c r="F773" s="39"/>
      <c r="G773" s="39"/>
      <c r="H773" s="39"/>
      <c r="I773" s="9"/>
      <c r="J773" s="9"/>
      <c r="K773" s="39"/>
      <c r="L773" s="39"/>
      <c r="M773" s="39"/>
      <c r="N773" s="9"/>
      <c r="O773" s="39"/>
      <c r="P773" s="39"/>
      <c r="Q773" s="39"/>
      <c r="R773" s="10"/>
      <c r="X773" s="12"/>
      <c r="Y773" s="12"/>
      <c r="AA773" s="13"/>
    </row>
    <row r="774" spans="2:27" ht="12.75" x14ac:dyDescent="0.2">
      <c r="B774" s="44"/>
      <c r="C774" s="10"/>
      <c r="D774" s="10"/>
      <c r="E774" s="39"/>
      <c r="F774" s="39"/>
      <c r="G774" s="39"/>
      <c r="H774" s="39"/>
      <c r="I774" s="9"/>
      <c r="J774" s="9"/>
      <c r="K774" s="39"/>
      <c r="L774" s="39"/>
      <c r="M774" s="39"/>
      <c r="N774" s="9"/>
      <c r="O774" s="39"/>
      <c r="P774" s="39"/>
      <c r="Q774" s="39"/>
      <c r="R774" s="10"/>
      <c r="X774" s="12"/>
      <c r="Y774" s="12"/>
      <c r="AA774" s="13"/>
    </row>
    <row r="775" spans="2:27" ht="12.75" x14ac:dyDescent="0.2">
      <c r="B775" s="44"/>
      <c r="C775" s="10"/>
      <c r="D775" s="10"/>
      <c r="E775" s="39"/>
      <c r="F775" s="39"/>
      <c r="G775" s="39"/>
      <c r="H775" s="39"/>
      <c r="I775" s="9"/>
      <c r="J775" s="9"/>
      <c r="K775" s="39"/>
      <c r="L775" s="39"/>
      <c r="M775" s="39"/>
      <c r="N775" s="9"/>
      <c r="O775" s="39"/>
      <c r="P775" s="39"/>
      <c r="Q775" s="39"/>
      <c r="R775" s="10"/>
      <c r="X775" s="12"/>
      <c r="Y775" s="12"/>
      <c r="AA775" s="13"/>
    </row>
    <row r="776" spans="2:27" ht="12.75" x14ac:dyDescent="0.2">
      <c r="B776" s="44"/>
      <c r="C776" s="10"/>
      <c r="D776" s="10"/>
      <c r="E776" s="39"/>
      <c r="F776" s="39"/>
      <c r="G776" s="39"/>
      <c r="H776" s="39"/>
      <c r="I776" s="9"/>
      <c r="J776" s="9"/>
      <c r="K776" s="39"/>
      <c r="L776" s="39"/>
      <c r="M776" s="39"/>
      <c r="N776" s="9"/>
      <c r="O776" s="39"/>
      <c r="P776" s="39"/>
      <c r="Q776" s="39"/>
      <c r="R776" s="10"/>
      <c r="X776" s="12"/>
      <c r="Y776" s="12"/>
      <c r="AA776" s="13"/>
    </row>
    <row r="777" spans="2:27" ht="12.75" x14ac:dyDescent="0.2">
      <c r="B777" s="44"/>
      <c r="C777" s="10"/>
      <c r="D777" s="10"/>
      <c r="E777" s="39"/>
      <c r="F777" s="39"/>
      <c r="G777" s="39"/>
      <c r="H777" s="39"/>
      <c r="I777" s="9"/>
      <c r="J777" s="9"/>
      <c r="K777" s="39"/>
      <c r="L777" s="39"/>
      <c r="M777" s="39"/>
      <c r="N777" s="9"/>
      <c r="O777" s="39"/>
      <c r="P777" s="39"/>
      <c r="Q777" s="39"/>
      <c r="R777" s="10"/>
      <c r="X777" s="12"/>
      <c r="Y777" s="12"/>
      <c r="AA777" s="13"/>
    </row>
    <row r="778" spans="2:27" ht="12.75" x14ac:dyDescent="0.2">
      <c r="B778" s="44"/>
      <c r="C778" s="10"/>
      <c r="D778" s="10"/>
      <c r="E778" s="39"/>
      <c r="F778" s="39"/>
      <c r="G778" s="39"/>
      <c r="H778" s="39"/>
      <c r="I778" s="9"/>
      <c r="J778" s="9"/>
      <c r="K778" s="39"/>
      <c r="L778" s="39"/>
      <c r="M778" s="39"/>
      <c r="N778" s="9"/>
      <c r="O778" s="39"/>
      <c r="P778" s="39"/>
      <c r="Q778" s="39"/>
      <c r="R778" s="10"/>
      <c r="X778" s="12"/>
      <c r="Y778" s="12"/>
      <c r="AA778" s="13"/>
    </row>
    <row r="779" spans="2:27" ht="12.75" x14ac:dyDescent="0.2">
      <c r="B779" s="44"/>
      <c r="C779" s="10"/>
      <c r="D779" s="10"/>
      <c r="E779" s="39"/>
      <c r="F779" s="39"/>
      <c r="G779" s="39"/>
      <c r="H779" s="39"/>
      <c r="I779" s="9"/>
      <c r="J779" s="9"/>
      <c r="K779" s="39"/>
      <c r="L779" s="39"/>
      <c r="M779" s="39"/>
      <c r="N779" s="9"/>
      <c r="O779" s="39"/>
      <c r="P779" s="39"/>
      <c r="Q779" s="39"/>
      <c r="R779" s="10"/>
      <c r="X779" s="12"/>
      <c r="Y779" s="12"/>
      <c r="AA779" s="13"/>
    </row>
    <row r="780" spans="2:27" ht="12.75" x14ac:dyDescent="0.2">
      <c r="B780" s="44"/>
      <c r="C780" s="10"/>
      <c r="D780" s="10"/>
      <c r="E780" s="39"/>
      <c r="F780" s="39"/>
      <c r="G780" s="39"/>
      <c r="H780" s="39"/>
      <c r="I780" s="9"/>
      <c r="J780" s="9"/>
      <c r="K780" s="39"/>
      <c r="L780" s="39"/>
      <c r="M780" s="39"/>
      <c r="N780" s="9"/>
      <c r="O780" s="39"/>
      <c r="P780" s="39"/>
      <c r="Q780" s="39"/>
      <c r="R780" s="10"/>
      <c r="X780" s="12"/>
      <c r="Y780" s="12"/>
      <c r="AA780" s="13"/>
    </row>
    <row r="781" spans="2:27" ht="12.75" x14ac:dyDescent="0.2">
      <c r="B781" s="44"/>
      <c r="C781" s="10"/>
      <c r="D781" s="10"/>
      <c r="E781" s="39"/>
      <c r="F781" s="39"/>
      <c r="G781" s="39"/>
      <c r="H781" s="39"/>
      <c r="I781" s="9"/>
      <c r="J781" s="9"/>
      <c r="K781" s="39"/>
      <c r="L781" s="39"/>
      <c r="M781" s="39"/>
      <c r="N781" s="9"/>
      <c r="O781" s="39"/>
      <c r="P781" s="39"/>
      <c r="Q781" s="39"/>
      <c r="R781" s="10"/>
      <c r="X781" s="12"/>
      <c r="Y781" s="12"/>
      <c r="AA781" s="13"/>
    </row>
    <row r="782" spans="2:27" ht="12.75" x14ac:dyDescent="0.2">
      <c r="B782" s="44"/>
      <c r="C782" s="10"/>
      <c r="D782" s="10"/>
      <c r="E782" s="39"/>
      <c r="F782" s="39"/>
      <c r="G782" s="39"/>
      <c r="H782" s="39"/>
      <c r="I782" s="9"/>
      <c r="J782" s="9"/>
      <c r="K782" s="39"/>
      <c r="L782" s="39"/>
      <c r="M782" s="39"/>
      <c r="N782" s="9"/>
      <c r="O782" s="39"/>
      <c r="P782" s="39"/>
      <c r="Q782" s="39"/>
      <c r="R782" s="10"/>
      <c r="X782" s="12"/>
      <c r="Y782" s="12"/>
      <c r="AA782" s="13"/>
    </row>
    <row r="783" spans="2:27" ht="12.75" x14ac:dyDescent="0.2">
      <c r="B783" s="44"/>
      <c r="C783" s="10"/>
      <c r="D783" s="10"/>
      <c r="E783" s="39"/>
      <c r="F783" s="39"/>
      <c r="G783" s="39"/>
      <c r="H783" s="39"/>
      <c r="I783" s="9"/>
      <c r="J783" s="9"/>
      <c r="K783" s="39"/>
      <c r="L783" s="39"/>
      <c r="M783" s="39"/>
      <c r="N783" s="9"/>
      <c r="O783" s="39"/>
      <c r="P783" s="39"/>
      <c r="Q783" s="39"/>
      <c r="R783" s="10"/>
      <c r="X783" s="12"/>
      <c r="Y783" s="12"/>
      <c r="AA783" s="13"/>
    </row>
    <row r="784" spans="2:27" ht="12.75" x14ac:dyDescent="0.2">
      <c r="B784" s="44"/>
      <c r="C784" s="10"/>
      <c r="D784" s="10"/>
      <c r="E784" s="39"/>
      <c r="F784" s="39"/>
      <c r="G784" s="39"/>
      <c r="H784" s="39"/>
      <c r="I784" s="9"/>
      <c r="J784" s="9"/>
      <c r="K784" s="39"/>
      <c r="L784" s="39"/>
      <c r="M784" s="39"/>
      <c r="N784" s="9"/>
      <c r="O784" s="39"/>
      <c r="P784" s="39"/>
      <c r="Q784" s="39"/>
      <c r="R784" s="10"/>
      <c r="X784" s="12"/>
      <c r="Y784" s="12"/>
      <c r="AA784" s="13"/>
    </row>
    <row r="785" spans="2:27" ht="12.75" x14ac:dyDescent="0.2">
      <c r="B785" s="44"/>
      <c r="C785" s="10"/>
      <c r="D785" s="10"/>
      <c r="E785" s="39"/>
      <c r="F785" s="39"/>
      <c r="G785" s="39"/>
      <c r="H785" s="39"/>
      <c r="I785" s="9"/>
      <c r="J785" s="9"/>
      <c r="K785" s="39"/>
      <c r="L785" s="39"/>
      <c r="M785" s="39"/>
      <c r="N785" s="9"/>
      <c r="O785" s="39"/>
      <c r="P785" s="39"/>
      <c r="Q785" s="39"/>
      <c r="R785" s="10"/>
      <c r="X785" s="12"/>
      <c r="Y785" s="12"/>
      <c r="AA785" s="13"/>
    </row>
    <row r="786" spans="2:27" ht="12.75" x14ac:dyDescent="0.2">
      <c r="B786" s="44"/>
      <c r="C786" s="10"/>
      <c r="D786" s="10"/>
      <c r="E786" s="39"/>
      <c r="F786" s="39"/>
      <c r="G786" s="39"/>
      <c r="H786" s="39"/>
      <c r="I786" s="9"/>
      <c r="J786" s="9"/>
      <c r="K786" s="39"/>
      <c r="L786" s="39"/>
      <c r="M786" s="39"/>
      <c r="N786" s="9"/>
      <c r="O786" s="39"/>
      <c r="P786" s="39"/>
      <c r="Q786" s="39"/>
      <c r="R786" s="10"/>
      <c r="X786" s="12"/>
      <c r="Y786" s="12"/>
      <c r="AA786" s="13"/>
    </row>
    <row r="787" spans="2:27" ht="12.75" x14ac:dyDescent="0.2">
      <c r="B787" s="44"/>
      <c r="C787" s="10"/>
      <c r="D787" s="10"/>
      <c r="E787" s="39"/>
      <c r="F787" s="39"/>
      <c r="G787" s="39"/>
      <c r="H787" s="39"/>
      <c r="I787" s="9"/>
      <c r="J787" s="9"/>
      <c r="K787" s="39"/>
      <c r="L787" s="39"/>
      <c r="M787" s="39"/>
      <c r="N787" s="9"/>
      <c r="O787" s="39"/>
      <c r="P787" s="39"/>
      <c r="Q787" s="39"/>
      <c r="R787" s="10"/>
      <c r="X787" s="12"/>
      <c r="Y787" s="12"/>
      <c r="AA787" s="13"/>
    </row>
    <row r="788" spans="2:27" ht="12.75" x14ac:dyDescent="0.2">
      <c r="B788" s="44"/>
      <c r="C788" s="10"/>
      <c r="D788" s="10"/>
      <c r="E788" s="39"/>
      <c r="F788" s="39"/>
      <c r="G788" s="39"/>
      <c r="H788" s="39"/>
      <c r="I788" s="9"/>
      <c r="J788" s="9"/>
      <c r="K788" s="39"/>
      <c r="L788" s="39"/>
      <c r="M788" s="39"/>
      <c r="N788" s="9"/>
      <c r="O788" s="39"/>
      <c r="P788" s="39"/>
      <c r="Q788" s="39"/>
      <c r="R788" s="10"/>
      <c r="X788" s="12"/>
      <c r="Y788" s="12"/>
      <c r="AA788" s="13"/>
    </row>
    <row r="789" spans="2:27" ht="12.75" x14ac:dyDescent="0.2">
      <c r="B789" s="44"/>
      <c r="C789" s="10"/>
      <c r="D789" s="10"/>
      <c r="E789" s="39"/>
      <c r="F789" s="39"/>
      <c r="G789" s="39"/>
      <c r="H789" s="39"/>
      <c r="I789" s="9"/>
      <c r="J789" s="9"/>
      <c r="K789" s="39"/>
      <c r="L789" s="39"/>
      <c r="M789" s="39"/>
      <c r="N789" s="9"/>
      <c r="O789" s="39"/>
      <c r="P789" s="39"/>
      <c r="Q789" s="39"/>
      <c r="R789" s="10"/>
      <c r="X789" s="12"/>
      <c r="Y789" s="12"/>
      <c r="AA789" s="13"/>
    </row>
    <row r="790" spans="2:27" ht="12.75" x14ac:dyDescent="0.2">
      <c r="B790" s="44"/>
      <c r="C790" s="10"/>
      <c r="D790" s="10"/>
      <c r="E790" s="39"/>
      <c r="F790" s="39"/>
      <c r="G790" s="39"/>
      <c r="H790" s="39"/>
      <c r="I790" s="9"/>
      <c r="J790" s="9"/>
      <c r="K790" s="39"/>
      <c r="L790" s="39"/>
      <c r="M790" s="39"/>
      <c r="N790" s="9"/>
      <c r="O790" s="39"/>
      <c r="P790" s="39"/>
      <c r="Q790" s="39"/>
      <c r="R790" s="10"/>
      <c r="X790" s="12"/>
      <c r="Y790" s="12"/>
      <c r="AA790" s="13"/>
    </row>
    <row r="791" spans="2:27" ht="12.75" x14ac:dyDescent="0.2">
      <c r="B791" s="44"/>
      <c r="C791" s="10"/>
      <c r="D791" s="10"/>
      <c r="E791" s="39"/>
      <c r="F791" s="39"/>
      <c r="G791" s="39"/>
      <c r="H791" s="39"/>
      <c r="I791" s="9"/>
      <c r="J791" s="9"/>
      <c r="K791" s="39"/>
      <c r="L791" s="39"/>
      <c r="M791" s="39"/>
      <c r="N791" s="9"/>
      <c r="O791" s="39"/>
      <c r="P791" s="39"/>
      <c r="Q791" s="39"/>
      <c r="R791" s="10"/>
      <c r="X791" s="12"/>
      <c r="Y791" s="12"/>
      <c r="AA791" s="13"/>
    </row>
    <row r="792" spans="2:27" ht="12.75" x14ac:dyDescent="0.2">
      <c r="B792" s="44"/>
      <c r="C792" s="10"/>
      <c r="D792" s="10"/>
      <c r="E792" s="39"/>
      <c r="F792" s="39"/>
      <c r="G792" s="39"/>
      <c r="H792" s="39"/>
      <c r="I792" s="9"/>
      <c r="J792" s="9"/>
      <c r="K792" s="39"/>
      <c r="L792" s="39"/>
      <c r="M792" s="39"/>
      <c r="N792" s="9"/>
      <c r="O792" s="39"/>
      <c r="P792" s="39"/>
      <c r="Q792" s="39"/>
      <c r="R792" s="10"/>
      <c r="X792" s="12"/>
      <c r="Y792" s="12"/>
      <c r="AA792" s="13"/>
    </row>
    <row r="793" spans="2:27" ht="12.75" x14ac:dyDescent="0.2">
      <c r="B793" s="44"/>
      <c r="C793" s="10"/>
      <c r="D793" s="10"/>
      <c r="E793" s="39"/>
      <c r="F793" s="39"/>
      <c r="G793" s="39"/>
      <c r="H793" s="39"/>
      <c r="I793" s="9"/>
      <c r="J793" s="9"/>
      <c r="K793" s="39"/>
      <c r="L793" s="39"/>
      <c r="M793" s="39"/>
      <c r="N793" s="9"/>
      <c r="O793" s="39"/>
      <c r="P793" s="39"/>
      <c r="Q793" s="39"/>
      <c r="R793" s="10"/>
      <c r="X793" s="12"/>
      <c r="Y793" s="12"/>
      <c r="AA793" s="13"/>
    </row>
    <row r="794" spans="2:27" ht="12.75" x14ac:dyDescent="0.2">
      <c r="B794" s="44"/>
      <c r="C794" s="10"/>
      <c r="D794" s="10"/>
      <c r="E794" s="39"/>
      <c r="F794" s="39"/>
      <c r="G794" s="39"/>
      <c r="H794" s="39"/>
      <c r="I794" s="9"/>
      <c r="J794" s="9"/>
      <c r="K794" s="39"/>
      <c r="L794" s="39"/>
      <c r="M794" s="39"/>
      <c r="N794" s="9"/>
      <c r="O794" s="39"/>
      <c r="P794" s="39"/>
      <c r="Q794" s="39"/>
      <c r="R794" s="10"/>
      <c r="X794" s="12"/>
      <c r="Y794" s="12"/>
      <c r="AA794" s="13"/>
    </row>
    <row r="795" spans="2:27" ht="12.75" x14ac:dyDescent="0.2">
      <c r="B795" s="44"/>
      <c r="C795" s="10"/>
      <c r="D795" s="10"/>
      <c r="E795" s="39"/>
      <c r="F795" s="39"/>
      <c r="G795" s="39"/>
      <c r="H795" s="39"/>
      <c r="I795" s="9"/>
      <c r="J795" s="9"/>
      <c r="K795" s="39"/>
      <c r="L795" s="39"/>
      <c r="M795" s="39"/>
      <c r="N795" s="9"/>
      <c r="O795" s="39"/>
      <c r="P795" s="39"/>
      <c r="Q795" s="39"/>
      <c r="R795" s="10"/>
      <c r="X795" s="12"/>
      <c r="Y795" s="12"/>
      <c r="AA795" s="13"/>
    </row>
    <row r="796" spans="2:27" ht="12.75" x14ac:dyDescent="0.2">
      <c r="B796" s="44"/>
      <c r="C796" s="10"/>
      <c r="D796" s="10"/>
      <c r="E796" s="39"/>
      <c r="F796" s="39"/>
      <c r="G796" s="39"/>
      <c r="H796" s="39"/>
      <c r="I796" s="9"/>
      <c r="J796" s="9"/>
      <c r="K796" s="39"/>
      <c r="L796" s="39"/>
      <c r="M796" s="39"/>
      <c r="N796" s="9"/>
      <c r="O796" s="39"/>
      <c r="P796" s="39"/>
      <c r="Q796" s="39"/>
      <c r="R796" s="10"/>
      <c r="X796" s="12"/>
      <c r="Y796" s="12"/>
      <c r="AA796" s="13"/>
    </row>
    <row r="797" spans="2:27" ht="12.75" x14ac:dyDescent="0.2">
      <c r="B797" s="44"/>
      <c r="C797" s="10"/>
      <c r="D797" s="10"/>
      <c r="E797" s="39"/>
      <c r="F797" s="39"/>
      <c r="G797" s="39"/>
      <c r="H797" s="39"/>
      <c r="I797" s="9"/>
      <c r="J797" s="9"/>
      <c r="K797" s="39"/>
      <c r="L797" s="39"/>
      <c r="M797" s="39"/>
      <c r="N797" s="9"/>
      <c r="O797" s="39"/>
      <c r="P797" s="39"/>
      <c r="Q797" s="39"/>
      <c r="R797" s="10"/>
      <c r="X797" s="12"/>
      <c r="Y797" s="12"/>
      <c r="AA797" s="13"/>
    </row>
    <row r="798" spans="2:27" ht="12.75" x14ac:dyDescent="0.2">
      <c r="B798" s="44"/>
      <c r="C798" s="10"/>
      <c r="D798" s="10"/>
      <c r="E798" s="39"/>
      <c r="F798" s="39"/>
      <c r="G798" s="39"/>
      <c r="H798" s="39"/>
      <c r="I798" s="9"/>
      <c r="J798" s="9"/>
      <c r="K798" s="39"/>
      <c r="L798" s="39"/>
      <c r="M798" s="39"/>
      <c r="N798" s="9"/>
      <c r="O798" s="39"/>
      <c r="P798" s="39"/>
      <c r="Q798" s="39"/>
      <c r="R798" s="10"/>
      <c r="X798" s="12"/>
      <c r="Y798" s="12"/>
      <c r="AA798" s="13"/>
    </row>
    <row r="799" spans="2:27" ht="12.75" x14ac:dyDescent="0.2">
      <c r="B799" s="44"/>
      <c r="C799" s="10"/>
      <c r="D799" s="10"/>
      <c r="E799" s="39"/>
      <c r="F799" s="39"/>
      <c r="G799" s="39"/>
      <c r="H799" s="39"/>
      <c r="I799" s="9"/>
      <c r="J799" s="9"/>
      <c r="K799" s="39"/>
      <c r="L799" s="39"/>
      <c r="M799" s="39"/>
      <c r="N799" s="9"/>
      <c r="O799" s="39"/>
      <c r="P799" s="39"/>
      <c r="Q799" s="39"/>
      <c r="R799" s="10"/>
      <c r="X799" s="12"/>
      <c r="Y799" s="12"/>
      <c r="AA799" s="13"/>
    </row>
    <row r="800" spans="2:27" ht="12.75" x14ac:dyDescent="0.2">
      <c r="B800" s="44"/>
      <c r="C800" s="10"/>
      <c r="D800" s="10"/>
      <c r="E800" s="39"/>
      <c r="F800" s="39"/>
      <c r="G800" s="39"/>
      <c r="H800" s="39"/>
      <c r="I800" s="9"/>
      <c r="J800" s="9"/>
      <c r="K800" s="39"/>
      <c r="L800" s="39"/>
      <c r="M800" s="39"/>
      <c r="N800" s="9"/>
      <c r="O800" s="39"/>
      <c r="P800" s="39"/>
      <c r="Q800" s="39"/>
      <c r="R800" s="10"/>
      <c r="X800" s="12"/>
      <c r="Y800" s="12"/>
      <c r="AA800" s="13"/>
    </row>
    <row r="801" spans="2:27" ht="12.75" x14ac:dyDescent="0.2">
      <c r="B801" s="44"/>
      <c r="C801" s="10"/>
      <c r="D801" s="10"/>
      <c r="E801" s="39"/>
      <c r="F801" s="39"/>
      <c r="G801" s="39"/>
      <c r="H801" s="39"/>
      <c r="I801" s="9"/>
      <c r="J801" s="9"/>
      <c r="K801" s="39"/>
      <c r="L801" s="39"/>
      <c r="M801" s="39"/>
      <c r="N801" s="9"/>
      <c r="O801" s="39"/>
      <c r="P801" s="39"/>
      <c r="Q801" s="39"/>
      <c r="R801" s="10"/>
      <c r="X801" s="12"/>
      <c r="Y801" s="12"/>
      <c r="AA801" s="13"/>
    </row>
    <row r="802" spans="2:27" ht="12.75" x14ac:dyDescent="0.2">
      <c r="B802" s="44"/>
      <c r="C802" s="10"/>
      <c r="D802" s="10"/>
      <c r="E802" s="39"/>
      <c r="F802" s="39"/>
      <c r="G802" s="39"/>
      <c r="H802" s="39"/>
      <c r="I802" s="9"/>
      <c r="J802" s="9"/>
      <c r="K802" s="39"/>
      <c r="L802" s="39"/>
      <c r="M802" s="39"/>
      <c r="N802" s="9"/>
      <c r="O802" s="39"/>
      <c r="P802" s="39"/>
      <c r="Q802" s="39"/>
      <c r="R802" s="10"/>
      <c r="X802" s="12"/>
      <c r="Y802" s="12"/>
      <c r="AA802" s="13"/>
    </row>
    <row r="803" spans="2:27" ht="12.75" x14ac:dyDescent="0.2">
      <c r="B803" s="44"/>
      <c r="C803" s="10"/>
      <c r="D803" s="10"/>
      <c r="E803" s="39"/>
      <c r="F803" s="39"/>
      <c r="G803" s="39"/>
      <c r="H803" s="39"/>
      <c r="I803" s="9"/>
      <c r="J803" s="9"/>
      <c r="K803" s="39"/>
      <c r="L803" s="39"/>
      <c r="M803" s="39"/>
      <c r="N803" s="9"/>
      <c r="O803" s="39"/>
      <c r="P803" s="39"/>
      <c r="Q803" s="39"/>
      <c r="R803" s="10"/>
      <c r="X803" s="12"/>
      <c r="Y803" s="12"/>
      <c r="AA803" s="13"/>
    </row>
    <row r="804" spans="2:27" ht="12.75" x14ac:dyDescent="0.2">
      <c r="B804" s="44"/>
      <c r="C804" s="10"/>
      <c r="D804" s="10"/>
      <c r="E804" s="39"/>
      <c r="F804" s="39"/>
      <c r="G804" s="39"/>
      <c r="H804" s="39"/>
      <c r="I804" s="9"/>
      <c r="J804" s="9"/>
      <c r="K804" s="39"/>
      <c r="L804" s="39"/>
      <c r="M804" s="39"/>
      <c r="N804" s="9"/>
      <c r="O804" s="39"/>
      <c r="P804" s="39"/>
      <c r="Q804" s="39"/>
      <c r="R804" s="10"/>
      <c r="X804" s="12"/>
      <c r="Y804" s="12"/>
      <c r="AA804" s="13"/>
    </row>
    <row r="805" spans="2:27" ht="12.75" x14ac:dyDescent="0.2">
      <c r="B805" s="44"/>
      <c r="C805" s="10"/>
      <c r="D805" s="10"/>
      <c r="E805" s="39"/>
      <c r="F805" s="39"/>
      <c r="G805" s="39"/>
      <c r="H805" s="39"/>
      <c r="I805" s="9"/>
      <c r="J805" s="9"/>
      <c r="K805" s="39"/>
      <c r="L805" s="39"/>
      <c r="M805" s="39"/>
      <c r="N805" s="9"/>
      <c r="O805" s="39"/>
      <c r="P805" s="39"/>
      <c r="Q805" s="39"/>
      <c r="R805" s="10"/>
      <c r="X805" s="12"/>
      <c r="Y805" s="12"/>
      <c r="AA805" s="13"/>
    </row>
    <row r="806" spans="2:27" ht="12.75" x14ac:dyDescent="0.2">
      <c r="B806" s="44"/>
      <c r="C806" s="10"/>
      <c r="D806" s="10"/>
      <c r="E806" s="39"/>
      <c r="F806" s="39"/>
      <c r="G806" s="39"/>
      <c r="H806" s="39"/>
      <c r="I806" s="9"/>
      <c r="J806" s="9"/>
      <c r="K806" s="39"/>
      <c r="L806" s="39"/>
      <c r="M806" s="39"/>
      <c r="N806" s="9"/>
      <c r="O806" s="39"/>
      <c r="P806" s="39"/>
      <c r="Q806" s="39"/>
      <c r="R806" s="10"/>
      <c r="X806" s="12"/>
      <c r="Y806" s="12"/>
      <c r="AA806" s="13"/>
    </row>
    <row r="807" spans="2:27" ht="12.75" x14ac:dyDescent="0.2">
      <c r="B807" s="44"/>
      <c r="C807" s="10"/>
      <c r="D807" s="10"/>
      <c r="E807" s="39"/>
      <c r="F807" s="39"/>
      <c r="G807" s="39"/>
      <c r="H807" s="39"/>
      <c r="I807" s="9"/>
      <c r="J807" s="9"/>
      <c r="K807" s="39"/>
      <c r="L807" s="39"/>
      <c r="M807" s="39"/>
      <c r="N807" s="9"/>
      <c r="O807" s="39"/>
      <c r="P807" s="39"/>
      <c r="Q807" s="39"/>
      <c r="R807" s="10"/>
      <c r="X807" s="12"/>
      <c r="Y807" s="12"/>
      <c r="AA807" s="13"/>
    </row>
    <row r="808" spans="2:27" ht="12.75" x14ac:dyDescent="0.2">
      <c r="B808" s="44"/>
      <c r="C808" s="10"/>
      <c r="D808" s="10"/>
      <c r="E808" s="39"/>
      <c r="F808" s="39"/>
      <c r="G808" s="39"/>
      <c r="H808" s="39"/>
      <c r="I808" s="9"/>
      <c r="J808" s="9"/>
      <c r="K808" s="39"/>
      <c r="L808" s="39"/>
      <c r="M808" s="39"/>
      <c r="N808" s="9"/>
      <c r="O808" s="39"/>
      <c r="P808" s="39"/>
      <c r="Q808" s="39"/>
      <c r="R808" s="10"/>
      <c r="X808" s="12"/>
      <c r="Y808" s="12"/>
      <c r="AA808" s="13"/>
    </row>
    <row r="809" spans="2:27" ht="12.75" x14ac:dyDescent="0.2">
      <c r="B809" s="44"/>
      <c r="C809" s="10"/>
      <c r="D809" s="10"/>
      <c r="E809" s="39"/>
      <c r="F809" s="39"/>
      <c r="G809" s="39"/>
      <c r="H809" s="39"/>
      <c r="I809" s="9"/>
      <c r="J809" s="9"/>
      <c r="K809" s="39"/>
      <c r="L809" s="39"/>
      <c r="M809" s="39"/>
      <c r="N809" s="9"/>
      <c r="O809" s="39"/>
      <c r="P809" s="39"/>
      <c r="Q809" s="39"/>
      <c r="R809" s="10"/>
      <c r="X809" s="12"/>
      <c r="Y809" s="12"/>
      <c r="AA809" s="13"/>
    </row>
    <row r="810" spans="2:27" ht="12.75" x14ac:dyDescent="0.2">
      <c r="B810" s="44"/>
      <c r="C810" s="10"/>
      <c r="D810" s="10"/>
      <c r="E810" s="39"/>
      <c r="F810" s="39"/>
      <c r="G810" s="39"/>
      <c r="H810" s="39"/>
      <c r="I810" s="9"/>
      <c r="J810" s="9"/>
      <c r="K810" s="39"/>
      <c r="L810" s="39"/>
      <c r="M810" s="39"/>
      <c r="N810" s="9"/>
      <c r="O810" s="39"/>
      <c r="P810" s="39"/>
      <c r="Q810" s="39"/>
      <c r="R810" s="10"/>
      <c r="X810" s="12"/>
      <c r="Y810" s="12"/>
      <c r="AA810" s="13"/>
    </row>
    <row r="811" spans="2:27" ht="12.75" x14ac:dyDescent="0.2">
      <c r="B811" s="44"/>
      <c r="C811" s="10"/>
      <c r="D811" s="10"/>
      <c r="E811" s="39"/>
      <c r="F811" s="39"/>
      <c r="G811" s="39"/>
      <c r="H811" s="39"/>
      <c r="I811" s="9"/>
      <c r="J811" s="9"/>
      <c r="K811" s="39"/>
      <c r="L811" s="39"/>
      <c r="M811" s="39"/>
      <c r="N811" s="9"/>
      <c r="O811" s="39"/>
      <c r="P811" s="39"/>
      <c r="Q811" s="39"/>
      <c r="R811" s="10"/>
      <c r="X811" s="12"/>
      <c r="Y811" s="12"/>
      <c r="AA811" s="13"/>
    </row>
    <row r="812" spans="2:27" ht="12.75" x14ac:dyDescent="0.2">
      <c r="B812" s="44"/>
      <c r="C812" s="10"/>
      <c r="D812" s="10"/>
      <c r="E812" s="39"/>
      <c r="F812" s="39"/>
      <c r="G812" s="39"/>
      <c r="H812" s="39"/>
      <c r="I812" s="9"/>
      <c r="J812" s="9"/>
      <c r="K812" s="39"/>
      <c r="L812" s="39"/>
      <c r="M812" s="39"/>
      <c r="N812" s="9"/>
      <c r="O812" s="39"/>
      <c r="P812" s="39"/>
      <c r="Q812" s="39"/>
      <c r="R812" s="10"/>
      <c r="X812" s="12"/>
      <c r="Y812" s="12"/>
      <c r="AA812" s="13"/>
    </row>
    <row r="813" spans="2:27" ht="12.75" x14ac:dyDescent="0.2">
      <c r="B813" s="44"/>
      <c r="C813" s="10"/>
      <c r="D813" s="10"/>
      <c r="E813" s="39"/>
      <c r="F813" s="39"/>
      <c r="G813" s="39"/>
      <c r="H813" s="39"/>
      <c r="I813" s="9"/>
      <c r="J813" s="9"/>
      <c r="K813" s="39"/>
      <c r="L813" s="39"/>
      <c r="M813" s="39"/>
      <c r="N813" s="9"/>
      <c r="O813" s="39"/>
      <c r="P813" s="39"/>
      <c r="Q813" s="39"/>
      <c r="R813" s="10"/>
      <c r="X813" s="12"/>
      <c r="Y813" s="12"/>
      <c r="AA813" s="13"/>
    </row>
    <row r="814" spans="2:27" ht="12.75" x14ac:dyDescent="0.2">
      <c r="B814" s="44"/>
      <c r="C814" s="10"/>
      <c r="D814" s="10"/>
      <c r="E814" s="39"/>
      <c r="F814" s="39"/>
      <c r="G814" s="39"/>
      <c r="H814" s="39"/>
      <c r="I814" s="9"/>
      <c r="J814" s="9"/>
      <c r="K814" s="39"/>
      <c r="L814" s="39"/>
      <c r="M814" s="39"/>
      <c r="N814" s="9"/>
      <c r="O814" s="39"/>
      <c r="P814" s="39"/>
      <c r="Q814" s="39"/>
      <c r="R814" s="10"/>
      <c r="X814" s="12"/>
      <c r="Y814" s="12"/>
      <c r="AA814" s="13"/>
    </row>
    <row r="815" spans="2:27" ht="12.75" x14ac:dyDescent="0.2">
      <c r="B815" s="44"/>
      <c r="C815" s="10"/>
      <c r="D815" s="10"/>
      <c r="E815" s="39"/>
      <c r="F815" s="39"/>
      <c r="G815" s="39"/>
      <c r="H815" s="39"/>
      <c r="I815" s="9"/>
      <c r="J815" s="9"/>
      <c r="K815" s="39"/>
      <c r="L815" s="39"/>
      <c r="M815" s="39"/>
      <c r="N815" s="9"/>
      <c r="O815" s="39"/>
      <c r="P815" s="39"/>
      <c r="Q815" s="39"/>
      <c r="R815" s="10"/>
      <c r="X815" s="12"/>
      <c r="Y815" s="12"/>
      <c r="AA815" s="13"/>
    </row>
    <row r="816" spans="2:27" ht="12.75" x14ac:dyDescent="0.2">
      <c r="B816" s="44"/>
      <c r="C816" s="10"/>
      <c r="D816" s="10"/>
      <c r="E816" s="39"/>
      <c r="F816" s="39"/>
      <c r="G816" s="39"/>
      <c r="H816" s="39"/>
      <c r="I816" s="9"/>
      <c r="J816" s="9"/>
      <c r="K816" s="39"/>
      <c r="L816" s="39"/>
      <c r="M816" s="39"/>
      <c r="N816" s="9"/>
      <c r="O816" s="39"/>
      <c r="P816" s="39"/>
      <c r="Q816" s="39"/>
      <c r="R816" s="10"/>
      <c r="X816" s="12"/>
      <c r="Y816" s="12"/>
      <c r="AA816" s="13"/>
    </row>
    <row r="817" spans="2:27" ht="12.75" x14ac:dyDescent="0.2">
      <c r="B817" s="44"/>
      <c r="C817" s="10"/>
      <c r="D817" s="10"/>
      <c r="E817" s="39"/>
      <c r="F817" s="39"/>
      <c r="G817" s="39"/>
      <c r="H817" s="39"/>
      <c r="I817" s="9"/>
      <c r="J817" s="9"/>
      <c r="K817" s="39"/>
      <c r="L817" s="39"/>
      <c r="M817" s="39"/>
      <c r="N817" s="9"/>
      <c r="O817" s="39"/>
      <c r="P817" s="39"/>
      <c r="Q817" s="39"/>
      <c r="R817" s="10"/>
      <c r="X817" s="12"/>
      <c r="Y817" s="12"/>
      <c r="AA817" s="13"/>
    </row>
    <row r="818" spans="2:27" ht="12.75" x14ac:dyDescent="0.2">
      <c r="B818" s="44"/>
      <c r="C818" s="10"/>
      <c r="D818" s="10"/>
      <c r="E818" s="39"/>
      <c r="F818" s="39"/>
      <c r="G818" s="39"/>
      <c r="H818" s="39"/>
      <c r="I818" s="9"/>
      <c r="J818" s="9"/>
      <c r="K818" s="39"/>
      <c r="L818" s="39"/>
      <c r="M818" s="39"/>
      <c r="N818" s="9"/>
      <c r="O818" s="39"/>
      <c r="P818" s="39"/>
      <c r="Q818" s="39"/>
      <c r="R818" s="10"/>
      <c r="X818" s="12"/>
      <c r="Y818" s="12"/>
      <c r="AA818" s="13"/>
    </row>
    <row r="819" spans="2:27" ht="12.75" x14ac:dyDescent="0.2">
      <c r="B819" s="44"/>
      <c r="C819" s="10"/>
      <c r="D819" s="10"/>
      <c r="E819" s="39"/>
      <c r="F819" s="39"/>
      <c r="G819" s="39"/>
      <c r="H819" s="39"/>
      <c r="I819" s="9"/>
      <c r="J819" s="9"/>
      <c r="K819" s="39"/>
      <c r="L819" s="39"/>
      <c r="M819" s="39"/>
      <c r="N819" s="9"/>
      <c r="O819" s="39"/>
      <c r="P819" s="39"/>
      <c r="Q819" s="39"/>
      <c r="R819" s="10"/>
      <c r="X819" s="12"/>
      <c r="Y819" s="12"/>
      <c r="AA819" s="13"/>
    </row>
    <row r="820" spans="2:27" ht="12.75" x14ac:dyDescent="0.2">
      <c r="B820" s="44"/>
      <c r="C820" s="10"/>
      <c r="D820" s="10"/>
      <c r="E820" s="39"/>
      <c r="F820" s="39"/>
      <c r="G820" s="39"/>
      <c r="H820" s="39"/>
      <c r="I820" s="9"/>
      <c r="J820" s="9"/>
      <c r="K820" s="39"/>
      <c r="L820" s="39"/>
      <c r="M820" s="39"/>
      <c r="N820" s="9"/>
      <c r="O820" s="39"/>
      <c r="P820" s="39"/>
      <c r="Q820" s="39"/>
      <c r="R820" s="10"/>
      <c r="X820" s="12"/>
      <c r="Y820" s="12"/>
      <c r="AA820" s="13"/>
    </row>
    <row r="821" spans="2:27" ht="12.75" x14ac:dyDescent="0.2">
      <c r="B821" s="44"/>
      <c r="C821" s="10"/>
      <c r="D821" s="10"/>
      <c r="E821" s="39"/>
      <c r="F821" s="39"/>
      <c r="G821" s="39"/>
      <c r="H821" s="39"/>
      <c r="I821" s="9"/>
      <c r="J821" s="9"/>
      <c r="K821" s="39"/>
      <c r="L821" s="39"/>
      <c r="M821" s="39"/>
      <c r="N821" s="9"/>
      <c r="O821" s="39"/>
      <c r="P821" s="39"/>
      <c r="Q821" s="39"/>
      <c r="R821" s="10"/>
      <c r="X821" s="12"/>
      <c r="Y821" s="12"/>
      <c r="AA821" s="13"/>
    </row>
    <row r="822" spans="2:27" ht="12.75" x14ac:dyDescent="0.2">
      <c r="B822" s="44"/>
      <c r="C822" s="10"/>
      <c r="D822" s="10"/>
      <c r="E822" s="39"/>
      <c r="F822" s="39"/>
      <c r="G822" s="39"/>
      <c r="H822" s="39"/>
      <c r="I822" s="9"/>
      <c r="J822" s="9"/>
      <c r="K822" s="39"/>
      <c r="L822" s="39"/>
      <c r="M822" s="39"/>
      <c r="N822" s="9"/>
      <c r="O822" s="39"/>
      <c r="P822" s="39"/>
      <c r="Q822" s="39"/>
      <c r="R822" s="10"/>
      <c r="X822" s="12"/>
      <c r="Y822" s="12"/>
      <c r="AA822" s="13"/>
    </row>
    <row r="823" spans="2:27" ht="12.75" x14ac:dyDescent="0.2">
      <c r="B823" s="44"/>
      <c r="C823" s="10"/>
      <c r="D823" s="10"/>
      <c r="E823" s="39"/>
      <c r="F823" s="39"/>
      <c r="G823" s="39"/>
      <c r="H823" s="39"/>
      <c r="I823" s="9"/>
      <c r="J823" s="9"/>
      <c r="K823" s="39"/>
      <c r="L823" s="39"/>
      <c r="M823" s="39"/>
      <c r="N823" s="9"/>
      <c r="O823" s="39"/>
      <c r="P823" s="39"/>
      <c r="Q823" s="39"/>
      <c r="R823" s="10"/>
      <c r="X823" s="12"/>
      <c r="Y823" s="12"/>
      <c r="AA823" s="13"/>
    </row>
    <row r="824" spans="2:27" ht="12.75" x14ac:dyDescent="0.2">
      <c r="B824" s="44"/>
      <c r="C824" s="10"/>
      <c r="D824" s="10"/>
      <c r="E824" s="39"/>
      <c r="F824" s="39"/>
      <c r="G824" s="39"/>
      <c r="H824" s="39"/>
      <c r="I824" s="9"/>
      <c r="J824" s="9"/>
      <c r="K824" s="39"/>
      <c r="L824" s="39"/>
      <c r="M824" s="39"/>
      <c r="N824" s="9"/>
      <c r="O824" s="39"/>
      <c r="P824" s="39"/>
      <c r="Q824" s="39"/>
      <c r="R824" s="10"/>
      <c r="X824" s="12"/>
      <c r="Y824" s="12"/>
      <c r="AA824" s="13"/>
    </row>
    <row r="825" spans="2:27" ht="12.75" x14ac:dyDescent="0.2">
      <c r="B825" s="44"/>
      <c r="C825" s="10"/>
      <c r="D825" s="10"/>
      <c r="E825" s="39"/>
      <c r="F825" s="39"/>
      <c r="G825" s="39"/>
      <c r="H825" s="39"/>
      <c r="I825" s="9"/>
      <c r="J825" s="9"/>
      <c r="K825" s="39"/>
      <c r="L825" s="39"/>
      <c r="M825" s="39"/>
      <c r="N825" s="9"/>
      <c r="O825" s="39"/>
      <c r="P825" s="39"/>
      <c r="Q825" s="39"/>
      <c r="R825" s="10"/>
      <c r="X825" s="12"/>
      <c r="Y825" s="12"/>
      <c r="AA825" s="13"/>
    </row>
    <row r="826" spans="2:27" ht="12.75" x14ac:dyDescent="0.2">
      <c r="B826" s="44"/>
      <c r="C826" s="10"/>
      <c r="D826" s="10"/>
      <c r="E826" s="39"/>
      <c r="F826" s="39"/>
      <c r="G826" s="39"/>
      <c r="H826" s="39"/>
      <c r="I826" s="9"/>
      <c r="J826" s="9"/>
      <c r="K826" s="39"/>
      <c r="L826" s="39"/>
      <c r="M826" s="39"/>
      <c r="N826" s="9"/>
      <c r="O826" s="39"/>
      <c r="P826" s="39"/>
      <c r="Q826" s="39"/>
      <c r="R826" s="10"/>
      <c r="X826" s="12"/>
      <c r="Y826" s="12"/>
      <c r="AA826" s="13"/>
    </row>
    <row r="827" spans="2:27" ht="12.75" x14ac:dyDescent="0.2">
      <c r="B827" s="44"/>
      <c r="C827" s="10"/>
      <c r="D827" s="10"/>
      <c r="E827" s="39"/>
      <c r="F827" s="39"/>
      <c r="G827" s="39"/>
      <c r="H827" s="39"/>
      <c r="I827" s="9"/>
      <c r="J827" s="9"/>
      <c r="K827" s="39"/>
      <c r="L827" s="39"/>
      <c r="M827" s="39"/>
      <c r="N827" s="9"/>
      <c r="O827" s="39"/>
      <c r="P827" s="39"/>
      <c r="Q827" s="39"/>
      <c r="R827" s="10"/>
      <c r="X827" s="12"/>
      <c r="Y827" s="12"/>
      <c r="AA827" s="13"/>
    </row>
    <row r="828" spans="2:27" ht="12.75" x14ac:dyDescent="0.2">
      <c r="B828" s="44"/>
      <c r="C828" s="10"/>
      <c r="D828" s="10"/>
      <c r="E828" s="39"/>
      <c r="F828" s="39"/>
      <c r="G828" s="39"/>
      <c r="H828" s="39"/>
      <c r="I828" s="9"/>
      <c r="J828" s="9"/>
      <c r="K828" s="39"/>
      <c r="L828" s="39"/>
      <c r="M828" s="39"/>
      <c r="N828" s="9"/>
      <c r="O828" s="39"/>
      <c r="P828" s="39"/>
      <c r="Q828" s="39"/>
      <c r="R828" s="10"/>
      <c r="X828" s="12"/>
      <c r="Y828" s="12"/>
      <c r="AA828" s="13"/>
    </row>
    <row r="829" spans="2:27" ht="12.75" x14ac:dyDescent="0.2">
      <c r="B829" s="44"/>
      <c r="C829" s="10"/>
      <c r="D829" s="10"/>
      <c r="E829" s="39"/>
      <c r="F829" s="39"/>
      <c r="G829" s="39"/>
      <c r="H829" s="39"/>
      <c r="I829" s="9"/>
      <c r="J829" s="9"/>
      <c r="K829" s="39"/>
      <c r="L829" s="39"/>
      <c r="M829" s="39"/>
      <c r="N829" s="9"/>
      <c r="O829" s="39"/>
      <c r="P829" s="39"/>
      <c r="Q829" s="39"/>
      <c r="R829" s="10"/>
      <c r="X829" s="12"/>
      <c r="Y829" s="12"/>
      <c r="AA829" s="13"/>
    </row>
    <row r="830" spans="2:27" ht="12.75" x14ac:dyDescent="0.2">
      <c r="B830" s="44"/>
      <c r="C830" s="10"/>
      <c r="D830" s="10"/>
      <c r="E830" s="39"/>
      <c r="F830" s="39"/>
      <c r="G830" s="39"/>
      <c r="H830" s="39"/>
      <c r="I830" s="9"/>
      <c r="J830" s="9"/>
      <c r="K830" s="39"/>
      <c r="L830" s="39"/>
      <c r="M830" s="39"/>
      <c r="N830" s="9"/>
      <c r="O830" s="39"/>
      <c r="P830" s="39"/>
      <c r="Q830" s="39"/>
      <c r="R830" s="10"/>
      <c r="X830" s="12"/>
      <c r="Y830" s="12"/>
      <c r="AA830" s="13"/>
    </row>
    <row r="831" spans="2:27" ht="12.75" x14ac:dyDescent="0.2">
      <c r="B831" s="44"/>
      <c r="C831" s="10"/>
      <c r="D831" s="10"/>
      <c r="E831" s="39"/>
      <c r="F831" s="39"/>
      <c r="G831" s="39"/>
      <c r="H831" s="39"/>
      <c r="I831" s="9"/>
      <c r="J831" s="9"/>
      <c r="K831" s="39"/>
      <c r="L831" s="39"/>
      <c r="M831" s="39"/>
      <c r="N831" s="9"/>
      <c r="O831" s="39"/>
      <c r="P831" s="39"/>
      <c r="Q831" s="39"/>
      <c r="R831" s="10"/>
      <c r="X831" s="12"/>
      <c r="Y831" s="12"/>
      <c r="AA831" s="13"/>
    </row>
    <row r="832" spans="2:27" ht="12.75" x14ac:dyDescent="0.2">
      <c r="B832" s="44"/>
      <c r="C832" s="10"/>
      <c r="D832" s="10"/>
      <c r="E832" s="39"/>
      <c r="F832" s="39"/>
      <c r="G832" s="39"/>
      <c r="H832" s="39"/>
      <c r="I832" s="9"/>
      <c r="J832" s="9"/>
      <c r="K832" s="39"/>
      <c r="L832" s="39"/>
      <c r="M832" s="39"/>
      <c r="N832" s="9"/>
      <c r="O832" s="39"/>
      <c r="P832" s="39"/>
      <c r="Q832" s="39"/>
      <c r="R832" s="10"/>
      <c r="X832" s="12"/>
      <c r="Y832" s="12"/>
      <c r="AA832" s="13"/>
    </row>
    <row r="833" spans="2:27" ht="12.75" x14ac:dyDescent="0.2">
      <c r="B833" s="44"/>
      <c r="C833" s="10"/>
      <c r="D833" s="10"/>
      <c r="E833" s="39"/>
      <c r="F833" s="39"/>
      <c r="G833" s="39"/>
      <c r="H833" s="39"/>
      <c r="I833" s="9"/>
      <c r="J833" s="9"/>
      <c r="K833" s="39"/>
      <c r="L833" s="39"/>
      <c r="M833" s="39"/>
      <c r="N833" s="9"/>
      <c r="O833" s="39"/>
      <c r="P833" s="39"/>
      <c r="Q833" s="39"/>
      <c r="R833" s="10"/>
      <c r="X833" s="12"/>
      <c r="Y833" s="12"/>
      <c r="AA833" s="13"/>
    </row>
    <row r="834" spans="2:27" ht="12.75" x14ac:dyDescent="0.2">
      <c r="B834" s="44"/>
      <c r="C834" s="10"/>
      <c r="D834" s="10"/>
      <c r="E834" s="39"/>
      <c r="F834" s="39"/>
      <c r="G834" s="39"/>
      <c r="H834" s="39"/>
      <c r="I834" s="9"/>
      <c r="J834" s="9"/>
      <c r="K834" s="39"/>
      <c r="L834" s="39"/>
      <c r="M834" s="39"/>
      <c r="N834" s="9"/>
      <c r="O834" s="39"/>
      <c r="P834" s="39"/>
      <c r="Q834" s="39"/>
      <c r="R834" s="10"/>
      <c r="X834" s="12"/>
      <c r="Y834" s="12"/>
      <c r="AA834" s="13"/>
    </row>
    <row r="835" spans="2:27" ht="12.75" x14ac:dyDescent="0.2">
      <c r="B835" s="44"/>
      <c r="C835" s="10"/>
      <c r="D835" s="10"/>
      <c r="E835" s="39"/>
      <c r="F835" s="39"/>
      <c r="G835" s="39"/>
      <c r="H835" s="39"/>
      <c r="I835" s="9"/>
      <c r="J835" s="9"/>
      <c r="K835" s="39"/>
      <c r="L835" s="39"/>
      <c r="M835" s="39"/>
      <c r="N835" s="9"/>
      <c r="O835" s="39"/>
      <c r="P835" s="39"/>
      <c r="Q835" s="39"/>
      <c r="R835" s="10"/>
      <c r="X835" s="12"/>
      <c r="Y835" s="12"/>
      <c r="AA835" s="13"/>
    </row>
    <row r="836" spans="2:27" ht="12.75" x14ac:dyDescent="0.2">
      <c r="B836" s="44"/>
      <c r="C836" s="10"/>
      <c r="D836" s="10"/>
      <c r="E836" s="39"/>
      <c r="F836" s="39"/>
      <c r="G836" s="39"/>
      <c r="H836" s="39"/>
      <c r="I836" s="9"/>
      <c r="J836" s="9"/>
      <c r="K836" s="39"/>
      <c r="L836" s="39"/>
      <c r="M836" s="39"/>
      <c r="N836" s="9"/>
      <c r="O836" s="39"/>
      <c r="P836" s="39"/>
      <c r="Q836" s="39"/>
      <c r="R836" s="10"/>
      <c r="X836" s="12"/>
      <c r="Y836" s="12"/>
      <c r="AA836" s="13"/>
    </row>
    <row r="837" spans="2:27" ht="12.75" x14ac:dyDescent="0.2">
      <c r="B837" s="44"/>
      <c r="C837" s="10"/>
      <c r="D837" s="10"/>
      <c r="E837" s="39"/>
      <c r="F837" s="39"/>
      <c r="G837" s="39"/>
      <c r="H837" s="39"/>
      <c r="I837" s="9"/>
      <c r="J837" s="9"/>
      <c r="K837" s="39"/>
      <c r="L837" s="39"/>
      <c r="M837" s="39"/>
      <c r="N837" s="9"/>
      <c r="O837" s="39"/>
      <c r="P837" s="39"/>
      <c r="Q837" s="39"/>
      <c r="R837" s="10"/>
      <c r="X837" s="12"/>
      <c r="Y837" s="12"/>
      <c r="AA837" s="13"/>
    </row>
    <row r="838" spans="2:27" ht="12.75" x14ac:dyDescent="0.2">
      <c r="B838" s="44"/>
      <c r="C838" s="10"/>
      <c r="D838" s="10"/>
      <c r="E838" s="39"/>
      <c r="F838" s="39"/>
      <c r="G838" s="39"/>
      <c r="H838" s="39"/>
      <c r="I838" s="9"/>
      <c r="J838" s="9"/>
      <c r="K838" s="39"/>
      <c r="L838" s="39"/>
      <c r="M838" s="39"/>
      <c r="N838" s="9"/>
      <c r="O838" s="39"/>
      <c r="P838" s="39"/>
      <c r="Q838" s="39"/>
      <c r="R838" s="10"/>
      <c r="X838" s="12"/>
      <c r="Y838" s="12"/>
      <c r="AA838" s="13"/>
    </row>
    <row r="839" spans="2:27" ht="12.75" x14ac:dyDescent="0.2">
      <c r="B839" s="44"/>
      <c r="C839" s="10"/>
      <c r="D839" s="10"/>
      <c r="E839" s="39"/>
      <c r="F839" s="39"/>
      <c r="G839" s="39"/>
      <c r="H839" s="39"/>
      <c r="I839" s="9"/>
      <c r="J839" s="9"/>
      <c r="K839" s="39"/>
      <c r="L839" s="39"/>
      <c r="M839" s="39"/>
      <c r="N839" s="9"/>
      <c r="O839" s="39"/>
      <c r="P839" s="39"/>
      <c r="Q839" s="39"/>
      <c r="R839" s="10"/>
      <c r="X839" s="12"/>
      <c r="Y839" s="12"/>
      <c r="AA839" s="13"/>
    </row>
    <row r="840" spans="2:27" ht="12.75" x14ac:dyDescent="0.2">
      <c r="B840" s="44"/>
      <c r="C840" s="10"/>
      <c r="D840" s="10"/>
      <c r="E840" s="39"/>
      <c r="F840" s="39"/>
      <c r="G840" s="39"/>
      <c r="H840" s="39"/>
      <c r="I840" s="9"/>
      <c r="J840" s="9"/>
      <c r="K840" s="39"/>
      <c r="L840" s="39"/>
      <c r="M840" s="39"/>
      <c r="N840" s="9"/>
      <c r="O840" s="39"/>
      <c r="P840" s="39"/>
      <c r="Q840" s="39"/>
      <c r="R840" s="10"/>
      <c r="X840" s="12"/>
      <c r="Y840" s="12"/>
      <c r="AA840" s="13"/>
    </row>
    <row r="841" spans="2:27" ht="12.75" x14ac:dyDescent="0.2">
      <c r="B841" s="44"/>
      <c r="C841" s="10"/>
      <c r="D841" s="10"/>
      <c r="E841" s="39"/>
      <c r="F841" s="39"/>
      <c r="G841" s="39"/>
      <c r="H841" s="39"/>
      <c r="I841" s="9"/>
      <c r="J841" s="9"/>
      <c r="K841" s="39"/>
      <c r="L841" s="39"/>
      <c r="M841" s="39"/>
      <c r="N841" s="9"/>
      <c r="O841" s="39"/>
      <c r="P841" s="39"/>
      <c r="Q841" s="39"/>
      <c r="R841" s="10"/>
      <c r="X841" s="12"/>
      <c r="Y841" s="12"/>
      <c r="AA841" s="13"/>
    </row>
    <row r="842" spans="2:27" ht="12.75" x14ac:dyDescent="0.2">
      <c r="B842" s="44"/>
      <c r="C842" s="10"/>
      <c r="D842" s="10"/>
      <c r="E842" s="39"/>
      <c r="F842" s="39"/>
      <c r="G842" s="39"/>
      <c r="H842" s="39"/>
      <c r="I842" s="9"/>
      <c r="J842" s="9"/>
      <c r="K842" s="39"/>
      <c r="L842" s="39"/>
      <c r="M842" s="39"/>
      <c r="N842" s="9"/>
      <c r="O842" s="39"/>
      <c r="P842" s="39"/>
      <c r="Q842" s="39"/>
      <c r="R842" s="10"/>
      <c r="X842" s="12"/>
      <c r="Y842" s="12"/>
      <c r="AA842" s="13"/>
    </row>
    <row r="843" spans="2:27" ht="12.75" x14ac:dyDescent="0.2">
      <c r="B843" s="44"/>
      <c r="C843" s="10"/>
      <c r="D843" s="10"/>
      <c r="E843" s="39"/>
      <c r="F843" s="39"/>
      <c r="G843" s="39"/>
      <c r="H843" s="39"/>
      <c r="I843" s="9"/>
      <c r="J843" s="9"/>
      <c r="K843" s="39"/>
      <c r="L843" s="39"/>
      <c r="M843" s="39"/>
      <c r="N843" s="9"/>
      <c r="O843" s="39"/>
      <c r="P843" s="39"/>
      <c r="Q843" s="39"/>
      <c r="R843" s="10"/>
      <c r="X843" s="12"/>
      <c r="Y843" s="12"/>
      <c r="AA843" s="13"/>
    </row>
    <row r="844" spans="2:27" ht="12.75" x14ac:dyDescent="0.2">
      <c r="B844" s="44"/>
      <c r="C844" s="10"/>
      <c r="D844" s="10"/>
      <c r="E844" s="39"/>
      <c r="F844" s="39"/>
      <c r="G844" s="39"/>
      <c r="H844" s="39"/>
      <c r="I844" s="9"/>
      <c r="J844" s="9"/>
      <c r="K844" s="39"/>
      <c r="L844" s="39"/>
      <c r="M844" s="39"/>
      <c r="N844" s="9"/>
      <c r="O844" s="39"/>
      <c r="P844" s="39"/>
      <c r="Q844" s="39"/>
      <c r="R844" s="10"/>
      <c r="X844" s="12"/>
      <c r="Y844" s="12"/>
      <c r="AA844" s="13"/>
    </row>
    <row r="845" spans="2:27" ht="12.75" x14ac:dyDescent="0.2">
      <c r="B845" s="44"/>
      <c r="C845" s="10"/>
      <c r="D845" s="10"/>
      <c r="E845" s="39"/>
      <c r="F845" s="39"/>
      <c r="G845" s="39"/>
      <c r="H845" s="39"/>
      <c r="I845" s="9"/>
      <c r="J845" s="9"/>
      <c r="K845" s="39"/>
      <c r="L845" s="39"/>
      <c r="M845" s="39"/>
      <c r="N845" s="9"/>
      <c r="O845" s="39"/>
      <c r="P845" s="39"/>
      <c r="Q845" s="39"/>
      <c r="R845" s="10"/>
      <c r="X845" s="12"/>
      <c r="Y845" s="12"/>
      <c r="AA845" s="13"/>
    </row>
    <row r="846" spans="2:27" ht="12.75" x14ac:dyDescent="0.2">
      <c r="B846" s="44"/>
      <c r="C846" s="10"/>
      <c r="D846" s="10"/>
      <c r="E846" s="39"/>
      <c r="F846" s="39"/>
      <c r="G846" s="39"/>
      <c r="H846" s="39"/>
      <c r="I846" s="9"/>
      <c r="J846" s="9"/>
      <c r="K846" s="39"/>
      <c r="L846" s="39"/>
      <c r="M846" s="39"/>
      <c r="N846" s="9"/>
      <c r="O846" s="39"/>
      <c r="P846" s="39"/>
      <c r="Q846" s="39"/>
      <c r="R846" s="10"/>
      <c r="X846" s="12"/>
      <c r="Y846" s="12"/>
      <c r="AA846" s="13"/>
    </row>
    <row r="847" spans="2:27" ht="12.75" x14ac:dyDescent="0.2">
      <c r="B847" s="44"/>
      <c r="C847" s="10"/>
      <c r="D847" s="10"/>
      <c r="E847" s="39"/>
      <c r="F847" s="39"/>
      <c r="G847" s="39"/>
      <c r="H847" s="39"/>
      <c r="I847" s="9"/>
      <c r="J847" s="9"/>
      <c r="K847" s="39"/>
      <c r="L847" s="39"/>
      <c r="M847" s="39"/>
      <c r="N847" s="9"/>
      <c r="O847" s="39"/>
      <c r="P847" s="39"/>
      <c r="Q847" s="39"/>
      <c r="R847" s="10"/>
      <c r="X847" s="12"/>
      <c r="Y847" s="12"/>
      <c r="AA847" s="13"/>
    </row>
    <row r="848" spans="2:27" ht="12.75" x14ac:dyDescent="0.2">
      <c r="B848" s="44"/>
      <c r="C848" s="10"/>
      <c r="D848" s="10"/>
      <c r="E848" s="39"/>
      <c r="F848" s="39"/>
      <c r="G848" s="39"/>
      <c r="H848" s="39"/>
      <c r="I848" s="9"/>
      <c r="J848" s="9"/>
      <c r="K848" s="39"/>
      <c r="L848" s="39"/>
      <c r="M848" s="39"/>
      <c r="N848" s="9"/>
      <c r="O848" s="39"/>
      <c r="P848" s="39"/>
      <c r="Q848" s="39"/>
      <c r="R848" s="10"/>
      <c r="X848" s="12"/>
      <c r="Y848" s="12"/>
      <c r="AA848" s="13"/>
    </row>
    <row r="849" spans="2:27" ht="12.75" x14ac:dyDescent="0.2">
      <c r="B849" s="44"/>
      <c r="C849" s="10"/>
      <c r="D849" s="10"/>
      <c r="E849" s="39"/>
      <c r="F849" s="39"/>
      <c r="G849" s="39"/>
      <c r="H849" s="39"/>
      <c r="I849" s="9"/>
      <c r="J849" s="9"/>
      <c r="K849" s="39"/>
      <c r="L849" s="39"/>
      <c r="M849" s="39"/>
      <c r="N849" s="9"/>
      <c r="O849" s="39"/>
      <c r="P849" s="39"/>
      <c r="Q849" s="39"/>
      <c r="R849" s="10"/>
      <c r="X849" s="12"/>
      <c r="Y849" s="12"/>
      <c r="AA849" s="13"/>
    </row>
    <row r="850" spans="2:27" ht="12.75" x14ac:dyDescent="0.2">
      <c r="B850" s="44"/>
      <c r="C850" s="10"/>
      <c r="D850" s="10"/>
      <c r="E850" s="39"/>
      <c r="F850" s="39"/>
      <c r="G850" s="39"/>
      <c r="H850" s="39"/>
      <c r="I850" s="9"/>
      <c r="J850" s="9"/>
      <c r="K850" s="39"/>
      <c r="L850" s="39"/>
      <c r="M850" s="39"/>
      <c r="N850" s="9"/>
      <c r="O850" s="39"/>
      <c r="P850" s="39"/>
      <c r="Q850" s="39"/>
      <c r="R850" s="10"/>
      <c r="X850" s="12"/>
      <c r="Y850" s="12"/>
      <c r="AA850" s="13"/>
    </row>
    <row r="851" spans="2:27" ht="12.75" x14ac:dyDescent="0.2">
      <c r="B851" s="44"/>
      <c r="C851" s="10"/>
      <c r="D851" s="10"/>
      <c r="E851" s="39"/>
      <c r="F851" s="39"/>
      <c r="G851" s="39"/>
      <c r="H851" s="39"/>
      <c r="I851" s="9"/>
      <c r="J851" s="9"/>
      <c r="K851" s="39"/>
      <c r="L851" s="39"/>
      <c r="M851" s="39"/>
      <c r="N851" s="9"/>
      <c r="O851" s="39"/>
      <c r="P851" s="39"/>
      <c r="Q851" s="39"/>
      <c r="R851" s="10"/>
      <c r="X851" s="12"/>
      <c r="Y851" s="12"/>
      <c r="AA851" s="13"/>
    </row>
    <row r="852" spans="2:27" ht="12.75" x14ac:dyDescent="0.2">
      <c r="B852" s="44"/>
      <c r="C852" s="10"/>
      <c r="D852" s="10"/>
      <c r="E852" s="39"/>
      <c r="F852" s="39"/>
      <c r="G852" s="39"/>
      <c r="H852" s="39"/>
      <c r="I852" s="9"/>
      <c r="J852" s="9"/>
      <c r="K852" s="39"/>
      <c r="L852" s="39"/>
      <c r="M852" s="39"/>
      <c r="N852" s="9"/>
      <c r="O852" s="39"/>
      <c r="P852" s="39"/>
      <c r="Q852" s="39"/>
      <c r="R852" s="10"/>
      <c r="X852" s="12"/>
      <c r="Y852" s="12"/>
      <c r="AA852" s="13"/>
    </row>
    <row r="853" spans="2:27" ht="12.75" x14ac:dyDescent="0.2">
      <c r="B853" s="44"/>
      <c r="C853" s="10"/>
      <c r="D853" s="10"/>
      <c r="E853" s="39"/>
      <c r="F853" s="39"/>
      <c r="G853" s="39"/>
      <c r="H853" s="39"/>
      <c r="I853" s="9"/>
      <c r="J853" s="9"/>
      <c r="K853" s="39"/>
      <c r="L853" s="39"/>
      <c r="M853" s="39"/>
      <c r="N853" s="9"/>
      <c r="O853" s="39"/>
      <c r="P853" s="39"/>
      <c r="Q853" s="39"/>
      <c r="R853" s="10"/>
      <c r="X853" s="12"/>
      <c r="Y853" s="12"/>
      <c r="AA853" s="13"/>
    </row>
    <row r="854" spans="2:27" ht="12.75" x14ac:dyDescent="0.2">
      <c r="B854" s="44"/>
      <c r="C854" s="10"/>
      <c r="D854" s="10"/>
      <c r="E854" s="39"/>
      <c r="F854" s="39"/>
      <c r="G854" s="39"/>
      <c r="H854" s="39"/>
      <c r="I854" s="9"/>
      <c r="J854" s="9"/>
      <c r="K854" s="39"/>
      <c r="L854" s="39"/>
      <c r="M854" s="39"/>
      <c r="N854" s="9"/>
      <c r="O854" s="39"/>
      <c r="P854" s="39"/>
      <c r="Q854" s="39"/>
      <c r="R854" s="10"/>
      <c r="X854" s="12"/>
      <c r="Y854" s="12"/>
      <c r="AA854" s="13"/>
    </row>
    <row r="855" spans="2:27" ht="12.75" x14ac:dyDescent="0.2">
      <c r="B855" s="44"/>
      <c r="C855" s="10"/>
      <c r="D855" s="10"/>
      <c r="E855" s="39"/>
      <c r="F855" s="39"/>
      <c r="G855" s="39"/>
      <c r="H855" s="39"/>
      <c r="I855" s="9"/>
      <c r="J855" s="9"/>
      <c r="K855" s="39"/>
      <c r="L855" s="39"/>
      <c r="M855" s="39"/>
      <c r="N855" s="9"/>
      <c r="O855" s="39"/>
      <c r="P855" s="39"/>
      <c r="Q855" s="39"/>
      <c r="R855" s="10"/>
      <c r="X855" s="12"/>
      <c r="Y855" s="12"/>
      <c r="AA855" s="13"/>
    </row>
    <row r="856" spans="2:27" ht="12.75" x14ac:dyDescent="0.2">
      <c r="B856" s="44"/>
      <c r="C856" s="10"/>
      <c r="D856" s="10"/>
      <c r="E856" s="39"/>
      <c r="F856" s="39"/>
      <c r="G856" s="39"/>
      <c r="H856" s="39"/>
      <c r="I856" s="9"/>
      <c r="J856" s="9"/>
      <c r="K856" s="39"/>
      <c r="L856" s="39"/>
      <c r="M856" s="39"/>
      <c r="N856" s="9"/>
      <c r="O856" s="39"/>
      <c r="P856" s="39"/>
      <c r="Q856" s="39"/>
      <c r="R856" s="10"/>
      <c r="X856" s="12"/>
      <c r="Y856" s="12"/>
      <c r="AA856" s="13"/>
    </row>
    <row r="857" spans="2:27" ht="12.75" x14ac:dyDescent="0.2">
      <c r="B857" s="44"/>
      <c r="C857" s="10"/>
      <c r="D857" s="10"/>
      <c r="E857" s="39"/>
      <c r="F857" s="39"/>
      <c r="G857" s="39"/>
      <c r="H857" s="39"/>
      <c r="I857" s="9"/>
      <c r="J857" s="9"/>
      <c r="K857" s="39"/>
      <c r="L857" s="39"/>
      <c r="M857" s="39"/>
      <c r="N857" s="9"/>
      <c r="O857" s="39"/>
      <c r="P857" s="39"/>
      <c r="Q857" s="39"/>
      <c r="R857" s="10"/>
      <c r="X857" s="12"/>
      <c r="Y857" s="12"/>
      <c r="AA857" s="13"/>
    </row>
    <row r="858" spans="2:27" ht="12.75" x14ac:dyDescent="0.2">
      <c r="B858" s="44"/>
      <c r="C858" s="10"/>
      <c r="D858" s="10"/>
      <c r="E858" s="39"/>
      <c r="F858" s="39"/>
      <c r="G858" s="39"/>
      <c r="H858" s="39"/>
      <c r="I858" s="9"/>
      <c r="J858" s="9"/>
      <c r="K858" s="39"/>
      <c r="L858" s="39"/>
      <c r="M858" s="39"/>
      <c r="N858" s="9"/>
      <c r="O858" s="39"/>
      <c r="P858" s="39"/>
      <c r="Q858" s="39"/>
      <c r="R858" s="10"/>
      <c r="X858" s="12"/>
      <c r="Y858" s="12"/>
      <c r="AA858" s="13"/>
    </row>
    <row r="859" spans="2:27" ht="12.75" x14ac:dyDescent="0.2">
      <c r="B859" s="44"/>
      <c r="C859" s="10"/>
      <c r="D859" s="10"/>
      <c r="E859" s="39"/>
      <c r="F859" s="39"/>
      <c r="G859" s="39"/>
      <c r="H859" s="39"/>
      <c r="I859" s="9"/>
      <c r="J859" s="9"/>
      <c r="K859" s="39"/>
      <c r="L859" s="39"/>
      <c r="M859" s="39"/>
      <c r="N859" s="9"/>
      <c r="O859" s="39"/>
      <c r="P859" s="39"/>
      <c r="Q859" s="39"/>
      <c r="R859" s="10"/>
      <c r="X859" s="12"/>
      <c r="Y859" s="12"/>
      <c r="AA859" s="13"/>
    </row>
    <row r="860" spans="2:27" ht="12.75" x14ac:dyDescent="0.2">
      <c r="B860" s="44"/>
      <c r="C860" s="10"/>
      <c r="D860" s="10"/>
      <c r="E860" s="39"/>
      <c r="F860" s="39"/>
      <c r="G860" s="39"/>
      <c r="H860" s="39"/>
      <c r="I860" s="9"/>
      <c r="J860" s="9"/>
      <c r="K860" s="39"/>
      <c r="L860" s="39"/>
      <c r="M860" s="39"/>
      <c r="N860" s="9"/>
      <c r="O860" s="39"/>
      <c r="P860" s="39"/>
      <c r="Q860" s="39"/>
      <c r="R860" s="10"/>
      <c r="X860" s="12"/>
      <c r="Y860" s="12"/>
      <c r="AA860" s="13"/>
    </row>
    <row r="861" spans="2:27" ht="12.75" x14ac:dyDescent="0.2">
      <c r="B861" s="44"/>
      <c r="C861" s="10"/>
      <c r="D861" s="10"/>
      <c r="E861" s="39"/>
      <c r="F861" s="39"/>
      <c r="G861" s="39"/>
      <c r="H861" s="39"/>
      <c r="I861" s="9"/>
      <c r="J861" s="9"/>
      <c r="K861" s="39"/>
      <c r="L861" s="39"/>
      <c r="M861" s="39"/>
      <c r="N861" s="9"/>
      <c r="O861" s="39"/>
      <c r="P861" s="39"/>
      <c r="Q861" s="39"/>
      <c r="R861" s="10"/>
      <c r="X861" s="12"/>
      <c r="Y861" s="12"/>
      <c r="AA861" s="13"/>
    </row>
    <row r="862" spans="2:27" ht="12.75" x14ac:dyDescent="0.2">
      <c r="B862" s="44"/>
      <c r="C862" s="10"/>
      <c r="D862" s="10"/>
      <c r="E862" s="39"/>
      <c r="F862" s="39"/>
      <c r="G862" s="39"/>
      <c r="H862" s="39"/>
      <c r="I862" s="9"/>
      <c r="J862" s="9"/>
      <c r="K862" s="39"/>
      <c r="L862" s="39"/>
      <c r="M862" s="39"/>
      <c r="N862" s="9"/>
      <c r="O862" s="39"/>
      <c r="P862" s="39"/>
      <c r="Q862" s="39"/>
      <c r="R862" s="10"/>
      <c r="X862" s="12"/>
      <c r="Y862" s="12"/>
      <c r="AA862" s="13"/>
    </row>
    <row r="863" spans="2:27" ht="12.75" x14ac:dyDescent="0.2">
      <c r="B863" s="44"/>
      <c r="C863" s="10"/>
      <c r="D863" s="10"/>
      <c r="E863" s="39"/>
      <c r="F863" s="39"/>
      <c r="G863" s="39"/>
      <c r="H863" s="39"/>
      <c r="I863" s="9"/>
      <c r="J863" s="9"/>
      <c r="K863" s="39"/>
      <c r="L863" s="39"/>
      <c r="M863" s="39"/>
      <c r="N863" s="9"/>
      <c r="O863" s="39"/>
      <c r="P863" s="39"/>
      <c r="Q863" s="39"/>
      <c r="R863" s="10"/>
      <c r="X863" s="12"/>
      <c r="Y863" s="12"/>
      <c r="AA863" s="13"/>
    </row>
    <row r="864" spans="2:27" ht="12.75" x14ac:dyDescent="0.2">
      <c r="B864" s="44"/>
      <c r="C864" s="10"/>
      <c r="D864" s="10"/>
      <c r="E864" s="39"/>
      <c r="F864" s="39"/>
      <c r="G864" s="39"/>
      <c r="H864" s="39"/>
      <c r="I864" s="9"/>
      <c r="J864" s="9"/>
      <c r="K864" s="39"/>
      <c r="L864" s="39"/>
      <c r="M864" s="39"/>
      <c r="N864" s="9"/>
      <c r="O864" s="39"/>
      <c r="P864" s="39"/>
      <c r="Q864" s="39"/>
      <c r="R864" s="10"/>
      <c r="X864" s="12"/>
      <c r="Y864" s="12"/>
      <c r="AA864" s="13"/>
    </row>
    <row r="865" spans="2:27" ht="12.75" x14ac:dyDescent="0.2">
      <c r="B865" s="44"/>
      <c r="C865" s="10"/>
      <c r="D865" s="10"/>
      <c r="E865" s="39"/>
      <c r="F865" s="39"/>
      <c r="G865" s="39"/>
      <c r="H865" s="39"/>
      <c r="I865" s="9"/>
      <c r="J865" s="9"/>
      <c r="K865" s="39"/>
      <c r="L865" s="39"/>
      <c r="M865" s="39"/>
      <c r="N865" s="9"/>
      <c r="O865" s="39"/>
      <c r="P865" s="39"/>
      <c r="Q865" s="39"/>
      <c r="R865" s="10"/>
      <c r="X865" s="12"/>
      <c r="Y865" s="12"/>
      <c r="AA865" s="13"/>
    </row>
    <row r="866" spans="2:27" ht="12.75" x14ac:dyDescent="0.2">
      <c r="B866" s="44"/>
      <c r="C866" s="10"/>
      <c r="D866" s="10"/>
      <c r="E866" s="39"/>
      <c r="F866" s="39"/>
      <c r="G866" s="39"/>
      <c r="H866" s="39"/>
      <c r="I866" s="9"/>
      <c r="J866" s="9"/>
      <c r="K866" s="39"/>
      <c r="L866" s="39"/>
      <c r="M866" s="39"/>
      <c r="N866" s="9"/>
      <c r="O866" s="39"/>
      <c r="P866" s="39"/>
      <c r="Q866" s="39"/>
      <c r="R866" s="10"/>
      <c r="X866" s="12"/>
      <c r="Y866" s="12"/>
      <c r="AA866" s="13"/>
    </row>
    <row r="867" spans="2:27" ht="12.75" x14ac:dyDescent="0.2">
      <c r="B867" s="44"/>
      <c r="C867" s="10"/>
      <c r="D867" s="10"/>
      <c r="E867" s="39"/>
      <c r="F867" s="39"/>
      <c r="G867" s="39"/>
      <c r="H867" s="39"/>
      <c r="I867" s="9"/>
      <c r="J867" s="9"/>
      <c r="K867" s="39"/>
      <c r="L867" s="39"/>
      <c r="M867" s="39"/>
      <c r="N867" s="9"/>
      <c r="O867" s="39"/>
      <c r="P867" s="39"/>
      <c r="Q867" s="39"/>
      <c r="R867" s="10"/>
      <c r="X867" s="12"/>
      <c r="Y867" s="12"/>
      <c r="AA867" s="13"/>
    </row>
    <row r="868" spans="2:27" ht="12.75" x14ac:dyDescent="0.2">
      <c r="B868" s="44"/>
      <c r="C868" s="10"/>
      <c r="D868" s="10"/>
      <c r="E868" s="39"/>
      <c r="F868" s="39"/>
      <c r="G868" s="39"/>
      <c r="H868" s="39"/>
      <c r="I868" s="9"/>
      <c r="J868" s="9"/>
      <c r="K868" s="39"/>
      <c r="L868" s="39"/>
      <c r="M868" s="39"/>
      <c r="N868" s="9"/>
      <c r="O868" s="39"/>
      <c r="P868" s="39"/>
      <c r="Q868" s="39"/>
      <c r="R868" s="10"/>
      <c r="X868" s="12"/>
      <c r="Y868" s="12"/>
      <c r="AA868" s="13"/>
    </row>
    <row r="869" spans="2:27" ht="12.75" x14ac:dyDescent="0.2">
      <c r="B869" s="44"/>
      <c r="C869" s="10"/>
      <c r="D869" s="10"/>
      <c r="E869" s="39"/>
      <c r="F869" s="39"/>
      <c r="G869" s="39"/>
      <c r="H869" s="39"/>
      <c r="I869" s="9"/>
      <c r="J869" s="9"/>
      <c r="K869" s="39"/>
      <c r="L869" s="39"/>
      <c r="M869" s="39"/>
      <c r="N869" s="9"/>
      <c r="O869" s="39"/>
      <c r="P869" s="39"/>
      <c r="Q869" s="39"/>
      <c r="R869" s="10"/>
      <c r="X869" s="12"/>
      <c r="Y869" s="12"/>
      <c r="AA869" s="13"/>
    </row>
    <row r="870" spans="2:27" ht="12.75" x14ac:dyDescent="0.2">
      <c r="B870" s="44"/>
      <c r="C870" s="10"/>
      <c r="D870" s="10"/>
      <c r="E870" s="39"/>
      <c r="F870" s="39"/>
      <c r="G870" s="39"/>
      <c r="H870" s="39"/>
      <c r="I870" s="9"/>
      <c r="J870" s="9"/>
      <c r="K870" s="39"/>
      <c r="L870" s="39"/>
      <c r="M870" s="39"/>
      <c r="N870" s="9"/>
      <c r="O870" s="39"/>
      <c r="P870" s="39"/>
      <c r="Q870" s="39"/>
      <c r="R870" s="10"/>
      <c r="X870" s="12"/>
      <c r="Y870" s="12"/>
      <c r="AA870" s="13"/>
    </row>
    <row r="871" spans="2:27" ht="12.75" x14ac:dyDescent="0.2">
      <c r="B871" s="44"/>
      <c r="C871" s="10"/>
      <c r="D871" s="10"/>
      <c r="E871" s="39"/>
      <c r="F871" s="39"/>
      <c r="G871" s="39"/>
      <c r="H871" s="39"/>
      <c r="I871" s="9"/>
      <c r="J871" s="9"/>
      <c r="K871" s="39"/>
      <c r="L871" s="39"/>
      <c r="M871" s="39"/>
      <c r="N871" s="9"/>
      <c r="O871" s="39"/>
      <c r="P871" s="39"/>
      <c r="Q871" s="39"/>
      <c r="R871" s="10"/>
      <c r="X871" s="12"/>
      <c r="Y871" s="12"/>
      <c r="AA871" s="13"/>
    </row>
    <row r="872" spans="2:27" ht="12.75" x14ac:dyDescent="0.2">
      <c r="B872" s="44"/>
      <c r="C872" s="10"/>
      <c r="D872" s="10"/>
      <c r="E872" s="39"/>
      <c r="F872" s="39"/>
      <c r="G872" s="39"/>
      <c r="H872" s="39"/>
      <c r="I872" s="9"/>
      <c r="J872" s="9"/>
      <c r="K872" s="39"/>
      <c r="L872" s="39"/>
      <c r="M872" s="39"/>
      <c r="N872" s="9"/>
      <c r="O872" s="39"/>
      <c r="P872" s="39"/>
      <c r="Q872" s="39"/>
      <c r="R872" s="10"/>
      <c r="X872" s="12"/>
      <c r="Y872" s="12"/>
      <c r="AA872" s="13"/>
    </row>
    <row r="873" spans="2:27" ht="12.75" x14ac:dyDescent="0.2">
      <c r="B873" s="44"/>
      <c r="C873" s="10"/>
      <c r="D873" s="10"/>
      <c r="E873" s="39"/>
      <c r="F873" s="39"/>
      <c r="G873" s="39"/>
      <c r="H873" s="39"/>
      <c r="I873" s="9"/>
      <c r="J873" s="9"/>
      <c r="K873" s="39"/>
      <c r="L873" s="39"/>
      <c r="M873" s="39"/>
      <c r="N873" s="9"/>
      <c r="O873" s="39"/>
      <c r="P873" s="39"/>
      <c r="Q873" s="39"/>
      <c r="R873" s="10"/>
      <c r="X873" s="12"/>
      <c r="Y873" s="12"/>
      <c r="AA873" s="13"/>
    </row>
    <row r="874" spans="2:27" ht="12.75" x14ac:dyDescent="0.2">
      <c r="B874" s="44"/>
      <c r="C874" s="10"/>
      <c r="D874" s="10"/>
      <c r="E874" s="39"/>
      <c r="F874" s="39"/>
      <c r="G874" s="39"/>
      <c r="H874" s="39"/>
      <c r="I874" s="9"/>
      <c r="J874" s="9"/>
      <c r="K874" s="39"/>
      <c r="L874" s="39"/>
      <c r="M874" s="39"/>
      <c r="N874" s="9"/>
      <c r="O874" s="39"/>
      <c r="P874" s="39"/>
      <c r="Q874" s="39"/>
      <c r="R874" s="10"/>
      <c r="X874" s="12"/>
      <c r="Y874" s="12"/>
      <c r="AA874" s="13"/>
    </row>
    <row r="875" spans="2:27" ht="12.75" x14ac:dyDescent="0.2">
      <c r="B875" s="44"/>
      <c r="C875" s="10"/>
      <c r="D875" s="10"/>
      <c r="E875" s="39"/>
      <c r="F875" s="39"/>
      <c r="G875" s="39"/>
      <c r="H875" s="39"/>
      <c r="I875" s="9"/>
      <c r="J875" s="9"/>
      <c r="K875" s="39"/>
      <c r="L875" s="39"/>
      <c r="M875" s="39"/>
      <c r="N875" s="9"/>
      <c r="O875" s="39"/>
      <c r="P875" s="39"/>
      <c r="Q875" s="39"/>
      <c r="R875" s="10"/>
      <c r="X875" s="12"/>
      <c r="Y875" s="12"/>
      <c r="AA875" s="13"/>
    </row>
    <row r="876" spans="2:27" ht="12.75" x14ac:dyDescent="0.2">
      <c r="B876" s="44"/>
      <c r="C876" s="10"/>
      <c r="D876" s="10"/>
      <c r="E876" s="39"/>
      <c r="F876" s="39"/>
      <c r="G876" s="39"/>
      <c r="H876" s="39"/>
      <c r="I876" s="9"/>
      <c r="J876" s="9"/>
      <c r="K876" s="39"/>
      <c r="L876" s="39"/>
      <c r="M876" s="39"/>
      <c r="N876" s="9"/>
      <c r="O876" s="39"/>
      <c r="P876" s="39"/>
      <c r="Q876" s="39"/>
      <c r="R876" s="10"/>
      <c r="X876" s="12"/>
      <c r="Y876" s="12"/>
      <c r="AA876" s="13"/>
    </row>
    <row r="877" spans="2:27" ht="12.75" x14ac:dyDescent="0.2">
      <c r="B877" s="44"/>
      <c r="C877" s="10"/>
      <c r="D877" s="10"/>
      <c r="E877" s="39"/>
      <c r="F877" s="39"/>
      <c r="G877" s="39"/>
      <c r="H877" s="39"/>
      <c r="I877" s="9"/>
      <c r="J877" s="9"/>
      <c r="K877" s="39"/>
      <c r="L877" s="39"/>
      <c r="M877" s="39"/>
      <c r="N877" s="9"/>
      <c r="O877" s="39"/>
      <c r="P877" s="39"/>
      <c r="Q877" s="39"/>
      <c r="R877" s="10"/>
      <c r="X877" s="12"/>
      <c r="Y877" s="12"/>
      <c r="AA877" s="13"/>
    </row>
    <row r="878" spans="2:27" ht="12.75" x14ac:dyDescent="0.2">
      <c r="B878" s="44"/>
      <c r="C878" s="10"/>
      <c r="D878" s="10"/>
      <c r="E878" s="39"/>
      <c r="F878" s="39"/>
      <c r="G878" s="39"/>
      <c r="H878" s="39"/>
      <c r="I878" s="9"/>
      <c r="J878" s="9"/>
      <c r="K878" s="39"/>
      <c r="L878" s="39"/>
      <c r="M878" s="39"/>
      <c r="N878" s="9"/>
      <c r="O878" s="39"/>
      <c r="P878" s="39"/>
      <c r="Q878" s="39"/>
      <c r="R878" s="10"/>
      <c r="X878" s="12"/>
      <c r="Y878" s="12"/>
      <c r="AA878" s="13"/>
    </row>
    <row r="879" spans="2:27" ht="12.75" x14ac:dyDescent="0.2">
      <c r="B879" s="44"/>
      <c r="C879" s="10"/>
      <c r="D879" s="10"/>
      <c r="E879" s="39"/>
      <c r="F879" s="39"/>
      <c r="G879" s="39"/>
      <c r="H879" s="39"/>
      <c r="I879" s="9"/>
      <c r="J879" s="9"/>
      <c r="K879" s="39"/>
      <c r="L879" s="39"/>
      <c r="M879" s="39"/>
      <c r="N879" s="9"/>
      <c r="O879" s="39"/>
      <c r="P879" s="39"/>
      <c r="Q879" s="39"/>
      <c r="R879" s="10"/>
      <c r="X879" s="12"/>
      <c r="Y879" s="12"/>
      <c r="AA879" s="13"/>
    </row>
    <row r="880" spans="2:27" ht="12.75" x14ac:dyDescent="0.2">
      <c r="B880" s="44"/>
      <c r="C880" s="10"/>
      <c r="D880" s="10"/>
      <c r="E880" s="39"/>
      <c r="F880" s="39"/>
      <c r="G880" s="39"/>
      <c r="H880" s="39"/>
      <c r="I880" s="9"/>
      <c r="J880" s="9"/>
      <c r="K880" s="39"/>
      <c r="L880" s="39"/>
      <c r="M880" s="39"/>
      <c r="N880" s="9"/>
      <c r="O880" s="39"/>
      <c r="P880" s="39"/>
      <c r="Q880" s="39"/>
      <c r="R880" s="10"/>
      <c r="X880" s="12"/>
      <c r="Y880" s="12"/>
      <c r="AA880" s="13"/>
    </row>
    <row r="881" spans="2:27" ht="12.75" x14ac:dyDescent="0.2">
      <c r="B881" s="44"/>
      <c r="C881" s="10"/>
      <c r="D881" s="10"/>
      <c r="E881" s="39"/>
      <c r="F881" s="39"/>
      <c r="G881" s="39"/>
      <c r="H881" s="39"/>
      <c r="I881" s="9"/>
      <c r="J881" s="9"/>
      <c r="K881" s="39"/>
      <c r="L881" s="39"/>
      <c r="M881" s="39"/>
      <c r="N881" s="9"/>
      <c r="O881" s="39"/>
      <c r="P881" s="39"/>
      <c r="Q881" s="39"/>
      <c r="R881" s="10"/>
      <c r="X881" s="12"/>
      <c r="Y881" s="12"/>
      <c r="AA881" s="13"/>
    </row>
    <row r="882" spans="2:27" ht="12.75" x14ac:dyDescent="0.2">
      <c r="B882" s="44"/>
      <c r="C882" s="10"/>
      <c r="D882" s="10"/>
      <c r="E882" s="39"/>
      <c r="F882" s="39"/>
      <c r="G882" s="39"/>
      <c r="H882" s="39"/>
      <c r="I882" s="9"/>
      <c r="J882" s="9"/>
      <c r="K882" s="39"/>
      <c r="L882" s="39"/>
      <c r="M882" s="39"/>
      <c r="N882" s="9"/>
      <c r="O882" s="39"/>
      <c r="P882" s="39"/>
      <c r="Q882" s="39"/>
      <c r="R882" s="10"/>
      <c r="X882" s="12"/>
      <c r="Y882" s="12"/>
      <c r="AA882" s="13"/>
    </row>
    <row r="883" spans="2:27" ht="12.75" x14ac:dyDescent="0.2">
      <c r="B883" s="44"/>
      <c r="C883" s="10"/>
      <c r="D883" s="10"/>
      <c r="E883" s="39"/>
      <c r="F883" s="39"/>
      <c r="G883" s="39"/>
      <c r="H883" s="39"/>
      <c r="I883" s="9"/>
      <c r="J883" s="9"/>
      <c r="K883" s="39"/>
      <c r="L883" s="39"/>
      <c r="M883" s="39"/>
      <c r="N883" s="9"/>
      <c r="O883" s="39"/>
      <c r="P883" s="39"/>
      <c r="Q883" s="39"/>
      <c r="R883" s="10"/>
      <c r="X883" s="12"/>
      <c r="Y883" s="12"/>
      <c r="AA883" s="13"/>
    </row>
    <row r="884" spans="2:27" ht="12.75" x14ac:dyDescent="0.2">
      <c r="B884" s="44"/>
      <c r="C884" s="10"/>
      <c r="D884" s="10"/>
      <c r="E884" s="39"/>
      <c r="F884" s="39"/>
      <c r="G884" s="39"/>
      <c r="H884" s="39"/>
      <c r="I884" s="9"/>
      <c r="J884" s="9"/>
      <c r="K884" s="39"/>
      <c r="L884" s="39"/>
      <c r="M884" s="39"/>
      <c r="N884" s="9"/>
      <c r="O884" s="39"/>
      <c r="P884" s="39"/>
      <c r="Q884" s="39"/>
      <c r="R884" s="10"/>
      <c r="X884" s="12"/>
      <c r="Y884" s="12"/>
      <c r="AA884" s="13"/>
    </row>
    <row r="885" spans="2:27" ht="12.75" x14ac:dyDescent="0.2">
      <c r="B885" s="44"/>
      <c r="C885" s="10"/>
      <c r="D885" s="10"/>
      <c r="E885" s="39"/>
      <c r="F885" s="39"/>
      <c r="G885" s="39"/>
      <c r="H885" s="39"/>
      <c r="I885" s="9"/>
      <c r="J885" s="9"/>
      <c r="K885" s="39"/>
      <c r="L885" s="39"/>
      <c r="M885" s="39"/>
      <c r="N885" s="9"/>
      <c r="O885" s="39"/>
      <c r="P885" s="39"/>
      <c r="Q885" s="39"/>
      <c r="R885" s="10"/>
      <c r="X885" s="12"/>
      <c r="Y885" s="12"/>
      <c r="AA885" s="13"/>
    </row>
    <row r="886" spans="2:27" ht="12.75" x14ac:dyDescent="0.2">
      <c r="B886" s="44"/>
      <c r="C886" s="10"/>
      <c r="D886" s="10"/>
      <c r="E886" s="39"/>
      <c r="F886" s="39"/>
      <c r="G886" s="39"/>
      <c r="H886" s="39"/>
      <c r="I886" s="9"/>
      <c r="J886" s="9"/>
      <c r="K886" s="39"/>
      <c r="L886" s="39"/>
      <c r="M886" s="39"/>
      <c r="N886" s="9"/>
      <c r="O886" s="39"/>
      <c r="P886" s="39"/>
      <c r="Q886" s="39"/>
      <c r="R886" s="10"/>
      <c r="X886" s="12"/>
      <c r="Y886" s="12"/>
      <c r="AA886" s="13"/>
    </row>
    <row r="887" spans="2:27" ht="12.75" x14ac:dyDescent="0.2">
      <c r="B887" s="44"/>
      <c r="C887" s="10"/>
      <c r="D887" s="10"/>
      <c r="E887" s="39"/>
      <c r="F887" s="39"/>
      <c r="G887" s="39"/>
      <c r="H887" s="39"/>
      <c r="I887" s="9"/>
      <c r="J887" s="9"/>
      <c r="K887" s="39"/>
      <c r="L887" s="39"/>
      <c r="M887" s="39"/>
      <c r="N887" s="9"/>
      <c r="O887" s="39"/>
      <c r="P887" s="39"/>
      <c r="Q887" s="39"/>
      <c r="R887" s="10"/>
      <c r="X887" s="12"/>
      <c r="Y887" s="12"/>
      <c r="AA887" s="13"/>
    </row>
    <row r="888" spans="2:27" ht="12.75" x14ac:dyDescent="0.2">
      <c r="B888" s="44"/>
      <c r="C888" s="10"/>
      <c r="D888" s="10"/>
      <c r="E888" s="39"/>
      <c r="F888" s="39"/>
      <c r="G888" s="39"/>
      <c r="H888" s="39"/>
      <c r="I888" s="9"/>
      <c r="J888" s="9"/>
      <c r="K888" s="39"/>
      <c r="L888" s="39"/>
      <c r="M888" s="39"/>
      <c r="N888" s="9"/>
      <c r="O888" s="39"/>
      <c r="P888" s="39"/>
      <c r="Q888" s="39"/>
      <c r="R888" s="10"/>
      <c r="X888" s="12"/>
      <c r="Y888" s="12"/>
      <c r="AA888" s="13"/>
    </row>
    <row r="889" spans="2:27" ht="12.75" x14ac:dyDescent="0.2">
      <c r="B889" s="44"/>
      <c r="C889" s="10"/>
      <c r="D889" s="10"/>
      <c r="E889" s="39"/>
      <c r="F889" s="39"/>
      <c r="G889" s="39"/>
      <c r="H889" s="39"/>
      <c r="I889" s="9"/>
      <c r="J889" s="9"/>
      <c r="K889" s="39"/>
      <c r="L889" s="39"/>
      <c r="M889" s="39"/>
      <c r="N889" s="9"/>
      <c r="O889" s="39"/>
      <c r="P889" s="39"/>
      <c r="Q889" s="39"/>
      <c r="R889" s="10"/>
      <c r="X889" s="12"/>
      <c r="Y889" s="12"/>
      <c r="AA889" s="13"/>
    </row>
    <row r="890" spans="2:27" ht="12.75" x14ac:dyDescent="0.2">
      <c r="B890" s="44"/>
      <c r="C890" s="10"/>
      <c r="D890" s="10"/>
      <c r="E890" s="39"/>
      <c r="F890" s="39"/>
      <c r="G890" s="39"/>
      <c r="H890" s="39"/>
      <c r="I890" s="9"/>
      <c r="J890" s="9"/>
      <c r="K890" s="39"/>
      <c r="L890" s="39"/>
      <c r="M890" s="39"/>
      <c r="N890" s="9"/>
      <c r="O890" s="39"/>
      <c r="P890" s="39"/>
      <c r="Q890" s="39"/>
      <c r="R890" s="10"/>
      <c r="X890" s="12"/>
      <c r="Y890" s="12"/>
      <c r="AA890" s="13"/>
    </row>
    <row r="891" spans="2:27" ht="12.75" x14ac:dyDescent="0.2">
      <c r="B891" s="44"/>
      <c r="C891" s="10"/>
      <c r="D891" s="10"/>
      <c r="E891" s="39"/>
      <c r="F891" s="39"/>
      <c r="G891" s="39"/>
      <c r="H891" s="39"/>
      <c r="I891" s="9"/>
      <c r="J891" s="9"/>
      <c r="K891" s="39"/>
      <c r="L891" s="39"/>
      <c r="M891" s="39"/>
      <c r="N891" s="9"/>
      <c r="O891" s="39"/>
      <c r="P891" s="39"/>
      <c r="Q891" s="39"/>
      <c r="R891" s="10"/>
      <c r="X891" s="12"/>
      <c r="Y891" s="12"/>
      <c r="AA891" s="13"/>
    </row>
    <row r="892" spans="2:27" ht="12.75" x14ac:dyDescent="0.2">
      <c r="B892" s="44"/>
      <c r="C892" s="10"/>
      <c r="D892" s="10"/>
      <c r="E892" s="39"/>
      <c r="F892" s="39"/>
      <c r="G892" s="39"/>
      <c r="H892" s="39"/>
      <c r="I892" s="9"/>
      <c r="J892" s="9"/>
      <c r="K892" s="39"/>
      <c r="L892" s="39"/>
      <c r="M892" s="39"/>
      <c r="N892" s="9"/>
      <c r="O892" s="39"/>
      <c r="P892" s="39"/>
      <c r="Q892" s="39"/>
      <c r="R892" s="10"/>
      <c r="X892" s="12"/>
      <c r="Y892" s="12"/>
      <c r="AA892" s="13"/>
    </row>
    <row r="893" spans="2:27" ht="12.75" x14ac:dyDescent="0.2">
      <c r="B893" s="44"/>
      <c r="C893" s="10"/>
      <c r="D893" s="10"/>
      <c r="E893" s="39"/>
      <c r="F893" s="39"/>
      <c r="G893" s="39"/>
      <c r="H893" s="39"/>
      <c r="I893" s="9"/>
      <c r="J893" s="9"/>
      <c r="K893" s="39"/>
      <c r="L893" s="39"/>
      <c r="M893" s="39"/>
      <c r="N893" s="9"/>
      <c r="O893" s="39"/>
      <c r="P893" s="39"/>
      <c r="Q893" s="39"/>
      <c r="R893" s="10"/>
      <c r="X893" s="12"/>
      <c r="Y893" s="12"/>
      <c r="AA893" s="13"/>
    </row>
    <row r="894" spans="2:27" ht="12.75" x14ac:dyDescent="0.2">
      <c r="B894" s="44"/>
      <c r="C894" s="10"/>
      <c r="D894" s="10"/>
      <c r="E894" s="39"/>
      <c r="F894" s="39"/>
      <c r="G894" s="39"/>
      <c r="H894" s="39"/>
      <c r="I894" s="9"/>
      <c r="J894" s="9"/>
      <c r="K894" s="39"/>
      <c r="L894" s="39"/>
      <c r="M894" s="39"/>
      <c r="N894" s="9"/>
      <c r="O894" s="39"/>
      <c r="P894" s="39"/>
      <c r="Q894" s="39"/>
      <c r="R894" s="10"/>
      <c r="X894" s="12"/>
      <c r="Y894" s="12"/>
      <c r="AA894" s="13"/>
    </row>
    <row r="895" spans="2:27" ht="12.75" x14ac:dyDescent="0.2">
      <c r="B895" s="44"/>
      <c r="C895" s="10"/>
      <c r="D895" s="10"/>
      <c r="E895" s="39"/>
      <c r="F895" s="39"/>
      <c r="G895" s="39"/>
      <c r="H895" s="39"/>
      <c r="I895" s="9"/>
      <c r="J895" s="9"/>
      <c r="K895" s="39"/>
      <c r="L895" s="39"/>
      <c r="M895" s="39"/>
      <c r="N895" s="9"/>
      <c r="O895" s="39"/>
      <c r="P895" s="39"/>
      <c r="Q895" s="39"/>
      <c r="R895" s="10"/>
      <c r="X895" s="12"/>
      <c r="Y895" s="12"/>
      <c r="AA895" s="13"/>
    </row>
    <row r="896" spans="2:27" ht="12.75" x14ac:dyDescent="0.2">
      <c r="B896" s="44"/>
      <c r="C896" s="10"/>
      <c r="D896" s="10"/>
      <c r="E896" s="39"/>
      <c r="F896" s="39"/>
      <c r="G896" s="39"/>
      <c r="H896" s="39"/>
      <c r="I896" s="9"/>
      <c r="J896" s="9"/>
      <c r="K896" s="39"/>
      <c r="L896" s="39"/>
      <c r="M896" s="39"/>
      <c r="N896" s="9"/>
      <c r="O896" s="39"/>
      <c r="P896" s="39"/>
      <c r="Q896" s="39"/>
      <c r="R896" s="10"/>
      <c r="X896" s="12"/>
      <c r="Y896" s="12"/>
      <c r="AA896" s="13"/>
    </row>
    <row r="897" spans="2:27" ht="12.75" x14ac:dyDescent="0.2">
      <c r="B897" s="44"/>
      <c r="C897" s="10"/>
      <c r="D897" s="10"/>
      <c r="E897" s="39"/>
      <c r="F897" s="39"/>
      <c r="G897" s="39"/>
      <c r="H897" s="39"/>
      <c r="I897" s="9"/>
      <c r="J897" s="9"/>
      <c r="K897" s="39"/>
      <c r="L897" s="39"/>
      <c r="M897" s="39"/>
      <c r="N897" s="9"/>
      <c r="O897" s="39"/>
      <c r="P897" s="39"/>
      <c r="Q897" s="39"/>
      <c r="R897" s="10"/>
      <c r="X897" s="12"/>
      <c r="Y897" s="12"/>
      <c r="AA897" s="13"/>
    </row>
    <row r="898" spans="2:27" ht="12.75" x14ac:dyDescent="0.2">
      <c r="B898" s="44"/>
      <c r="C898" s="10"/>
      <c r="D898" s="10"/>
      <c r="E898" s="39"/>
      <c r="F898" s="39"/>
      <c r="G898" s="39"/>
      <c r="H898" s="39"/>
      <c r="I898" s="9"/>
      <c r="J898" s="9"/>
      <c r="K898" s="39"/>
      <c r="L898" s="39"/>
      <c r="M898" s="39"/>
      <c r="N898" s="9"/>
      <c r="O898" s="39"/>
      <c r="P898" s="39"/>
      <c r="Q898" s="39"/>
      <c r="R898" s="10"/>
      <c r="X898" s="12"/>
      <c r="Y898" s="12"/>
      <c r="AA898" s="13"/>
    </row>
    <row r="899" spans="2:27" ht="12.75" x14ac:dyDescent="0.2">
      <c r="B899" s="44"/>
      <c r="C899" s="10"/>
      <c r="D899" s="10"/>
      <c r="E899" s="39"/>
      <c r="F899" s="39"/>
      <c r="G899" s="39"/>
      <c r="H899" s="39"/>
      <c r="I899" s="9"/>
      <c r="J899" s="9"/>
      <c r="K899" s="39"/>
      <c r="L899" s="39"/>
      <c r="M899" s="39"/>
      <c r="N899" s="9"/>
      <c r="O899" s="39"/>
      <c r="P899" s="39"/>
      <c r="Q899" s="39"/>
      <c r="R899" s="10"/>
      <c r="X899" s="12"/>
      <c r="Y899" s="12"/>
      <c r="AA899" s="13"/>
    </row>
    <row r="900" spans="2:27" ht="12.75" x14ac:dyDescent="0.2">
      <c r="B900" s="44"/>
      <c r="C900" s="10"/>
      <c r="D900" s="10"/>
      <c r="E900" s="39"/>
      <c r="F900" s="39"/>
      <c r="G900" s="39"/>
      <c r="H900" s="39"/>
      <c r="I900" s="9"/>
      <c r="J900" s="9"/>
      <c r="K900" s="39"/>
      <c r="L900" s="39"/>
      <c r="M900" s="39"/>
      <c r="N900" s="9"/>
      <c r="O900" s="39"/>
      <c r="P900" s="39"/>
      <c r="Q900" s="39"/>
      <c r="R900" s="10"/>
      <c r="X900" s="12"/>
      <c r="Y900" s="12"/>
      <c r="AA900" s="13"/>
    </row>
    <row r="901" spans="2:27" ht="12.75" x14ac:dyDescent="0.2">
      <c r="B901" s="44"/>
      <c r="C901" s="10"/>
      <c r="D901" s="10"/>
      <c r="E901" s="39"/>
      <c r="F901" s="39"/>
      <c r="G901" s="39"/>
      <c r="H901" s="39"/>
      <c r="I901" s="9"/>
      <c r="J901" s="9"/>
      <c r="K901" s="39"/>
      <c r="L901" s="39"/>
      <c r="M901" s="39"/>
      <c r="N901" s="9"/>
      <c r="O901" s="39"/>
      <c r="P901" s="39"/>
      <c r="Q901" s="39"/>
      <c r="R901" s="10"/>
      <c r="X901" s="12"/>
      <c r="Y901" s="12"/>
      <c r="AA901" s="13"/>
    </row>
    <row r="902" spans="2:27" ht="12.75" x14ac:dyDescent="0.2">
      <c r="B902" s="44"/>
      <c r="C902" s="10"/>
      <c r="D902" s="10"/>
      <c r="E902" s="39"/>
      <c r="F902" s="39"/>
      <c r="G902" s="39"/>
      <c r="H902" s="39"/>
      <c r="I902" s="9"/>
      <c r="J902" s="9"/>
      <c r="K902" s="39"/>
      <c r="L902" s="39"/>
      <c r="M902" s="39"/>
      <c r="N902" s="9"/>
      <c r="O902" s="39"/>
      <c r="P902" s="39"/>
      <c r="Q902" s="39"/>
      <c r="R902" s="10"/>
      <c r="X902" s="12"/>
      <c r="Y902" s="12"/>
      <c r="AA902" s="13"/>
    </row>
    <row r="903" spans="2:27" ht="12.75" x14ac:dyDescent="0.2">
      <c r="B903" s="44"/>
      <c r="C903" s="10"/>
      <c r="D903" s="10"/>
      <c r="E903" s="39"/>
      <c r="F903" s="39"/>
      <c r="G903" s="39"/>
      <c r="H903" s="39"/>
      <c r="I903" s="9"/>
      <c r="J903" s="9"/>
      <c r="K903" s="39"/>
      <c r="L903" s="39"/>
      <c r="M903" s="39"/>
      <c r="N903" s="9"/>
      <c r="O903" s="39"/>
      <c r="P903" s="39"/>
      <c r="Q903" s="39"/>
      <c r="R903" s="10"/>
      <c r="X903" s="12"/>
      <c r="Y903" s="12"/>
      <c r="AA903" s="13"/>
    </row>
    <row r="904" spans="2:27" ht="12.75" x14ac:dyDescent="0.2">
      <c r="B904" s="44"/>
      <c r="C904" s="10"/>
      <c r="D904" s="10"/>
      <c r="E904" s="39"/>
      <c r="F904" s="39"/>
      <c r="G904" s="39"/>
      <c r="H904" s="39"/>
      <c r="I904" s="9"/>
      <c r="J904" s="9"/>
      <c r="K904" s="39"/>
      <c r="L904" s="39"/>
      <c r="M904" s="39"/>
      <c r="N904" s="9"/>
      <c r="O904" s="39"/>
      <c r="P904" s="39"/>
      <c r="Q904" s="39"/>
      <c r="R904" s="10"/>
      <c r="X904" s="12"/>
      <c r="Y904" s="12"/>
      <c r="AA904" s="13"/>
    </row>
    <row r="905" spans="2:27" ht="12.75" x14ac:dyDescent="0.2">
      <c r="B905" s="44"/>
      <c r="C905" s="10"/>
      <c r="D905" s="10"/>
      <c r="E905" s="39"/>
      <c r="F905" s="39"/>
      <c r="G905" s="39"/>
      <c r="H905" s="39"/>
      <c r="I905" s="9"/>
      <c r="J905" s="9"/>
      <c r="K905" s="39"/>
      <c r="L905" s="39"/>
      <c r="M905" s="39"/>
      <c r="N905" s="9"/>
      <c r="O905" s="39"/>
      <c r="P905" s="39"/>
      <c r="Q905" s="39"/>
      <c r="R905" s="10"/>
      <c r="X905" s="12"/>
      <c r="Y905" s="12"/>
      <c r="AA905" s="13"/>
    </row>
    <row r="906" spans="2:27" ht="12.75" x14ac:dyDescent="0.2">
      <c r="B906" s="44"/>
      <c r="C906" s="10"/>
      <c r="D906" s="10"/>
      <c r="E906" s="39"/>
      <c r="F906" s="39"/>
      <c r="G906" s="39"/>
      <c r="H906" s="39"/>
      <c r="I906" s="9"/>
      <c r="J906" s="9"/>
      <c r="K906" s="39"/>
      <c r="L906" s="39"/>
      <c r="M906" s="39"/>
      <c r="N906" s="9"/>
      <c r="O906" s="39"/>
      <c r="P906" s="39"/>
      <c r="Q906" s="39"/>
      <c r="R906" s="10"/>
      <c r="X906" s="12"/>
      <c r="Y906" s="12"/>
      <c r="AA906" s="13"/>
    </row>
    <row r="907" spans="2:27" ht="12.75" x14ac:dyDescent="0.2">
      <c r="B907" s="44"/>
      <c r="C907" s="10"/>
      <c r="D907" s="10"/>
      <c r="E907" s="39"/>
      <c r="F907" s="39"/>
      <c r="G907" s="39"/>
      <c r="H907" s="39"/>
      <c r="I907" s="9"/>
      <c r="J907" s="9"/>
      <c r="K907" s="39"/>
      <c r="L907" s="39"/>
      <c r="M907" s="39"/>
      <c r="N907" s="9"/>
      <c r="O907" s="39"/>
      <c r="P907" s="39"/>
      <c r="Q907" s="39"/>
      <c r="R907" s="10"/>
      <c r="X907" s="12"/>
      <c r="Y907" s="12"/>
      <c r="AA907" s="13"/>
    </row>
    <row r="908" spans="2:27" ht="12.75" x14ac:dyDescent="0.2">
      <c r="B908" s="44"/>
      <c r="C908" s="10"/>
      <c r="D908" s="10"/>
      <c r="E908" s="39"/>
      <c r="F908" s="39"/>
      <c r="G908" s="39"/>
      <c r="H908" s="39"/>
      <c r="I908" s="9"/>
      <c r="J908" s="9"/>
      <c r="K908" s="39"/>
      <c r="L908" s="39"/>
      <c r="M908" s="39"/>
      <c r="N908" s="9"/>
      <c r="O908" s="39"/>
      <c r="P908" s="39"/>
      <c r="Q908" s="39"/>
      <c r="R908" s="10"/>
      <c r="X908" s="12"/>
      <c r="Y908" s="12"/>
      <c r="AA908" s="13"/>
    </row>
    <row r="909" spans="2:27" ht="12.75" x14ac:dyDescent="0.2">
      <c r="B909" s="44"/>
      <c r="C909" s="10"/>
      <c r="D909" s="10"/>
      <c r="E909" s="39"/>
      <c r="F909" s="39"/>
      <c r="G909" s="39"/>
      <c r="H909" s="39"/>
      <c r="I909" s="9"/>
      <c r="J909" s="9"/>
      <c r="K909" s="39"/>
      <c r="L909" s="39"/>
      <c r="M909" s="39"/>
      <c r="N909" s="9"/>
      <c r="O909" s="39"/>
      <c r="P909" s="39"/>
      <c r="Q909" s="39"/>
      <c r="R909" s="10"/>
      <c r="X909" s="12"/>
      <c r="Y909" s="12"/>
      <c r="AA909" s="13"/>
    </row>
    <row r="910" spans="2:27" ht="12.75" x14ac:dyDescent="0.2">
      <c r="B910" s="44"/>
      <c r="C910" s="10"/>
      <c r="D910" s="10"/>
      <c r="E910" s="39"/>
      <c r="F910" s="39"/>
      <c r="G910" s="39"/>
      <c r="H910" s="39"/>
      <c r="I910" s="9"/>
      <c r="J910" s="9"/>
      <c r="K910" s="39"/>
      <c r="L910" s="39"/>
      <c r="M910" s="39"/>
      <c r="N910" s="9"/>
      <c r="O910" s="39"/>
      <c r="P910" s="39"/>
      <c r="Q910" s="39"/>
      <c r="R910" s="10"/>
      <c r="X910" s="12"/>
      <c r="Y910" s="12"/>
      <c r="AA910" s="13"/>
    </row>
    <row r="911" spans="2:27" ht="12.75" x14ac:dyDescent="0.2">
      <c r="B911" s="44"/>
      <c r="C911" s="10"/>
      <c r="D911" s="10"/>
      <c r="E911" s="39"/>
      <c r="F911" s="39"/>
      <c r="G911" s="39"/>
      <c r="H911" s="39"/>
      <c r="I911" s="9"/>
      <c r="J911" s="9"/>
      <c r="K911" s="39"/>
      <c r="L911" s="39"/>
      <c r="M911" s="39"/>
      <c r="N911" s="9"/>
      <c r="O911" s="39"/>
      <c r="P911" s="39"/>
      <c r="Q911" s="39"/>
      <c r="R911" s="10"/>
      <c r="X911" s="12"/>
      <c r="Y911" s="12"/>
      <c r="AA911" s="13"/>
    </row>
    <row r="912" spans="2:27" ht="12.75" x14ac:dyDescent="0.2">
      <c r="B912" s="44"/>
      <c r="C912" s="10"/>
      <c r="D912" s="10"/>
      <c r="E912" s="39"/>
      <c r="F912" s="39"/>
      <c r="G912" s="39"/>
      <c r="H912" s="39"/>
      <c r="I912" s="9"/>
      <c r="J912" s="9"/>
      <c r="K912" s="39"/>
      <c r="L912" s="39"/>
      <c r="M912" s="39"/>
      <c r="N912" s="9"/>
      <c r="O912" s="39"/>
      <c r="P912" s="39"/>
      <c r="Q912" s="39"/>
      <c r="R912" s="10"/>
      <c r="X912" s="12"/>
      <c r="Y912" s="12"/>
      <c r="AA912" s="13"/>
    </row>
    <row r="913" spans="2:27" ht="12.75" x14ac:dyDescent="0.2">
      <c r="B913" s="44"/>
      <c r="C913" s="10"/>
      <c r="D913" s="10"/>
      <c r="E913" s="39"/>
      <c r="F913" s="39"/>
      <c r="G913" s="39"/>
      <c r="H913" s="39"/>
      <c r="I913" s="9"/>
      <c r="J913" s="9"/>
      <c r="K913" s="39"/>
      <c r="L913" s="39"/>
      <c r="M913" s="39"/>
      <c r="N913" s="9"/>
      <c r="O913" s="39"/>
      <c r="P913" s="39"/>
      <c r="Q913" s="39"/>
      <c r="R913" s="10"/>
      <c r="X913" s="12"/>
      <c r="Y913" s="12"/>
      <c r="AA913" s="13"/>
    </row>
    <row r="914" spans="2:27" ht="12.75" x14ac:dyDescent="0.2">
      <c r="B914" s="44"/>
      <c r="C914" s="10"/>
      <c r="D914" s="10"/>
      <c r="E914" s="39"/>
      <c r="F914" s="39"/>
      <c r="G914" s="39"/>
      <c r="H914" s="39"/>
      <c r="I914" s="9"/>
      <c r="J914" s="9"/>
      <c r="K914" s="39"/>
      <c r="L914" s="39"/>
      <c r="M914" s="39"/>
      <c r="N914" s="9"/>
      <c r="O914" s="39"/>
      <c r="P914" s="39"/>
      <c r="Q914" s="39"/>
      <c r="R914" s="10"/>
      <c r="X914" s="12"/>
      <c r="Y914" s="12"/>
      <c r="AA914" s="13"/>
    </row>
    <row r="915" spans="2:27" ht="12.75" x14ac:dyDescent="0.2">
      <c r="B915" s="44"/>
      <c r="C915" s="10"/>
      <c r="D915" s="10"/>
      <c r="E915" s="39"/>
      <c r="F915" s="39"/>
      <c r="G915" s="39"/>
      <c r="H915" s="39"/>
      <c r="I915" s="9"/>
      <c r="J915" s="9"/>
      <c r="K915" s="39"/>
      <c r="L915" s="39"/>
      <c r="M915" s="39"/>
      <c r="N915" s="9"/>
      <c r="O915" s="39"/>
      <c r="P915" s="39"/>
      <c r="Q915" s="39"/>
      <c r="R915" s="10"/>
      <c r="X915" s="12"/>
      <c r="Y915" s="12"/>
      <c r="AA915" s="13"/>
    </row>
    <row r="916" spans="2:27" ht="12.75" x14ac:dyDescent="0.2">
      <c r="B916" s="44"/>
      <c r="C916" s="10"/>
      <c r="D916" s="10"/>
      <c r="E916" s="39"/>
      <c r="F916" s="39"/>
      <c r="G916" s="39"/>
      <c r="H916" s="39"/>
      <c r="I916" s="9"/>
      <c r="J916" s="9"/>
      <c r="K916" s="39"/>
      <c r="L916" s="39"/>
      <c r="M916" s="39"/>
      <c r="N916" s="9"/>
      <c r="O916" s="39"/>
      <c r="P916" s="39"/>
      <c r="Q916" s="39"/>
      <c r="R916" s="10"/>
      <c r="X916" s="12"/>
      <c r="Y916" s="12"/>
      <c r="AA916" s="13"/>
    </row>
    <row r="917" spans="2:27" ht="12.75" x14ac:dyDescent="0.2">
      <c r="B917" s="44"/>
      <c r="C917" s="10"/>
      <c r="D917" s="10"/>
      <c r="E917" s="39"/>
      <c r="F917" s="39"/>
      <c r="G917" s="39"/>
      <c r="H917" s="39"/>
      <c r="I917" s="9"/>
      <c r="J917" s="9"/>
      <c r="K917" s="39"/>
      <c r="L917" s="39"/>
      <c r="M917" s="39"/>
      <c r="N917" s="9"/>
      <c r="O917" s="39"/>
      <c r="P917" s="39"/>
      <c r="Q917" s="39"/>
      <c r="R917" s="10"/>
      <c r="X917" s="12"/>
      <c r="Y917" s="12"/>
      <c r="AA917" s="13"/>
    </row>
    <row r="918" spans="2:27" ht="12.75" x14ac:dyDescent="0.2">
      <c r="B918" s="44"/>
      <c r="C918" s="10"/>
      <c r="D918" s="10"/>
      <c r="E918" s="39"/>
      <c r="F918" s="39"/>
      <c r="G918" s="39"/>
      <c r="H918" s="39"/>
      <c r="I918" s="9"/>
      <c r="J918" s="9"/>
      <c r="K918" s="39"/>
      <c r="L918" s="39"/>
      <c r="M918" s="39"/>
      <c r="N918" s="9"/>
      <c r="O918" s="39"/>
      <c r="P918" s="39"/>
      <c r="Q918" s="39"/>
      <c r="R918" s="10"/>
      <c r="X918" s="12"/>
      <c r="Y918" s="12"/>
      <c r="AA918" s="13"/>
    </row>
    <row r="919" spans="2:27" ht="12.75" x14ac:dyDescent="0.2">
      <c r="B919" s="44"/>
      <c r="C919" s="10"/>
      <c r="D919" s="10"/>
      <c r="E919" s="39"/>
      <c r="F919" s="39"/>
      <c r="G919" s="39"/>
      <c r="H919" s="39"/>
      <c r="I919" s="9"/>
      <c r="J919" s="9"/>
      <c r="K919" s="39"/>
      <c r="L919" s="39"/>
      <c r="M919" s="39"/>
      <c r="N919" s="9"/>
      <c r="O919" s="39"/>
      <c r="P919" s="39"/>
      <c r="Q919" s="39"/>
      <c r="R919" s="10"/>
      <c r="X919" s="12"/>
      <c r="Y919" s="12"/>
      <c r="AA919" s="13"/>
    </row>
    <row r="920" spans="2:27" ht="12.75" x14ac:dyDescent="0.2">
      <c r="B920" s="44"/>
      <c r="C920" s="10"/>
      <c r="D920" s="10"/>
      <c r="E920" s="39"/>
      <c r="F920" s="39"/>
      <c r="G920" s="39"/>
      <c r="H920" s="39"/>
      <c r="I920" s="9"/>
      <c r="J920" s="9"/>
      <c r="K920" s="39"/>
      <c r="L920" s="39"/>
      <c r="M920" s="39"/>
      <c r="N920" s="9"/>
      <c r="O920" s="39"/>
      <c r="P920" s="39"/>
      <c r="Q920" s="39"/>
      <c r="R920" s="10"/>
      <c r="X920" s="12"/>
      <c r="Y920" s="12"/>
      <c r="AA920" s="13"/>
    </row>
    <row r="921" spans="2:27" ht="12.75" x14ac:dyDescent="0.2">
      <c r="B921" s="44"/>
      <c r="C921" s="10"/>
      <c r="D921" s="10"/>
      <c r="E921" s="39"/>
      <c r="F921" s="39"/>
      <c r="G921" s="39"/>
      <c r="H921" s="39"/>
      <c r="I921" s="9"/>
      <c r="J921" s="9"/>
      <c r="K921" s="39"/>
      <c r="L921" s="39"/>
      <c r="M921" s="39"/>
      <c r="N921" s="9"/>
      <c r="O921" s="39"/>
      <c r="P921" s="39"/>
      <c r="Q921" s="39"/>
      <c r="R921" s="10"/>
      <c r="X921" s="12"/>
      <c r="Y921" s="12"/>
      <c r="AA921" s="13"/>
    </row>
    <row r="922" spans="2:27" ht="12.75" x14ac:dyDescent="0.2">
      <c r="B922" s="44"/>
      <c r="C922" s="10"/>
      <c r="D922" s="10"/>
      <c r="E922" s="39"/>
      <c r="F922" s="39"/>
      <c r="G922" s="39"/>
      <c r="H922" s="39"/>
      <c r="I922" s="9"/>
      <c r="J922" s="9"/>
      <c r="K922" s="39"/>
      <c r="L922" s="39"/>
      <c r="M922" s="39"/>
      <c r="N922" s="9"/>
      <c r="O922" s="39"/>
      <c r="P922" s="39"/>
      <c r="Q922" s="39"/>
      <c r="R922" s="10"/>
      <c r="X922" s="12"/>
      <c r="Y922" s="12"/>
      <c r="AA922" s="13"/>
    </row>
    <row r="923" spans="2:27" ht="12.75" x14ac:dyDescent="0.2">
      <c r="B923" s="44"/>
      <c r="C923" s="10"/>
      <c r="D923" s="10"/>
      <c r="E923" s="39"/>
      <c r="F923" s="39"/>
      <c r="G923" s="39"/>
      <c r="H923" s="39"/>
      <c r="I923" s="9"/>
      <c r="J923" s="9"/>
      <c r="K923" s="39"/>
      <c r="L923" s="39"/>
      <c r="M923" s="39"/>
      <c r="N923" s="9"/>
      <c r="O923" s="39"/>
      <c r="P923" s="39"/>
      <c r="Q923" s="39"/>
      <c r="R923" s="10"/>
      <c r="X923" s="12"/>
      <c r="Y923" s="12"/>
      <c r="AA923" s="13"/>
    </row>
    <row r="924" spans="2:27" ht="12.75" x14ac:dyDescent="0.2">
      <c r="B924" s="44"/>
      <c r="C924" s="10"/>
      <c r="D924" s="10"/>
      <c r="E924" s="39"/>
      <c r="F924" s="39"/>
      <c r="G924" s="39"/>
      <c r="H924" s="39"/>
      <c r="I924" s="9"/>
      <c r="J924" s="9"/>
      <c r="K924" s="39"/>
      <c r="L924" s="39"/>
      <c r="M924" s="39"/>
      <c r="N924" s="9"/>
      <c r="O924" s="39"/>
      <c r="P924" s="39"/>
      <c r="Q924" s="39"/>
      <c r="R924" s="10"/>
      <c r="X924" s="12"/>
      <c r="Y924" s="12"/>
      <c r="AA924" s="13"/>
    </row>
    <row r="925" spans="2:27" ht="12.75" x14ac:dyDescent="0.2">
      <c r="B925" s="44"/>
      <c r="C925" s="10"/>
      <c r="D925" s="10"/>
      <c r="E925" s="39"/>
      <c r="F925" s="39"/>
      <c r="G925" s="39"/>
      <c r="H925" s="39"/>
      <c r="I925" s="9"/>
      <c r="J925" s="9"/>
      <c r="K925" s="39"/>
      <c r="L925" s="39"/>
      <c r="M925" s="39"/>
      <c r="N925" s="9"/>
      <c r="O925" s="39"/>
      <c r="P925" s="39"/>
      <c r="Q925" s="39"/>
      <c r="R925" s="10"/>
      <c r="X925" s="12"/>
      <c r="Y925" s="12"/>
      <c r="AA925" s="13"/>
    </row>
    <row r="926" spans="2:27" ht="12.75" x14ac:dyDescent="0.2">
      <c r="B926" s="44"/>
      <c r="C926" s="10"/>
      <c r="D926" s="10"/>
      <c r="E926" s="39"/>
      <c r="F926" s="39"/>
      <c r="G926" s="39"/>
      <c r="H926" s="39"/>
      <c r="I926" s="9"/>
      <c r="J926" s="9"/>
      <c r="K926" s="39"/>
      <c r="L926" s="39"/>
      <c r="M926" s="39"/>
      <c r="N926" s="9"/>
      <c r="O926" s="39"/>
      <c r="P926" s="39"/>
      <c r="Q926" s="39"/>
      <c r="R926" s="10"/>
      <c r="X926" s="12"/>
      <c r="Y926" s="12"/>
      <c r="AA926" s="13"/>
    </row>
    <row r="927" spans="2:27" ht="12.75" x14ac:dyDescent="0.2">
      <c r="B927" s="44"/>
      <c r="C927" s="10"/>
      <c r="D927" s="10"/>
      <c r="E927" s="39"/>
      <c r="F927" s="39"/>
      <c r="G927" s="39"/>
      <c r="H927" s="39"/>
      <c r="I927" s="9"/>
      <c r="J927" s="9"/>
      <c r="K927" s="39"/>
      <c r="L927" s="39"/>
      <c r="M927" s="39"/>
      <c r="N927" s="9"/>
      <c r="O927" s="39"/>
      <c r="P927" s="39"/>
      <c r="Q927" s="39"/>
      <c r="R927" s="10"/>
      <c r="X927" s="12"/>
      <c r="Y927" s="12"/>
      <c r="AA927" s="13"/>
    </row>
    <row r="928" spans="2:27" ht="12.75" x14ac:dyDescent="0.2">
      <c r="B928" s="44"/>
      <c r="C928" s="10"/>
      <c r="D928" s="10"/>
      <c r="E928" s="39"/>
      <c r="F928" s="39"/>
      <c r="G928" s="39"/>
      <c r="H928" s="39"/>
      <c r="I928" s="9"/>
      <c r="J928" s="9"/>
      <c r="K928" s="39"/>
      <c r="L928" s="39"/>
      <c r="M928" s="39"/>
      <c r="N928" s="9"/>
      <c r="O928" s="39"/>
      <c r="P928" s="39"/>
      <c r="Q928" s="39"/>
      <c r="R928" s="10"/>
      <c r="X928" s="12"/>
      <c r="Y928" s="12"/>
      <c r="AA928" s="13"/>
    </row>
    <row r="929" spans="2:27" ht="12.75" x14ac:dyDescent="0.2">
      <c r="B929" s="44"/>
      <c r="C929" s="10"/>
      <c r="D929" s="10"/>
      <c r="E929" s="39"/>
      <c r="F929" s="39"/>
      <c r="G929" s="39"/>
      <c r="H929" s="39"/>
      <c r="I929" s="9"/>
      <c r="J929" s="9"/>
      <c r="K929" s="39"/>
      <c r="L929" s="39"/>
      <c r="M929" s="39"/>
      <c r="N929" s="9"/>
      <c r="O929" s="39"/>
      <c r="P929" s="39"/>
      <c r="Q929" s="39"/>
      <c r="R929" s="10"/>
      <c r="X929" s="12"/>
      <c r="Y929" s="12"/>
      <c r="AA929" s="13"/>
    </row>
    <row r="930" spans="2:27" ht="12.75" x14ac:dyDescent="0.2">
      <c r="B930" s="44"/>
      <c r="C930" s="10"/>
      <c r="D930" s="10"/>
      <c r="E930" s="39"/>
      <c r="F930" s="39"/>
      <c r="G930" s="39"/>
      <c r="H930" s="39"/>
      <c r="I930" s="9"/>
      <c r="J930" s="9"/>
      <c r="K930" s="39"/>
      <c r="L930" s="39"/>
      <c r="M930" s="39"/>
      <c r="N930" s="9"/>
      <c r="O930" s="39"/>
      <c r="P930" s="39"/>
      <c r="Q930" s="39"/>
      <c r="R930" s="10"/>
      <c r="X930" s="12"/>
      <c r="Y930" s="12"/>
      <c r="AA930" s="13"/>
    </row>
    <row r="931" spans="2:27" ht="12.75" x14ac:dyDescent="0.2">
      <c r="B931" s="44"/>
      <c r="C931" s="10"/>
      <c r="D931" s="10"/>
      <c r="E931" s="39"/>
      <c r="F931" s="39"/>
      <c r="G931" s="39"/>
      <c r="H931" s="39"/>
      <c r="I931" s="9"/>
      <c r="J931" s="9"/>
      <c r="K931" s="39"/>
      <c r="L931" s="39"/>
      <c r="M931" s="39"/>
      <c r="N931" s="9"/>
      <c r="O931" s="39"/>
      <c r="P931" s="39"/>
      <c r="Q931" s="39"/>
      <c r="R931" s="10"/>
      <c r="X931" s="12"/>
      <c r="Y931" s="12"/>
      <c r="AA931" s="13"/>
    </row>
    <row r="932" spans="2:27" ht="12.75" x14ac:dyDescent="0.2">
      <c r="B932" s="44"/>
      <c r="C932" s="10"/>
      <c r="D932" s="10"/>
      <c r="E932" s="39"/>
      <c r="F932" s="39"/>
      <c r="G932" s="39"/>
      <c r="H932" s="39"/>
      <c r="I932" s="9"/>
      <c r="J932" s="9"/>
      <c r="K932" s="39"/>
      <c r="L932" s="39"/>
      <c r="M932" s="39"/>
      <c r="N932" s="9"/>
      <c r="O932" s="39"/>
      <c r="P932" s="39"/>
      <c r="Q932" s="39"/>
      <c r="R932" s="10"/>
      <c r="X932" s="12"/>
      <c r="Y932" s="12"/>
      <c r="AA932" s="13"/>
    </row>
    <row r="933" spans="2:27" ht="12.75" x14ac:dyDescent="0.2">
      <c r="B933" s="44"/>
      <c r="C933" s="10"/>
      <c r="D933" s="10"/>
      <c r="E933" s="39"/>
      <c r="F933" s="39"/>
      <c r="G933" s="39"/>
      <c r="H933" s="39"/>
      <c r="I933" s="9"/>
      <c r="J933" s="9"/>
      <c r="K933" s="39"/>
      <c r="L933" s="39"/>
      <c r="M933" s="39"/>
      <c r="N933" s="9"/>
      <c r="O933" s="39"/>
      <c r="P933" s="39"/>
      <c r="Q933" s="39"/>
      <c r="R933" s="10"/>
      <c r="X933" s="12"/>
      <c r="Y933" s="12"/>
      <c r="AA933" s="13"/>
    </row>
    <row r="934" spans="2:27" ht="12.75" x14ac:dyDescent="0.2">
      <c r="B934" s="44"/>
      <c r="C934" s="10"/>
      <c r="D934" s="10"/>
      <c r="E934" s="39"/>
      <c r="F934" s="39"/>
      <c r="G934" s="39"/>
      <c r="H934" s="39"/>
      <c r="I934" s="9"/>
      <c r="J934" s="9"/>
      <c r="K934" s="39"/>
      <c r="L934" s="39"/>
      <c r="M934" s="39"/>
      <c r="N934" s="9"/>
      <c r="O934" s="39"/>
      <c r="P934" s="39"/>
      <c r="Q934" s="39"/>
      <c r="R934" s="10"/>
      <c r="X934" s="12"/>
      <c r="Y934" s="12"/>
      <c r="AA934" s="13"/>
    </row>
    <row r="935" spans="2:27" ht="12.75" x14ac:dyDescent="0.2">
      <c r="B935" s="44"/>
      <c r="C935" s="10"/>
      <c r="D935" s="10"/>
      <c r="E935" s="39"/>
      <c r="F935" s="39"/>
      <c r="G935" s="39"/>
      <c r="H935" s="39"/>
      <c r="I935" s="9"/>
      <c r="J935" s="9"/>
      <c r="K935" s="39"/>
      <c r="L935" s="39"/>
      <c r="M935" s="39"/>
      <c r="N935" s="9"/>
      <c r="O935" s="39"/>
      <c r="P935" s="39"/>
      <c r="Q935" s="39"/>
      <c r="R935" s="10"/>
      <c r="X935" s="12"/>
      <c r="Y935" s="12"/>
      <c r="AA935" s="13"/>
    </row>
    <row r="936" spans="2:27" ht="12.75" x14ac:dyDescent="0.2">
      <c r="B936" s="44"/>
      <c r="C936" s="10"/>
      <c r="D936" s="10"/>
      <c r="E936" s="39"/>
      <c r="F936" s="39"/>
      <c r="G936" s="39"/>
      <c r="H936" s="39"/>
      <c r="I936" s="9"/>
      <c r="J936" s="9"/>
      <c r="K936" s="39"/>
      <c r="L936" s="39"/>
      <c r="M936" s="39"/>
      <c r="N936" s="9"/>
      <c r="O936" s="39"/>
      <c r="P936" s="39"/>
      <c r="Q936" s="39"/>
      <c r="R936" s="10"/>
      <c r="X936" s="12"/>
      <c r="Y936" s="12"/>
      <c r="AA936" s="13"/>
    </row>
    <row r="937" spans="2:27" ht="12.75" x14ac:dyDescent="0.2">
      <c r="B937" s="44"/>
      <c r="C937" s="10"/>
      <c r="D937" s="10"/>
      <c r="E937" s="39"/>
      <c r="F937" s="39"/>
      <c r="G937" s="39"/>
      <c r="H937" s="39"/>
      <c r="I937" s="9"/>
      <c r="J937" s="9"/>
      <c r="K937" s="39"/>
      <c r="L937" s="39"/>
      <c r="M937" s="39"/>
      <c r="N937" s="9"/>
      <c r="O937" s="39"/>
      <c r="P937" s="39"/>
      <c r="Q937" s="39"/>
      <c r="R937" s="10"/>
      <c r="X937" s="12"/>
      <c r="Y937" s="12"/>
      <c r="AA937" s="13"/>
    </row>
    <row r="938" spans="2:27" ht="12.75" x14ac:dyDescent="0.2">
      <c r="B938" s="44"/>
      <c r="C938" s="10"/>
      <c r="D938" s="10"/>
      <c r="E938" s="39"/>
      <c r="F938" s="39"/>
      <c r="G938" s="39"/>
      <c r="H938" s="39"/>
      <c r="I938" s="9"/>
      <c r="J938" s="9"/>
      <c r="K938" s="39"/>
      <c r="L938" s="39"/>
      <c r="M938" s="39"/>
      <c r="N938" s="9"/>
      <c r="O938" s="39"/>
      <c r="P938" s="39"/>
      <c r="Q938" s="39"/>
      <c r="R938" s="10"/>
      <c r="X938" s="12"/>
      <c r="Y938" s="12"/>
      <c r="AA938" s="13"/>
    </row>
    <row r="939" spans="2:27" ht="12.75" x14ac:dyDescent="0.2">
      <c r="B939" s="44"/>
      <c r="C939" s="10"/>
      <c r="D939" s="10"/>
      <c r="E939" s="39"/>
      <c r="F939" s="39"/>
      <c r="G939" s="39"/>
      <c r="H939" s="39"/>
      <c r="I939" s="9"/>
      <c r="J939" s="9"/>
      <c r="K939" s="39"/>
      <c r="L939" s="39"/>
      <c r="M939" s="39"/>
      <c r="N939" s="9"/>
      <c r="O939" s="39"/>
      <c r="P939" s="39"/>
      <c r="Q939" s="39"/>
      <c r="R939" s="10"/>
      <c r="X939" s="12"/>
      <c r="Y939" s="12"/>
      <c r="AA939" s="13"/>
    </row>
    <row r="940" spans="2:27" ht="12.75" x14ac:dyDescent="0.2">
      <c r="B940" s="44"/>
      <c r="C940" s="10"/>
      <c r="D940" s="10"/>
      <c r="E940" s="39"/>
      <c r="F940" s="39"/>
      <c r="G940" s="39"/>
      <c r="H940" s="39"/>
      <c r="I940" s="9"/>
      <c r="J940" s="9"/>
      <c r="K940" s="39"/>
      <c r="L940" s="39"/>
      <c r="M940" s="39"/>
      <c r="N940" s="9"/>
      <c r="O940" s="39"/>
      <c r="P940" s="39"/>
      <c r="Q940" s="39"/>
      <c r="R940" s="10"/>
      <c r="X940" s="12"/>
      <c r="Y940" s="12"/>
      <c r="AA940" s="13"/>
    </row>
    <row r="941" spans="2:27" ht="12.75" x14ac:dyDescent="0.2">
      <c r="B941" s="44"/>
      <c r="C941" s="10"/>
      <c r="D941" s="10"/>
      <c r="E941" s="39"/>
      <c r="F941" s="39"/>
      <c r="G941" s="39"/>
      <c r="H941" s="39"/>
      <c r="I941" s="9"/>
      <c r="J941" s="9"/>
      <c r="K941" s="39"/>
      <c r="L941" s="39"/>
      <c r="M941" s="39"/>
      <c r="N941" s="9"/>
      <c r="O941" s="39"/>
      <c r="P941" s="39"/>
      <c r="Q941" s="39"/>
      <c r="R941" s="10"/>
      <c r="X941" s="12"/>
      <c r="Y941" s="12"/>
      <c r="AA941" s="13"/>
    </row>
    <row r="942" spans="2:27" ht="12.75" x14ac:dyDescent="0.2">
      <c r="B942" s="44"/>
      <c r="C942" s="10"/>
      <c r="D942" s="10"/>
      <c r="E942" s="39"/>
      <c r="F942" s="39"/>
      <c r="G942" s="39"/>
      <c r="H942" s="39"/>
      <c r="I942" s="9"/>
      <c r="J942" s="9"/>
      <c r="K942" s="39"/>
      <c r="L942" s="39"/>
      <c r="M942" s="39"/>
      <c r="N942" s="9"/>
      <c r="O942" s="39"/>
      <c r="P942" s="39"/>
      <c r="Q942" s="39"/>
      <c r="R942" s="10"/>
      <c r="X942" s="12"/>
      <c r="Y942" s="12"/>
      <c r="AA942" s="13"/>
    </row>
    <row r="943" spans="2:27" ht="12.75" x14ac:dyDescent="0.2">
      <c r="B943" s="44"/>
      <c r="C943" s="10"/>
      <c r="D943" s="10"/>
      <c r="E943" s="39"/>
      <c r="F943" s="39"/>
      <c r="G943" s="39"/>
      <c r="H943" s="39"/>
      <c r="I943" s="9"/>
      <c r="J943" s="9"/>
      <c r="K943" s="39"/>
      <c r="L943" s="39"/>
      <c r="M943" s="39"/>
      <c r="N943" s="9"/>
      <c r="O943" s="39"/>
      <c r="P943" s="39"/>
      <c r="Q943" s="39"/>
      <c r="R943" s="10"/>
      <c r="X943" s="12"/>
      <c r="Y943" s="12"/>
      <c r="AA943" s="13"/>
    </row>
    <row r="944" spans="2:27" ht="12.75" x14ac:dyDescent="0.2">
      <c r="B944" s="44"/>
      <c r="C944" s="10"/>
      <c r="D944" s="10"/>
      <c r="E944" s="39"/>
      <c r="F944" s="39"/>
      <c r="G944" s="39"/>
      <c r="H944" s="39"/>
      <c r="I944" s="9"/>
      <c r="J944" s="9"/>
      <c r="K944" s="39"/>
      <c r="L944" s="39"/>
      <c r="M944" s="39"/>
      <c r="N944" s="9"/>
      <c r="O944" s="39"/>
      <c r="P944" s="39"/>
      <c r="Q944" s="39"/>
      <c r="R944" s="10"/>
      <c r="X944" s="12"/>
      <c r="Y944" s="12"/>
      <c r="AA944" s="13"/>
    </row>
    <row r="945" spans="2:27" ht="12.75" x14ac:dyDescent="0.2">
      <c r="B945" s="44"/>
      <c r="C945" s="10"/>
      <c r="D945" s="10"/>
      <c r="E945" s="39"/>
      <c r="F945" s="39"/>
      <c r="G945" s="39"/>
      <c r="H945" s="39"/>
      <c r="I945" s="9"/>
      <c r="J945" s="9"/>
      <c r="K945" s="39"/>
      <c r="L945" s="39"/>
      <c r="M945" s="39"/>
      <c r="N945" s="9"/>
      <c r="O945" s="39"/>
      <c r="P945" s="39"/>
      <c r="Q945" s="39"/>
      <c r="R945" s="10"/>
      <c r="X945" s="12"/>
      <c r="Y945" s="12"/>
      <c r="AA945" s="13"/>
    </row>
    <row r="946" spans="2:27" ht="12.75" x14ac:dyDescent="0.2">
      <c r="B946" s="44"/>
      <c r="C946" s="10"/>
      <c r="D946" s="10"/>
      <c r="E946" s="39"/>
      <c r="F946" s="39"/>
      <c r="G946" s="39"/>
      <c r="H946" s="39"/>
      <c r="I946" s="9"/>
      <c r="J946" s="9"/>
      <c r="K946" s="39"/>
      <c r="L946" s="39"/>
      <c r="M946" s="39"/>
      <c r="N946" s="9"/>
      <c r="O946" s="39"/>
      <c r="P946" s="39"/>
      <c r="Q946" s="39"/>
      <c r="R946" s="10"/>
      <c r="X946" s="12"/>
      <c r="Y946" s="12"/>
      <c r="AA946" s="13"/>
    </row>
    <row r="947" spans="2:27" ht="12.75" x14ac:dyDescent="0.2">
      <c r="B947" s="44"/>
      <c r="C947" s="10"/>
      <c r="D947" s="10"/>
      <c r="E947" s="39"/>
      <c r="F947" s="39"/>
      <c r="G947" s="39"/>
      <c r="H947" s="39"/>
      <c r="I947" s="9"/>
      <c r="J947" s="9"/>
      <c r="K947" s="39"/>
      <c r="L947" s="39"/>
      <c r="M947" s="39"/>
      <c r="N947" s="9"/>
      <c r="O947" s="39"/>
      <c r="P947" s="39"/>
      <c r="Q947" s="39"/>
      <c r="R947" s="10"/>
      <c r="X947" s="12"/>
      <c r="Y947" s="12"/>
      <c r="AA947" s="13"/>
    </row>
    <row r="948" spans="2:27" ht="12.75" x14ac:dyDescent="0.2">
      <c r="B948" s="44"/>
      <c r="C948" s="10"/>
      <c r="D948" s="10"/>
      <c r="E948" s="39"/>
      <c r="F948" s="39"/>
      <c r="G948" s="39"/>
      <c r="H948" s="39"/>
      <c r="I948" s="9"/>
      <c r="J948" s="9"/>
      <c r="K948" s="39"/>
      <c r="L948" s="39"/>
      <c r="M948" s="39"/>
      <c r="N948" s="9"/>
      <c r="O948" s="39"/>
      <c r="P948" s="39"/>
      <c r="Q948" s="39"/>
      <c r="R948" s="10"/>
      <c r="X948" s="12"/>
      <c r="Y948" s="12"/>
      <c r="AA948" s="13"/>
    </row>
    <row r="949" spans="2:27" ht="12.75" x14ac:dyDescent="0.2">
      <c r="B949" s="44"/>
      <c r="C949" s="10"/>
      <c r="D949" s="10"/>
      <c r="E949" s="39"/>
      <c r="F949" s="39"/>
      <c r="G949" s="39"/>
      <c r="H949" s="39"/>
      <c r="I949" s="9"/>
      <c r="J949" s="9"/>
      <c r="K949" s="39"/>
      <c r="L949" s="39"/>
      <c r="M949" s="39"/>
      <c r="N949" s="9"/>
      <c r="O949" s="39"/>
      <c r="P949" s="39"/>
      <c r="Q949" s="39"/>
      <c r="R949" s="10"/>
      <c r="X949" s="12"/>
      <c r="Y949" s="12"/>
      <c r="AA949" s="13"/>
    </row>
    <row r="950" spans="2:27" ht="12.75" x14ac:dyDescent="0.2">
      <c r="B950" s="44"/>
      <c r="C950" s="10"/>
      <c r="D950" s="10"/>
      <c r="E950" s="39"/>
      <c r="F950" s="39"/>
      <c r="G950" s="39"/>
      <c r="H950" s="39"/>
      <c r="I950" s="9"/>
      <c r="J950" s="9"/>
      <c r="K950" s="39"/>
      <c r="L950" s="39"/>
      <c r="M950" s="39"/>
      <c r="N950" s="9"/>
      <c r="O950" s="39"/>
      <c r="P950" s="39"/>
      <c r="Q950" s="39"/>
      <c r="R950" s="10"/>
      <c r="X950" s="12"/>
      <c r="Y950" s="12"/>
      <c r="AA950" s="13"/>
    </row>
    <row r="951" spans="2:27" ht="12.75" x14ac:dyDescent="0.2">
      <c r="B951" s="44"/>
      <c r="C951" s="10"/>
      <c r="D951" s="10"/>
      <c r="E951" s="39"/>
      <c r="F951" s="39"/>
      <c r="G951" s="39"/>
      <c r="H951" s="39"/>
      <c r="I951" s="9"/>
      <c r="J951" s="9"/>
      <c r="K951" s="39"/>
      <c r="L951" s="39"/>
      <c r="M951" s="39"/>
      <c r="N951" s="9"/>
      <c r="O951" s="39"/>
      <c r="P951" s="39"/>
      <c r="Q951" s="39"/>
      <c r="R951" s="10"/>
      <c r="X951" s="12"/>
      <c r="Y951" s="12"/>
      <c r="AA951" s="13"/>
    </row>
    <row r="952" spans="2:27" ht="12.75" x14ac:dyDescent="0.2">
      <c r="B952" s="44"/>
      <c r="C952" s="10"/>
      <c r="D952" s="10"/>
      <c r="E952" s="39"/>
      <c r="F952" s="39"/>
      <c r="G952" s="39"/>
      <c r="H952" s="39"/>
      <c r="I952" s="9"/>
      <c r="J952" s="9"/>
      <c r="K952" s="39"/>
      <c r="L952" s="39"/>
      <c r="M952" s="39"/>
      <c r="N952" s="9"/>
      <c r="O952" s="39"/>
      <c r="P952" s="39"/>
      <c r="Q952" s="39"/>
      <c r="R952" s="10"/>
      <c r="X952" s="12"/>
      <c r="Y952" s="12"/>
      <c r="AA952" s="13"/>
    </row>
    <row r="953" spans="2:27" ht="12.75" x14ac:dyDescent="0.2">
      <c r="B953" s="44"/>
      <c r="C953" s="10"/>
      <c r="D953" s="10"/>
      <c r="E953" s="39"/>
      <c r="F953" s="39"/>
      <c r="G953" s="39"/>
      <c r="H953" s="39"/>
      <c r="I953" s="9"/>
      <c r="J953" s="9"/>
      <c r="K953" s="39"/>
      <c r="L953" s="39"/>
      <c r="M953" s="39"/>
      <c r="N953" s="9"/>
      <c r="O953" s="39"/>
      <c r="P953" s="39"/>
      <c r="Q953" s="39"/>
      <c r="R953" s="10"/>
      <c r="X953" s="12"/>
      <c r="Y953" s="12"/>
      <c r="AA953" s="13"/>
    </row>
    <row r="954" spans="2:27" ht="12.75" x14ac:dyDescent="0.2">
      <c r="B954" s="44"/>
      <c r="C954" s="10"/>
      <c r="D954" s="10"/>
      <c r="E954" s="39"/>
      <c r="F954" s="39"/>
      <c r="G954" s="39"/>
      <c r="H954" s="39"/>
      <c r="I954" s="9"/>
      <c r="J954" s="9"/>
      <c r="K954" s="39"/>
      <c r="L954" s="39"/>
      <c r="M954" s="39"/>
      <c r="N954" s="9"/>
      <c r="O954" s="39"/>
      <c r="P954" s="39"/>
      <c r="Q954" s="39"/>
      <c r="R954" s="10"/>
      <c r="X954" s="12"/>
      <c r="Y954" s="12"/>
      <c r="AA954" s="13"/>
    </row>
    <row r="955" spans="2:27" ht="12.75" x14ac:dyDescent="0.2">
      <c r="B955" s="44"/>
      <c r="C955" s="10"/>
      <c r="D955" s="10"/>
      <c r="E955" s="39"/>
      <c r="F955" s="39"/>
      <c r="G955" s="39"/>
      <c r="H955" s="39"/>
      <c r="I955" s="9"/>
      <c r="J955" s="9"/>
      <c r="K955" s="39"/>
      <c r="L955" s="39"/>
      <c r="M955" s="39"/>
      <c r="N955" s="9"/>
      <c r="O955" s="39"/>
      <c r="P955" s="39"/>
      <c r="Q955" s="39"/>
      <c r="R955" s="10"/>
      <c r="X955" s="12"/>
      <c r="Y955" s="12"/>
      <c r="AA955" s="13"/>
    </row>
    <row r="956" spans="2:27" ht="12.75" x14ac:dyDescent="0.2">
      <c r="B956" s="44"/>
      <c r="C956" s="10"/>
      <c r="D956" s="10"/>
      <c r="E956" s="39"/>
      <c r="F956" s="39"/>
      <c r="G956" s="39"/>
      <c r="H956" s="39"/>
      <c r="I956" s="9"/>
      <c r="J956" s="9"/>
      <c r="K956" s="39"/>
      <c r="L956" s="39"/>
      <c r="M956" s="39"/>
      <c r="N956" s="9"/>
      <c r="O956" s="39"/>
      <c r="P956" s="39"/>
      <c r="Q956" s="39"/>
      <c r="R956" s="10"/>
      <c r="X956" s="12"/>
      <c r="Y956" s="12"/>
      <c r="AA956" s="13"/>
    </row>
    <row r="957" spans="2:27" ht="12.75" x14ac:dyDescent="0.2">
      <c r="B957" s="44"/>
      <c r="C957" s="10"/>
      <c r="D957" s="10"/>
      <c r="E957" s="39"/>
      <c r="F957" s="39"/>
      <c r="G957" s="39"/>
      <c r="H957" s="39"/>
      <c r="I957" s="9"/>
      <c r="J957" s="9"/>
      <c r="K957" s="39"/>
      <c r="L957" s="39"/>
      <c r="M957" s="39"/>
      <c r="N957" s="9"/>
      <c r="O957" s="39"/>
      <c r="P957" s="39"/>
      <c r="Q957" s="39"/>
      <c r="R957" s="10"/>
      <c r="X957" s="12"/>
      <c r="Y957" s="12"/>
      <c r="AA957" s="13"/>
    </row>
    <row r="958" spans="2:27" ht="12.75" x14ac:dyDescent="0.2">
      <c r="B958" s="44"/>
      <c r="C958" s="10"/>
      <c r="D958" s="10"/>
      <c r="E958" s="39"/>
      <c r="F958" s="39"/>
      <c r="G958" s="39"/>
      <c r="H958" s="39"/>
      <c r="I958" s="9"/>
      <c r="J958" s="9"/>
      <c r="K958" s="39"/>
      <c r="L958" s="39"/>
      <c r="M958" s="39"/>
      <c r="N958" s="9"/>
      <c r="O958" s="39"/>
      <c r="P958" s="39"/>
      <c r="Q958" s="39"/>
      <c r="R958" s="10"/>
      <c r="X958" s="12"/>
      <c r="Y958" s="12"/>
      <c r="AA958" s="13"/>
    </row>
    <row r="959" spans="2:27" ht="12.75" x14ac:dyDescent="0.2">
      <c r="B959" s="44"/>
      <c r="C959" s="10"/>
      <c r="D959" s="10"/>
      <c r="E959" s="39"/>
      <c r="F959" s="39"/>
      <c r="G959" s="39"/>
      <c r="H959" s="39"/>
      <c r="I959" s="9"/>
      <c r="J959" s="9"/>
      <c r="K959" s="39"/>
      <c r="L959" s="39"/>
      <c r="M959" s="39"/>
      <c r="N959" s="9"/>
      <c r="O959" s="39"/>
      <c r="P959" s="39"/>
      <c r="Q959" s="39"/>
      <c r="R959" s="10"/>
      <c r="X959" s="12"/>
      <c r="Y959" s="12"/>
      <c r="AA959" s="13"/>
    </row>
    <row r="960" spans="2:27" ht="12.75" x14ac:dyDescent="0.2">
      <c r="B960" s="44"/>
      <c r="C960" s="10"/>
      <c r="D960" s="10"/>
      <c r="E960" s="39"/>
      <c r="F960" s="39"/>
      <c r="G960" s="39"/>
      <c r="H960" s="39"/>
      <c r="I960" s="9"/>
      <c r="J960" s="9"/>
      <c r="K960" s="39"/>
      <c r="L960" s="39"/>
      <c r="M960" s="39"/>
      <c r="N960" s="9"/>
      <c r="O960" s="39"/>
      <c r="P960" s="39"/>
      <c r="Q960" s="39"/>
      <c r="R960" s="10"/>
      <c r="X960" s="12"/>
      <c r="Y960" s="12"/>
      <c r="AA960" s="13"/>
    </row>
    <row r="961" spans="2:27" ht="12.75" x14ac:dyDescent="0.2">
      <c r="B961" s="44"/>
      <c r="C961" s="10"/>
      <c r="D961" s="10"/>
      <c r="E961" s="39"/>
      <c r="F961" s="39"/>
      <c r="G961" s="39"/>
      <c r="H961" s="39"/>
      <c r="I961" s="9"/>
      <c r="J961" s="9"/>
      <c r="K961" s="39"/>
      <c r="L961" s="39"/>
      <c r="M961" s="39"/>
      <c r="N961" s="9"/>
      <c r="O961" s="39"/>
      <c r="P961" s="39"/>
      <c r="Q961" s="39"/>
      <c r="R961" s="10"/>
      <c r="X961" s="12"/>
      <c r="Y961" s="12"/>
      <c r="AA961" s="13"/>
    </row>
    <row r="962" spans="2:27" ht="12.75" x14ac:dyDescent="0.2">
      <c r="B962" s="44"/>
      <c r="C962" s="10"/>
      <c r="D962" s="10"/>
      <c r="E962" s="39"/>
      <c r="F962" s="39"/>
      <c r="G962" s="39"/>
      <c r="H962" s="39"/>
      <c r="I962" s="9"/>
      <c r="J962" s="9"/>
      <c r="K962" s="39"/>
      <c r="L962" s="39"/>
      <c r="M962" s="39"/>
      <c r="N962" s="9"/>
      <c r="O962" s="39"/>
      <c r="P962" s="39"/>
      <c r="Q962" s="39"/>
      <c r="R962" s="10"/>
      <c r="X962" s="12"/>
      <c r="Y962" s="12"/>
      <c r="AA962" s="13"/>
    </row>
    <row r="963" spans="2:27" ht="12.75" x14ac:dyDescent="0.2">
      <c r="B963" s="44"/>
      <c r="C963" s="10"/>
      <c r="D963" s="10"/>
      <c r="E963" s="39"/>
      <c r="F963" s="39"/>
      <c r="G963" s="39"/>
      <c r="H963" s="39"/>
      <c r="I963" s="9"/>
      <c r="J963" s="9"/>
      <c r="K963" s="39"/>
      <c r="L963" s="39"/>
      <c r="M963" s="39"/>
      <c r="N963" s="9"/>
      <c r="O963" s="39"/>
      <c r="P963" s="39"/>
      <c r="Q963" s="39"/>
      <c r="R963" s="10"/>
      <c r="X963" s="12"/>
      <c r="Y963" s="12"/>
      <c r="AA963" s="13"/>
    </row>
    <row r="964" spans="2:27" ht="12.75" x14ac:dyDescent="0.2">
      <c r="B964" s="44"/>
      <c r="C964" s="10"/>
      <c r="D964" s="10"/>
      <c r="E964" s="39"/>
      <c r="F964" s="39"/>
      <c r="G964" s="39"/>
      <c r="H964" s="39"/>
      <c r="I964" s="9"/>
      <c r="J964" s="9"/>
      <c r="K964" s="39"/>
      <c r="L964" s="39"/>
      <c r="M964" s="39"/>
      <c r="N964" s="9"/>
      <c r="O964" s="39"/>
      <c r="P964" s="39"/>
      <c r="Q964" s="39"/>
      <c r="R964" s="10"/>
      <c r="X964" s="12"/>
      <c r="Y964" s="12"/>
      <c r="AA964" s="13"/>
    </row>
    <row r="965" spans="2:27" ht="12.75" x14ac:dyDescent="0.2">
      <c r="B965" s="44"/>
      <c r="C965" s="10"/>
      <c r="D965" s="10"/>
      <c r="E965" s="39"/>
      <c r="F965" s="39"/>
      <c r="G965" s="39"/>
      <c r="H965" s="39"/>
      <c r="I965" s="9"/>
      <c r="J965" s="9"/>
      <c r="K965" s="39"/>
      <c r="L965" s="39"/>
      <c r="M965" s="39"/>
      <c r="N965" s="9"/>
      <c r="O965" s="39"/>
      <c r="P965" s="39"/>
      <c r="Q965" s="39"/>
      <c r="R965" s="10"/>
      <c r="X965" s="12"/>
      <c r="Y965" s="12"/>
      <c r="AA965" s="13"/>
    </row>
    <row r="966" spans="2:27" ht="12.75" x14ac:dyDescent="0.2">
      <c r="B966" s="44"/>
      <c r="C966" s="10"/>
      <c r="D966" s="10"/>
      <c r="E966" s="39"/>
      <c r="F966" s="39"/>
      <c r="G966" s="39"/>
      <c r="H966" s="39"/>
      <c r="I966" s="9"/>
      <c r="J966" s="9"/>
      <c r="K966" s="39"/>
      <c r="L966" s="39"/>
      <c r="M966" s="39"/>
      <c r="N966" s="9"/>
      <c r="O966" s="39"/>
      <c r="P966" s="39"/>
      <c r="Q966" s="39"/>
      <c r="R966" s="10"/>
      <c r="X966" s="12"/>
      <c r="Y966" s="12"/>
      <c r="AA966" s="13"/>
    </row>
    <row r="967" spans="2:27" ht="12.75" x14ac:dyDescent="0.2">
      <c r="B967" s="44"/>
      <c r="C967" s="10"/>
      <c r="D967" s="10"/>
      <c r="E967" s="39"/>
      <c r="F967" s="39"/>
      <c r="G967" s="39"/>
      <c r="H967" s="39"/>
      <c r="I967" s="9"/>
      <c r="J967" s="9"/>
      <c r="K967" s="39"/>
      <c r="L967" s="39"/>
      <c r="M967" s="39"/>
      <c r="N967" s="9"/>
      <c r="O967" s="39"/>
      <c r="P967" s="39"/>
      <c r="Q967" s="39"/>
      <c r="R967" s="10"/>
      <c r="X967" s="12"/>
      <c r="Y967" s="12"/>
      <c r="AA967" s="13"/>
    </row>
    <row r="968" spans="2:27" ht="12.75" x14ac:dyDescent="0.2">
      <c r="B968" s="44"/>
      <c r="C968" s="10"/>
      <c r="D968" s="10"/>
      <c r="E968" s="39"/>
      <c r="F968" s="39"/>
      <c r="G968" s="39"/>
      <c r="H968" s="39"/>
      <c r="I968" s="9"/>
      <c r="J968" s="9"/>
      <c r="K968" s="39"/>
      <c r="L968" s="39"/>
      <c r="M968" s="39"/>
      <c r="N968" s="9"/>
      <c r="O968" s="39"/>
      <c r="P968" s="39"/>
      <c r="Q968" s="39"/>
      <c r="R968" s="10"/>
      <c r="X968" s="12"/>
      <c r="Y968" s="12"/>
      <c r="AA968" s="13"/>
    </row>
    <row r="969" spans="2:27" ht="12.75" x14ac:dyDescent="0.2">
      <c r="B969" s="44"/>
      <c r="C969" s="10"/>
      <c r="D969" s="10"/>
      <c r="E969" s="39"/>
      <c r="F969" s="39"/>
      <c r="G969" s="39"/>
      <c r="H969" s="39"/>
      <c r="I969" s="9"/>
      <c r="J969" s="9"/>
      <c r="K969" s="39"/>
      <c r="L969" s="39"/>
      <c r="M969" s="39"/>
      <c r="N969" s="9"/>
      <c r="O969" s="39"/>
      <c r="P969" s="39"/>
      <c r="Q969" s="39"/>
      <c r="R969" s="10"/>
      <c r="X969" s="12"/>
      <c r="Y969" s="12"/>
      <c r="AA969" s="13"/>
    </row>
    <row r="970" spans="2:27" ht="12.75" x14ac:dyDescent="0.2">
      <c r="B970" s="44"/>
      <c r="C970" s="10"/>
      <c r="D970" s="10"/>
      <c r="E970" s="39"/>
      <c r="F970" s="39"/>
      <c r="G970" s="39"/>
      <c r="H970" s="39"/>
      <c r="I970" s="9"/>
      <c r="J970" s="9"/>
      <c r="K970" s="39"/>
      <c r="L970" s="39"/>
      <c r="M970" s="39"/>
      <c r="N970" s="9"/>
      <c r="O970" s="39"/>
      <c r="P970" s="39"/>
      <c r="Q970" s="39"/>
      <c r="R970" s="10"/>
      <c r="X970" s="12"/>
      <c r="Y970" s="12"/>
      <c r="AA970" s="13"/>
    </row>
    <row r="971" spans="2:27" ht="12.75" x14ac:dyDescent="0.2">
      <c r="B971" s="44"/>
      <c r="C971" s="10"/>
      <c r="D971" s="10"/>
      <c r="E971" s="39"/>
      <c r="F971" s="39"/>
      <c r="G971" s="39"/>
      <c r="H971" s="39"/>
      <c r="I971" s="9"/>
      <c r="J971" s="9"/>
      <c r="K971" s="39"/>
      <c r="L971" s="39"/>
      <c r="M971" s="39"/>
      <c r="N971" s="9"/>
      <c r="O971" s="39"/>
      <c r="P971" s="39"/>
      <c r="Q971" s="39"/>
      <c r="R971" s="10"/>
      <c r="X971" s="12"/>
      <c r="Y971" s="12"/>
      <c r="AA971" s="13"/>
    </row>
    <row r="972" spans="2:27" ht="12.75" x14ac:dyDescent="0.2">
      <c r="B972" s="44"/>
      <c r="C972" s="10"/>
      <c r="D972" s="10"/>
      <c r="E972" s="39"/>
      <c r="F972" s="39"/>
      <c r="G972" s="39"/>
      <c r="H972" s="39"/>
      <c r="I972" s="9"/>
      <c r="J972" s="9"/>
      <c r="K972" s="39"/>
      <c r="L972" s="39"/>
      <c r="M972" s="39"/>
      <c r="N972" s="9"/>
      <c r="O972" s="39"/>
      <c r="P972" s="39"/>
      <c r="Q972" s="39"/>
      <c r="R972" s="10"/>
      <c r="X972" s="12"/>
      <c r="Y972" s="12"/>
      <c r="AA972" s="13"/>
    </row>
    <row r="973" spans="2:27" ht="12.75" x14ac:dyDescent="0.2">
      <c r="B973" s="44"/>
      <c r="C973" s="10"/>
      <c r="D973" s="10"/>
      <c r="E973" s="39"/>
      <c r="F973" s="39"/>
      <c r="G973" s="39"/>
      <c r="H973" s="39"/>
      <c r="I973" s="9"/>
      <c r="J973" s="9"/>
      <c r="K973" s="39"/>
      <c r="L973" s="39"/>
      <c r="M973" s="39"/>
      <c r="N973" s="9"/>
      <c r="O973" s="39"/>
      <c r="P973" s="39"/>
      <c r="Q973" s="39"/>
      <c r="R973" s="10"/>
      <c r="X973" s="12"/>
      <c r="Y973" s="12"/>
      <c r="AA973" s="13"/>
    </row>
    <row r="974" spans="2:27" ht="12.75" x14ac:dyDescent="0.2">
      <c r="B974" s="44"/>
      <c r="C974" s="10"/>
      <c r="D974" s="10"/>
      <c r="E974" s="39"/>
      <c r="F974" s="39"/>
      <c r="G974" s="39"/>
      <c r="H974" s="39"/>
      <c r="I974" s="9"/>
      <c r="J974" s="9"/>
      <c r="K974" s="39"/>
      <c r="L974" s="39"/>
      <c r="M974" s="39"/>
      <c r="N974" s="9"/>
      <c r="O974" s="39"/>
      <c r="P974" s="39"/>
      <c r="Q974" s="39"/>
      <c r="R974" s="10"/>
      <c r="X974" s="12"/>
      <c r="Y974" s="12"/>
      <c r="AA974" s="13"/>
    </row>
    <row r="975" spans="2:27" ht="12.75" x14ac:dyDescent="0.2">
      <c r="B975" s="44"/>
      <c r="C975" s="10"/>
      <c r="D975" s="10"/>
      <c r="E975" s="39"/>
      <c r="F975" s="39"/>
      <c r="G975" s="39"/>
      <c r="H975" s="39"/>
      <c r="I975" s="9"/>
      <c r="J975" s="9"/>
      <c r="K975" s="39"/>
      <c r="L975" s="39"/>
      <c r="M975" s="39"/>
      <c r="N975" s="9"/>
      <c r="O975" s="39"/>
      <c r="P975" s="39"/>
      <c r="Q975" s="39"/>
      <c r="R975" s="10"/>
      <c r="X975" s="12"/>
      <c r="Y975" s="12"/>
      <c r="AA975" s="13"/>
    </row>
    <row r="976" spans="2:27" ht="12.75" x14ac:dyDescent="0.2">
      <c r="B976" s="44"/>
      <c r="C976" s="10"/>
      <c r="D976" s="10"/>
      <c r="E976" s="39"/>
      <c r="F976" s="39"/>
      <c r="G976" s="39"/>
      <c r="H976" s="39"/>
      <c r="I976" s="9"/>
      <c r="J976" s="9"/>
      <c r="K976" s="39"/>
      <c r="L976" s="39"/>
      <c r="M976" s="39"/>
      <c r="N976" s="9"/>
      <c r="O976" s="39"/>
      <c r="P976" s="39"/>
      <c r="Q976" s="39"/>
      <c r="R976" s="10"/>
      <c r="X976" s="12"/>
      <c r="Y976" s="12"/>
      <c r="AA976" s="13"/>
    </row>
    <row r="977" spans="2:27" ht="12.75" x14ac:dyDescent="0.2">
      <c r="B977" s="44"/>
      <c r="C977" s="10"/>
      <c r="D977" s="10"/>
      <c r="E977" s="39"/>
      <c r="F977" s="39"/>
      <c r="G977" s="39"/>
      <c r="H977" s="39"/>
      <c r="I977" s="9"/>
      <c r="J977" s="9"/>
      <c r="K977" s="39"/>
      <c r="L977" s="39"/>
      <c r="M977" s="39"/>
      <c r="N977" s="9"/>
      <c r="O977" s="39"/>
      <c r="P977" s="39"/>
      <c r="Q977" s="39"/>
      <c r="R977" s="10"/>
      <c r="X977" s="12"/>
      <c r="Y977" s="12"/>
      <c r="AA977" s="13"/>
    </row>
    <row r="978" spans="2:27" ht="12.75" x14ac:dyDescent="0.2">
      <c r="B978" s="44"/>
      <c r="C978" s="10"/>
      <c r="D978" s="10"/>
      <c r="E978" s="39"/>
      <c r="F978" s="39"/>
      <c r="G978" s="39"/>
      <c r="H978" s="39"/>
      <c r="I978" s="9"/>
      <c r="J978" s="9"/>
      <c r="K978" s="39"/>
      <c r="L978" s="39"/>
      <c r="M978" s="39"/>
      <c r="N978" s="9"/>
      <c r="O978" s="39"/>
      <c r="P978" s="39"/>
      <c r="Q978" s="39"/>
      <c r="R978" s="10"/>
      <c r="X978" s="12"/>
      <c r="Y978" s="12"/>
      <c r="AA978" s="13"/>
    </row>
    <row r="979" spans="2:27" ht="12.75" x14ac:dyDescent="0.2">
      <c r="B979" s="44"/>
      <c r="C979" s="10"/>
      <c r="D979" s="10"/>
      <c r="E979" s="39"/>
      <c r="F979" s="39"/>
      <c r="G979" s="39"/>
      <c r="H979" s="39"/>
      <c r="I979" s="9"/>
      <c r="J979" s="9"/>
      <c r="K979" s="39"/>
      <c r="L979" s="39"/>
      <c r="M979" s="39"/>
      <c r="N979" s="9"/>
      <c r="O979" s="39"/>
      <c r="P979" s="39"/>
      <c r="Q979" s="39"/>
      <c r="R979" s="10"/>
      <c r="X979" s="12"/>
      <c r="Y979" s="12"/>
      <c r="AA979" s="13"/>
    </row>
    <row r="980" spans="2:27" ht="12.75" x14ac:dyDescent="0.2">
      <c r="B980" s="44"/>
      <c r="C980" s="10"/>
      <c r="D980" s="10"/>
      <c r="E980" s="39"/>
      <c r="F980" s="39"/>
      <c r="G980" s="39"/>
      <c r="H980" s="39"/>
      <c r="I980" s="9"/>
      <c r="J980" s="9"/>
      <c r="K980" s="39"/>
      <c r="L980" s="39"/>
      <c r="M980" s="39"/>
      <c r="N980" s="9"/>
      <c r="O980" s="39"/>
      <c r="P980" s="39"/>
      <c r="Q980" s="39"/>
      <c r="R980" s="10"/>
      <c r="X980" s="12"/>
      <c r="Y980" s="12"/>
      <c r="AA980" s="13"/>
    </row>
    <row r="981" spans="2:27" ht="12.75" x14ac:dyDescent="0.2">
      <c r="B981" s="44"/>
      <c r="C981" s="10"/>
      <c r="D981" s="10"/>
      <c r="E981" s="39"/>
      <c r="F981" s="39"/>
      <c r="G981" s="39"/>
      <c r="H981" s="39"/>
      <c r="I981" s="9"/>
      <c r="J981" s="9"/>
      <c r="K981" s="39"/>
      <c r="L981" s="39"/>
      <c r="M981" s="39"/>
      <c r="N981" s="9"/>
      <c r="O981" s="39"/>
      <c r="P981" s="39"/>
      <c r="Q981" s="39"/>
      <c r="R981" s="10"/>
      <c r="X981" s="12"/>
      <c r="Y981" s="12"/>
      <c r="AA981" s="13"/>
    </row>
    <row r="982" spans="2:27" ht="12.75" x14ac:dyDescent="0.2">
      <c r="B982" s="44"/>
      <c r="C982" s="10"/>
      <c r="D982" s="10"/>
      <c r="E982" s="39"/>
      <c r="F982" s="39"/>
      <c r="G982" s="39"/>
      <c r="H982" s="39"/>
      <c r="I982" s="9"/>
      <c r="J982" s="9"/>
      <c r="K982" s="39"/>
      <c r="L982" s="39"/>
      <c r="M982" s="39"/>
      <c r="N982" s="9"/>
      <c r="O982" s="39"/>
      <c r="P982" s="39"/>
      <c r="Q982" s="39"/>
      <c r="R982" s="10"/>
      <c r="X982" s="12"/>
      <c r="Y982" s="12"/>
      <c r="AA982" s="13"/>
    </row>
    <row r="983" spans="2:27" ht="12.75" x14ac:dyDescent="0.2">
      <c r="B983" s="44"/>
      <c r="C983" s="10"/>
      <c r="D983" s="10"/>
      <c r="E983" s="39"/>
      <c r="F983" s="39"/>
      <c r="G983" s="39"/>
      <c r="H983" s="39"/>
      <c r="I983" s="9"/>
      <c r="J983" s="9"/>
      <c r="K983" s="39"/>
      <c r="L983" s="39"/>
      <c r="M983" s="39"/>
      <c r="N983" s="9"/>
      <c r="O983" s="39"/>
      <c r="P983" s="39"/>
      <c r="Q983" s="39"/>
      <c r="R983" s="10"/>
      <c r="X983" s="12"/>
      <c r="Y983" s="12"/>
      <c r="AA983" s="13"/>
    </row>
    <row r="984" spans="2:27" ht="12.75" x14ac:dyDescent="0.2">
      <c r="B984" s="44"/>
      <c r="C984" s="10"/>
      <c r="D984" s="10"/>
      <c r="E984" s="39"/>
      <c r="F984" s="39"/>
      <c r="G984" s="39"/>
      <c r="H984" s="39"/>
      <c r="I984" s="9"/>
      <c r="J984" s="9"/>
      <c r="K984" s="39"/>
      <c r="L984" s="39"/>
      <c r="M984" s="39"/>
      <c r="N984" s="9"/>
      <c r="O984" s="39"/>
      <c r="P984" s="39"/>
      <c r="Q984" s="39"/>
      <c r="R984" s="10"/>
      <c r="X984" s="12"/>
      <c r="Y984" s="12"/>
      <c r="AA984" s="13"/>
    </row>
    <row r="985" spans="2:27" ht="12.75" x14ac:dyDescent="0.2">
      <c r="B985" s="44"/>
      <c r="C985" s="10"/>
      <c r="D985" s="10"/>
      <c r="E985" s="39"/>
      <c r="F985" s="39"/>
      <c r="G985" s="39"/>
      <c r="H985" s="39"/>
      <c r="I985" s="9"/>
      <c r="J985" s="9"/>
      <c r="K985" s="39"/>
      <c r="L985" s="39"/>
      <c r="M985" s="39"/>
      <c r="N985" s="9"/>
      <c r="O985" s="39"/>
      <c r="P985" s="39"/>
      <c r="Q985" s="39"/>
      <c r="R985" s="10"/>
      <c r="X985" s="12"/>
      <c r="Y985" s="12"/>
      <c r="AA985" s="13"/>
    </row>
    <row r="986" spans="2:27" ht="12.75" x14ac:dyDescent="0.2">
      <c r="B986" s="44"/>
      <c r="C986" s="10"/>
      <c r="D986" s="10"/>
      <c r="E986" s="39"/>
      <c r="F986" s="39"/>
      <c r="G986" s="39"/>
      <c r="H986" s="39"/>
      <c r="I986" s="9"/>
      <c r="J986" s="9"/>
      <c r="K986" s="39"/>
      <c r="L986" s="39"/>
      <c r="M986" s="39"/>
      <c r="N986" s="9"/>
      <c r="O986" s="39"/>
      <c r="P986" s="39"/>
      <c r="Q986" s="39"/>
      <c r="R986" s="10"/>
      <c r="X986" s="12"/>
      <c r="Y986" s="12"/>
      <c r="AA986" s="13"/>
    </row>
    <row r="987" spans="2:27" ht="12.75" x14ac:dyDescent="0.2">
      <c r="B987" s="44"/>
      <c r="C987" s="10"/>
      <c r="D987" s="10"/>
      <c r="E987" s="39"/>
      <c r="F987" s="39"/>
      <c r="G987" s="39"/>
      <c r="H987" s="39"/>
      <c r="I987" s="9"/>
      <c r="J987" s="9"/>
      <c r="K987" s="39"/>
      <c r="L987" s="39"/>
      <c r="M987" s="39"/>
      <c r="N987" s="9"/>
      <c r="O987" s="39"/>
      <c r="P987" s="39"/>
      <c r="Q987" s="39"/>
      <c r="R987" s="10"/>
      <c r="X987" s="12"/>
      <c r="Y987" s="12"/>
      <c r="AA987" s="13"/>
    </row>
    <row r="988" spans="2:27" ht="12.75" x14ac:dyDescent="0.2">
      <c r="B988" s="44"/>
      <c r="C988" s="10"/>
      <c r="D988" s="10"/>
      <c r="E988" s="39"/>
      <c r="F988" s="39"/>
      <c r="G988" s="39"/>
      <c r="H988" s="39"/>
      <c r="I988" s="9"/>
      <c r="J988" s="9"/>
      <c r="K988" s="39"/>
      <c r="L988" s="39"/>
      <c r="M988" s="39"/>
      <c r="N988" s="9"/>
      <c r="O988" s="39"/>
      <c r="P988" s="39"/>
      <c r="Q988" s="39"/>
      <c r="R988" s="10"/>
      <c r="X988" s="12"/>
      <c r="Y988" s="12"/>
      <c r="AA988" s="13"/>
    </row>
    <row r="989" spans="2:27" ht="12.75" x14ac:dyDescent="0.2">
      <c r="B989" s="44"/>
      <c r="C989" s="10"/>
      <c r="D989" s="10"/>
      <c r="E989" s="39"/>
      <c r="F989" s="39"/>
      <c r="G989" s="39"/>
      <c r="H989" s="39"/>
      <c r="I989" s="9"/>
      <c r="J989" s="9"/>
      <c r="K989" s="39"/>
      <c r="L989" s="39"/>
      <c r="M989" s="39"/>
      <c r="N989" s="9"/>
      <c r="O989" s="39"/>
      <c r="P989" s="39"/>
      <c r="Q989" s="39"/>
      <c r="R989" s="10"/>
      <c r="X989" s="12"/>
      <c r="Y989" s="12"/>
      <c r="AA989" s="13"/>
    </row>
    <row r="990" spans="2:27" ht="12.75" x14ac:dyDescent="0.2">
      <c r="B990" s="44"/>
      <c r="C990" s="10"/>
      <c r="D990" s="10"/>
      <c r="E990" s="39"/>
      <c r="F990" s="39"/>
      <c r="G990" s="39"/>
      <c r="H990" s="39"/>
      <c r="I990" s="9"/>
      <c r="J990" s="9"/>
      <c r="K990" s="39"/>
      <c r="L990" s="39"/>
      <c r="M990" s="39"/>
      <c r="N990" s="9"/>
      <c r="O990" s="39"/>
      <c r="P990" s="39"/>
      <c r="Q990" s="39"/>
      <c r="R990" s="10"/>
      <c r="X990" s="12"/>
      <c r="Y990" s="12"/>
      <c r="AA990" s="13"/>
    </row>
    <row r="991" spans="2:27" ht="12.75" x14ac:dyDescent="0.2">
      <c r="B991" s="44"/>
      <c r="C991" s="10"/>
      <c r="D991" s="10"/>
      <c r="E991" s="39"/>
      <c r="F991" s="39"/>
      <c r="G991" s="39"/>
      <c r="H991" s="39"/>
      <c r="I991" s="9"/>
      <c r="J991" s="9"/>
      <c r="K991" s="39"/>
      <c r="L991" s="39"/>
      <c r="M991" s="39"/>
      <c r="N991" s="9"/>
      <c r="O991" s="39"/>
      <c r="P991" s="39"/>
      <c r="Q991" s="39"/>
      <c r="R991" s="10"/>
      <c r="X991" s="12"/>
      <c r="Y991" s="12"/>
      <c r="AA991" s="13"/>
    </row>
    <row r="992" spans="2:27" ht="12.75" x14ac:dyDescent="0.2">
      <c r="B992" s="44"/>
      <c r="C992" s="10"/>
      <c r="D992" s="10"/>
      <c r="E992" s="39"/>
      <c r="F992" s="39"/>
      <c r="G992" s="39"/>
      <c r="H992" s="39"/>
      <c r="I992" s="9"/>
      <c r="J992" s="9"/>
      <c r="K992" s="39"/>
      <c r="L992" s="39"/>
      <c r="M992" s="39"/>
      <c r="N992" s="9"/>
      <c r="O992" s="39"/>
      <c r="P992" s="39"/>
      <c r="Q992" s="39"/>
      <c r="R992" s="10"/>
      <c r="X992" s="12"/>
      <c r="Y992" s="12"/>
      <c r="AA992" s="13"/>
    </row>
    <row r="993" spans="2:27" ht="12.75" x14ac:dyDescent="0.2">
      <c r="B993" s="44"/>
      <c r="C993" s="10"/>
      <c r="D993" s="10"/>
      <c r="E993" s="39"/>
      <c r="F993" s="39"/>
      <c r="G993" s="39"/>
      <c r="H993" s="39"/>
      <c r="I993" s="9"/>
      <c r="J993" s="9"/>
      <c r="K993" s="39"/>
      <c r="L993" s="39"/>
      <c r="M993" s="39"/>
      <c r="N993" s="9"/>
      <c r="O993" s="39"/>
      <c r="P993" s="39"/>
      <c r="Q993" s="39"/>
      <c r="R993" s="10"/>
      <c r="X993" s="12"/>
      <c r="Y993" s="12"/>
      <c r="AA993" s="13"/>
    </row>
    <row r="994" spans="2:27" ht="12.75" x14ac:dyDescent="0.2">
      <c r="B994" s="44"/>
      <c r="C994" s="10"/>
      <c r="D994" s="10"/>
      <c r="E994" s="39"/>
      <c r="F994" s="39"/>
      <c r="G994" s="39"/>
      <c r="H994" s="39"/>
      <c r="I994" s="9"/>
      <c r="J994" s="9"/>
      <c r="K994" s="39"/>
      <c r="L994" s="39"/>
      <c r="M994" s="39"/>
      <c r="N994" s="9"/>
      <c r="O994" s="39"/>
      <c r="P994" s="39"/>
      <c r="Q994" s="39"/>
      <c r="R994" s="10"/>
      <c r="X994" s="12"/>
      <c r="Y994" s="12"/>
      <c r="AA994" s="13"/>
    </row>
    <row r="995" spans="2:27" ht="12.75" x14ac:dyDescent="0.2">
      <c r="B995" s="44"/>
      <c r="C995" s="10"/>
      <c r="D995" s="10"/>
      <c r="E995" s="39"/>
      <c r="F995" s="39"/>
      <c r="G995" s="39"/>
      <c r="H995" s="39"/>
      <c r="I995" s="9"/>
      <c r="J995" s="9"/>
      <c r="K995" s="39"/>
      <c r="L995" s="39"/>
      <c r="M995" s="39"/>
      <c r="N995" s="9"/>
      <c r="O995" s="39"/>
      <c r="P995" s="39"/>
      <c r="Q995" s="39"/>
      <c r="R995" s="10"/>
      <c r="X995" s="12"/>
      <c r="Y995" s="12"/>
      <c r="AA995" s="13"/>
    </row>
    <row r="996" spans="2:27" ht="12.75" x14ac:dyDescent="0.2">
      <c r="B996" s="44"/>
      <c r="C996" s="10"/>
      <c r="D996" s="10"/>
      <c r="E996" s="39"/>
      <c r="F996" s="39"/>
      <c r="G996" s="39"/>
      <c r="H996" s="39"/>
      <c r="I996" s="9"/>
      <c r="J996" s="9"/>
      <c r="K996" s="39"/>
      <c r="L996" s="39"/>
      <c r="M996" s="39"/>
      <c r="N996" s="9"/>
      <c r="O996" s="39"/>
      <c r="P996" s="39"/>
      <c r="Q996" s="39"/>
      <c r="R996" s="10"/>
      <c r="X996" s="12"/>
      <c r="Y996" s="12"/>
      <c r="AA996" s="13"/>
    </row>
    <row r="997" spans="2:27" ht="12.75" x14ac:dyDescent="0.2">
      <c r="B997" s="44"/>
      <c r="C997" s="10"/>
      <c r="D997" s="10"/>
      <c r="E997" s="39"/>
      <c r="F997" s="39"/>
      <c r="G997" s="39"/>
      <c r="H997" s="39"/>
      <c r="I997" s="9"/>
      <c r="J997" s="9"/>
      <c r="K997" s="39"/>
      <c r="L997" s="39"/>
      <c r="M997" s="39"/>
      <c r="N997" s="9"/>
      <c r="O997" s="39"/>
      <c r="P997" s="39"/>
      <c r="Q997" s="39"/>
      <c r="R997" s="10"/>
      <c r="X997" s="12"/>
      <c r="Y997" s="12"/>
      <c r="AA997" s="13"/>
    </row>
    <row r="998" spans="2:27" ht="12.75" x14ac:dyDescent="0.2">
      <c r="B998" s="44"/>
      <c r="C998" s="10"/>
      <c r="D998" s="10"/>
      <c r="E998" s="39"/>
      <c r="F998" s="39"/>
      <c r="G998" s="39"/>
      <c r="H998" s="39"/>
      <c r="I998" s="9"/>
      <c r="J998" s="9"/>
      <c r="K998" s="39"/>
      <c r="L998" s="39"/>
      <c r="M998" s="39"/>
      <c r="N998" s="9"/>
      <c r="O998" s="39"/>
      <c r="P998" s="39"/>
      <c r="Q998" s="39"/>
      <c r="R998" s="10"/>
      <c r="X998" s="12"/>
      <c r="Y998" s="12"/>
      <c r="AA998" s="13"/>
    </row>
    <row r="999" spans="2:27" ht="12.75" x14ac:dyDescent="0.2">
      <c r="B999" s="44"/>
      <c r="C999" s="10"/>
      <c r="D999" s="10"/>
      <c r="E999" s="39"/>
      <c r="F999" s="39"/>
      <c r="G999" s="39"/>
      <c r="H999" s="39"/>
      <c r="I999" s="9"/>
      <c r="J999" s="9"/>
      <c r="K999" s="39"/>
      <c r="L999" s="39"/>
      <c r="M999" s="39"/>
      <c r="N999" s="9"/>
      <c r="O999" s="39"/>
      <c r="P999" s="39"/>
      <c r="Q999" s="39"/>
      <c r="R999" s="10"/>
      <c r="X999" s="12"/>
      <c r="Y999" s="12"/>
      <c r="AA999" s="13"/>
    </row>
    <row r="1000" spans="2:27" ht="12.75" x14ac:dyDescent="0.2">
      <c r="B1000" s="44"/>
      <c r="C1000" s="10"/>
      <c r="D1000" s="10"/>
      <c r="E1000" s="39"/>
      <c r="F1000" s="39"/>
      <c r="G1000" s="39"/>
      <c r="H1000" s="39"/>
      <c r="I1000" s="9"/>
      <c r="J1000" s="9"/>
      <c r="K1000" s="39"/>
      <c r="L1000" s="39"/>
      <c r="M1000" s="39"/>
      <c r="N1000" s="9"/>
      <c r="O1000" s="39"/>
      <c r="P1000" s="39"/>
      <c r="Q1000" s="39"/>
      <c r="R1000" s="10"/>
      <c r="X1000" s="12"/>
      <c r="Y1000" s="12"/>
      <c r="AA1000" s="13"/>
    </row>
    <row r="1001" spans="2:27" ht="12.75" x14ac:dyDescent="0.2">
      <c r="B1001" s="44"/>
      <c r="C1001" s="10"/>
      <c r="D1001" s="10"/>
      <c r="E1001" s="39"/>
      <c r="F1001" s="39"/>
      <c r="G1001" s="39"/>
      <c r="H1001" s="39"/>
      <c r="I1001" s="9"/>
      <c r="J1001" s="9"/>
      <c r="K1001" s="39"/>
      <c r="L1001" s="39"/>
      <c r="M1001" s="39"/>
      <c r="N1001" s="9"/>
      <c r="O1001" s="39"/>
      <c r="P1001" s="39"/>
      <c r="Q1001" s="39"/>
      <c r="R1001" s="10"/>
      <c r="X1001" s="12"/>
      <c r="Y1001" s="12"/>
      <c r="AA1001" s="13"/>
    </row>
    <row r="1002" spans="2:27" ht="12.75" x14ac:dyDescent="0.2">
      <c r="B1002" s="44"/>
      <c r="C1002" s="10"/>
      <c r="D1002" s="10"/>
      <c r="E1002" s="39"/>
      <c r="F1002" s="39"/>
      <c r="G1002" s="39"/>
      <c r="H1002" s="39"/>
      <c r="I1002" s="9"/>
      <c r="J1002" s="9"/>
      <c r="K1002" s="39"/>
      <c r="L1002" s="39"/>
      <c r="M1002" s="39"/>
      <c r="N1002" s="9"/>
      <c r="O1002" s="39"/>
      <c r="P1002" s="39"/>
      <c r="Q1002" s="39"/>
      <c r="R1002" s="10"/>
      <c r="X1002" s="12"/>
      <c r="Y1002" s="12"/>
      <c r="AA1002" s="13"/>
    </row>
    <row r="1003" spans="2:27" ht="12.75" x14ac:dyDescent="0.2">
      <c r="B1003" s="44"/>
      <c r="C1003" s="10"/>
      <c r="D1003" s="10"/>
      <c r="E1003" s="39"/>
      <c r="F1003" s="39"/>
      <c r="G1003" s="39"/>
      <c r="H1003" s="39"/>
      <c r="I1003" s="9"/>
      <c r="J1003" s="9"/>
      <c r="K1003" s="39"/>
      <c r="L1003" s="39"/>
      <c r="M1003" s="39"/>
      <c r="N1003" s="9"/>
      <c r="O1003" s="39"/>
      <c r="P1003" s="39"/>
      <c r="Q1003" s="39"/>
      <c r="R1003" s="10"/>
      <c r="X1003" s="12"/>
      <c r="Y1003" s="12"/>
      <c r="AA1003" s="13"/>
    </row>
    <row r="1004" spans="2:27" ht="12.75" x14ac:dyDescent="0.2">
      <c r="B1004" s="44"/>
      <c r="C1004" s="10"/>
      <c r="D1004" s="10"/>
      <c r="E1004" s="39"/>
      <c r="F1004" s="39"/>
      <c r="G1004" s="39"/>
      <c r="H1004" s="39"/>
      <c r="I1004" s="9"/>
      <c r="J1004" s="9"/>
      <c r="K1004" s="39"/>
      <c r="L1004" s="39"/>
      <c r="M1004" s="39"/>
      <c r="N1004" s="9"/>
      <c r="O1004" s="39"/>
      <c r="P1004" s="39"/>
      <c r="Q1004" s="39"/>
      <c r="R1004" s="10"/>
      <c r="X1004" s="12"/>
      <c r="Y1004" s="12"/>
      <c r="AA1004" s="13"/>
    </row>
    <row r="1005" spans="2:27" ht="12.75" x14ac:dyDescent="0.2">
      <c r="B1005" s="44"/>
      <c r="C1005" s="10"/>
      <c r="D1005" s="10"/>
      <c r="E1005" s="39"/>
      <c r="F1005" s="39"/>
      <c r="G1005" s="39"/>
      <c r="H1005" s="39"/>
      <c r="I1005" s="9"/>
      <c r="J1005" s="9"/>
      <c r="K1005" s="39"/>
      <c r="L1005" s="39"/>
      <c r="M1005" s="39"/>
      <c r="N1005" s="9"/>
      <c r="O1005" s="39"/>
      <c r="P1005" s="39"/>
      <c r="Q1005" s="39"/>
      <c r="R1005" s="10"/>
      <c r="X1005" s="12"/>
      <c r="Y1005" s="12"/>
      <c r="AA1005" s="13"/>
    </row>
    <row r="1006" spans="2:27" ht="12.75" x14ac:dyDescent="0.2">
      <c r="B1006" s="44"/>
      <c r="C1006" s="10"/>
      <c r="D1006" s="10"/>
      <c r="E1006" s="39"/>
      <c r="F1006" s="39"/>
      <c r="G1006" s="39"/>
      <c r="H1006" s="39"/>
      <c r="I1006" s="9"/>
      <c r="J1006" s="9"/>
      <c r="K1006" s="39"/>
      <c r="L1006" s="39"/>
      <c r="M1006" s="39"/>
      <c r="N1006" s="9"/>
      <c r="O1006" s="39"/>
      <c r="P1006" s="39"/>
      <c r="Q1006" s="39"/>
      <c r="R1006" s="10"/>
      <c r="X1006" s="12"/>
      <c r="Y1006" s="12"/>
      <c r="AA1006" s="13"/>
    </row>
    <row r="1007" spans="2:27" ht="12.75" x14ac:dyDescent="0.2">
      <c r="B1007" s="44"/>
      <c r="C1007" s="10"/>
      <c r="D1007" s="10"/>
      <c r="E1007" s="39"/>
      <c r="F1007" s="39"/>
      <c r="G1007" s="39"/>
      <c r="H1007" s="39"/>
      <c r="I1007" s="9"/>
      <c r="J1007" s="9"/>
      <c r="K1007" s="39"/>
      <c r="L1007" s="39"/>
      <c r="M1007" s="39"/>
      <c r="N1007" s="9"/>
      <c r="O1007" s="39"/>
      <c r="P1007" s="39"/>
      <c r="Q1007" s="39"/>
      <c r="R1007" s="10"/>
      <c r="X1007" s="12"/>
      <c r="Y1007" s="12"/>
      <c r="AA1007" s="13"/>
    </row>
    <row r="1008" spans="2:27" ht="12.75" x14ac:dyDescent="0.2">
      <c r="B1008" s="44"/>
      <c r="C1008" s="10"/>
      <c r="D1008" s="10"/>
      <c r="E1008" s="39"/>
      <c r="F1008" s="39"/>
      <c r="G1008" s="39"/>
      <c r="H1008" s="39"/>
      <c r="I1008" s="9"/>
      <c r="J1008" s="9"/>
      <c r="K1008" s="39"/>
      <c r="L1008" s="39"/>
      <c r="M1008" s="39"/>
      <c r="N1008" s="9"/>
      <c r="O1008" s="39"/>
      <c r="P1008" s="39"/>
      <c r="Q1008" s="39"/>
      <c r="R1008" s="10"/>
      <c r="X1008" s="12"/>
      <c r="Y1008" s="12"/>
      <c r="AA1008" s="13"/>
    </row>
    <row r="1009" spans="2:27" ht="12.75" x14ac:dyDescent="0.2">
      <c r="B1009" s="44"/>
      <c r="C1009" s="10"/>
      <c r="D1009" s="10"/>
      <c r="E1009" s="39"/>
      <c r="F1009" s="39"/>
      <c r="G1009" s="39"/>
      <c r="H1009" s="39"/>
      <c r="I1009" s="9"/>
      <c r="J1009" s="9"/>
      <c r="K1009" s="39"/>
      <c r="L1009" s="39"/>
      <c r="M1009" s="39"/>
      <c r="N1009" s="9"/>
      <c r="O1009" s="39"/>
      <c r="P1009" s="39"/>
      <c r="Q1009" s="39"/>
      <c r="R1009" s="10"/>
      <c r="X1009" s="12"/>
      <c r="Y1009" s="12"/>
      <c r="AA1009" s="13"/>
    </row>
    <row r="1010" spans="2:27" ht="12.75" x14ac:dyDescent="0.2">
      <c r="B1010" s="44"/>
      <c r="C1010" s="10"/>
      <c r="D1010" s="10"/>
      <c r="E1010" s="39"/>
      <c r="F1010" s="39"/>
      <c r="G1010" s="39"/>
      <c r="H1010" s="39"/>
      <c r="I1010" s="9"/>
      <c r="J1010" s="9"/>
      <c r="K1010" s="39"/>
      <c r="L1010" s="39"/>
      <c r="M1010" s="39"/>
      <c r="N1010" s="9"/>
      <c r="O1010" s="39"/>
      <c r="P1010" s="39"/>
      <c r="Q1010" s="39"/>
      <c r="R1010" s="10"/>
      <c r="X1010" s="12"/>
      <c r="Y1010" s="12"/>
      <c r="AA1010" s="13"/>
    </row>
    <row r="1011" spans="2:27" ht="12.75" x14ac:dyDescent="0.2">
      <c r="B1011" s="44"/>
      <c r="C1011" s="10"/>
      <c r="D1011" s="10"/>
      <c r="E1011" s="39"/>
      <c r="F1011" s="39"/>
      <c r="G1011" s="39"/>
      <c r="H1011" s="39"/>
      <c r="I1011" s="9"/>
      <c r="J1011" s="9"/>
      <c r="K1011" s="39"/>
      <c r="L1011" s="39"/>
      <c r="M1011" s="39"/>
      <c r="N1011" s="9"/>
      <c r="O1011" s="39"/>
      <c r="P1011" s="39"/>
      <c r="Q1011" s="39"/>
      <c r="R1011" s="10"/>
      <c r="X1011" s="12"/>
      <c r="Y1011" s="12"/>
      <c r="AA1011" s="13"/>
    </row>
    <row r="1012" spans="2:27" ht="12.75" x14ac:dyDescent="0.2">
      <c r="B1012" s="44"/>
      <c r="C1012" s="10"/>
      <c r="D1012" s="10"/>
      <c r="E1012" s="39"/>
      <c r="F1012" s="39"/>
      <c r="G1012" s="39"/>
      <c r="H1012" s="39"/>
      <c r="I1012" s="9"/>
      <c r="J1012" s="9"/>
      <c r="K1012" s="39"/>
      <c r="L1012" s="39"/>
      <c r="M1012" s="39"/>
      <c r="N1012" s="9"/>
      <c r="O1012" s="39"/>
      <c r="P1012" s="39"/>
      <c r="Q1012" s="39"/>
      <c r="R1012" s="10"/>
      <c r="X1012" s="12"/>
      <c r="Y1012" s="12"/>
      <c r="AA1012" s="13"/>
    </row>
    <row r="1013" spans="2:27" ht="12.75" x14ac:dyDescent="0.2">
      <c r="B1013" s="44"/>
      <c r="C1013" s="10"/>
      <c r="D1013" s="10"/>
      <c r="E1013" s="39"/>
      <c r="F1013" s="39"/>
      <c r="G1013" s="39"/>
      <c r="H1013" s="39"/>
      <c r="I1013" s="9"/>
      <c r="J1013" s="9"/>
      <c r="K1013" s="39"/>
      <c r="L1013" s="39"/>
      <c r="M1013" s="39"/>
      <c r="N1013" s="9"/>
      <c r="O1013" s="39"/>
      <c r="P1013" s="39"/>
      <c r="Q1013" s="39"/>
      <c r="R1013" s="10"/>
      <c r="X1013" s="12"/>
      <c r="Y1013" s="12"/>
      <c r="AA1013" s="13"/>
    </row>
    <row r="1014" spans="2:27" ht="12.75" x14ac:dyDescent="0.2">
      <c r="B1014" s="44"/>
      <c r="C1014" s="10"/>
      <c r="D1014" s="10"/>
      <c r="E1014" s="39"/>
      <c r="F1014" s="39"/>
      <c r="G1014" s="39"/>
      <c r="H1014" s="39"/>
      <c r="I1014" s="9"/>
      <c r="J1014" s="9"/>
      <c r="K1014" s="39"/>
      <c r="L1014" s="39"/>
      <c r="M1014" s="39"/>
      <c r="N1014" s="9"/>
      <c r="O1014" s="39"/>
      <c r="P1014" s="39"/>
      <c r="Q1014" s="39"/>
      <c r="R1014" s="10"/>
      <c r="X1014" s="12"/>
      <c r="Y1014" s="12"/>
      <c r="AA1014" s="13"/>
    </row>
    <row r="1015" spans="2:27" ht="12.75" x14ac:dyDescent="0.2">
      <c r="B1015" s="44"/>
      <c r="C1015" s="10"/>
      <c r="D1015" s="10"/>
      <c r="E1015" s="39"/>
      <c r="F1015" s="39"/>
      <c r="G1015" s="39"/>
      <c r="H1015" s="39"/>
      <c r="I1015" s="9"/>
      <c r="J1015" s="9"/>
      <c r="K1015" s="39"/>
      <c r="L1015" s="39"/>
      <c r="M1015" s="39"/>
      <c r="N1015" s="9"/>
      <c r="O1015" s="39"/>
      <c r="P1015" s="39"/>
      <c r="Q1015" s="39"/>
      <c r="R1015" s="10"/>
      <c r="X1015" s="12"/>
      <c r="Y1015" s="12"/>
      <c r="AA1015" s="13"/>
    </row>
    <row r="1016" spans="2:27" ht="12.75" x14ac:dyDescent="0.2">
      <c r="B1016" s="44"/>
      <c r="C1016" s="10"/>
      <c r="D1016" s="10"/>
      <c r="E1016" s="39"/>
      <c r="F1016" s="39"/>
      <c r="G1016" s="39"/>
      <c r="H1016" s="39"/>
      <c r="I1016" s="9"/>
      <c r="J1016" s="9"/>
      <c r="K1016" s="39"/>
      <c r="L1016" s="39"/>
      <c r="M1016" s="39"/>
      <c r="N1016" s="9"/>
      <c r="O1016" s="39"/>
      <c r="P1016" s="39"/>
      <c r="Q1016" s="39"/>
      <c r="R1016" s="10"/>
      <c r="X1016" s="12"/>
      <c r="Y1016" s="12"/>
      <c r="AA1016" s="13"/>
    </row>
    <row r="1017" spans="2:27" ht="12.75" x14ac:dyDescent="0.2">
      <c r="B1017" s="44"/>
      <c r="C1017" s="10"/>
      <c r="D1017" s="10"/>
      <c r="E1017" s="39"/>
      <c r="F1017" s="39"/>
      <c r="G1017" s="39"/>
      <c r="H1017" s="39"/>
      <c r="I1017" s="9"/>
      <c r="J1017" s="9"/>
      <c r="K1017" s="39"/>
      <c r="L1017" s="39"/>
      <c r="M1017" s="39"/>
      <c r="N1017" s="9"/>
      <c r="O1017" s="39"/>
      <c r="P1017" s="39"/>
      <c r="Q1017" s="39"/>
      <c r="R1017" s="10"/>
      <c r="X1017" s="12"/>
      <c r="Y1017" s="12"/>
      <c r="AA1017" s="13"/>
    </row>
    <row r="1018" spans="2:27" ht="12.75" x14ac:dyDescent="0.2">
      <c r="B1018" s="44"/>
      <c r="C1018" s="10"/>
      <c r="D1018" s="10"/>
      <c r="E1018" s="39"/>
      <c r="F1018" s="39"/>
      <c r="G1018" s="39"/>
      <c r="H1018" s="39"/>
      <c r="I1018" s="9"/>
      <c r="J1018" s="9"/>
      <c r="K1018" s="39"/>
      <c r="L1018" s="39"/>
      <c r="M1018" s="39"/>
      <c r="N1018" s="9"/>
      <c r="O1018" s="39"/>
      <c r="P1018" s="39"/>
      <c r="Q1018" s="39"/>
      <c r="R1018" s="10"/>
      <c r="X1018" s="12"/>
      <c r="Y1018" s="12"/>
      <c r="AA1018" s="13"/>
    </row>
    <row r="1019" spans="2:27" ht="12.75" x14ac:dyDescent="0.2">
      <c r="B1019" s="44"/>
      <c r="C1019" s="10"/>
      <c r="D1019" s="10"/>
      <c r="E1019" s="39"/>
      <c r="F1019" s="39"/>
      <c r="G1019" s="39"/>
      <c r="H1019" s="39"/>
      <c r="I1019" s="9"/>
      <c r="J1019" s="9"/>
      <c r="K1019" s="39"/>
      <c r="L1019" s="39"/>
      <c r="M1019" s="39"/>
      <c r="N1019" s="9"/>
      <c r="O1019" s="39"/>
      <c r="P1019" s="39"/>
      <c r="Q1019" s="39"/>
      <c r="R1019" s="10"/>
      <c r="X1019" s="12"/>
      <c r="Y1019" s="12"/>
      <c r="AA1019" s="13"/>
    </row>
    <row r="1020" spans="2:27" ht="12.75" x14ac:dyDescent="0.2">
      <c r="B1020" s="44"/>
      <c r="C1020" s="10"/>
      <c r="D1020" s="10"/>
      <c r="E1020" s="39"/>
      <c r="F1020" s="39"/>
      <c r="G1020" s="39"/>
      <c r="H1020" s="39"/>
      <c r="I1020" s="9"/>
      <c r="J1020" s="9"/>
      <c r="K1020" s="39"/>
      <c r="L1020" s="39"/>
      <c r="M1020" s="39"/>
      <c r="N1020" s="9"/>
      <c r="O1020" s="39"/>
      <c r="P1020" s="39"/>
      <c r="Q1020" s="39"/>
      <c r="R1020" s="10"/>
      <c r="X1020" s="12"/>
      <c r="Y1020" s="12"/>
      <c r="AA1020" s="13"/>
    </row>
    <row r="1021" spans="2:27" ht="12.75" x14ac:dyDescent="0.2">
      <c r="B1021" s="44"/>
      <c r="C1021" s="10"/>
      <c r="D1021" s="10"/>
      <c r="E1021" s="39"/>
      <c r="F1021" s="39"/>
      <c r="G1021" s="39"/>
      <c r="H1021" s="39"/>
      <c r="I1021" s="9"/>
      <c r="J1021" s="9"/>
      <c r="K1021" s="39"/>
      <c r="L1021" s="39"/>
      <c r="M1021" s="39"/>
      <c r="N1021" s="9"/>
      <c r="O1021" s="39"/>
      <c r="P1021" s="39"/>
      <c r="Q1021" s="39"/>
      <c r="R1021" s="10"/>
      <c r="X1021" s="12"/>
      <c r="Y1021" s="12"/>
      <c r="AA1021" s="13"/>
    </row>
    <row r="1022" spans="2:27" ht="12.75" x14ac:dyDescent="0.2">
      <c r="B1022" s="44"/>
      <c r="C1022" s="10"/>
      <c r="D1022" s="10"/>
      <c r="E1022" s="39"/>
      <c r="F1022" s="39"/>
      <c r="G1022" s="39"/>
      <c r="H1022" s="39"/>
      <c r="I1022" s="9"/>
      <c r="J1022" s="9"/>
      <c r="K1022" s="39"/>
      <c r="L1022" s="39"/>
      <c r="M1022" s="39"/>
      <c r="N1022" s="9"/>
      <c r="O1022" s="39"/>
      <c r="P1022" s="39"/>
      <c r="Q1022" s="39"/>
      <c r="R1022" s="10"/>
      <c r="X1022" s="12"/>
      <c r="Y1022" s="12"/>
      <c r="AA1022" s="13"/>
    </row>
    <row r="1023" spans="2:27" ht="12.75" x14ac:dyDescent="0.2">
      <c r="B1023" s="44"/>
      <c r="C1023" s="10"/>
      <c r="D1023" s="10"/>
      <c r="E1023" s="39"/>
      <c r="F1023" s="39"/>
      <c r="G1023" s="39"/>
      <c r="H1023" s="39"/>
      <c r="I1023" s="9"/>
      <c r="J1023" s="9"/>
      <c r="K1023" s="39"/>
      <c r="L1023" s="39"/>
      <c r="M1023" s="39"/>
      <c r="N1023" s="9"/>
      <c r="O1023" s="39"/>
      <c r="P1023" s="39"/>
      <c r="Q1023" s="39"/>
      <c r="R1023" s="10"/>
      <c r="X1023" s="12"/>
      <c r="Y1023" s="12"/>
      <c r="AA1023" s="13"/>
    </row>
    <row r="1024" spans="2:27" ht="12.75" x14ac:dyDescent="0.2">
      <c r="B1024" s="44"/>
      <c r="C1024" s="10"/>
      <c r="D1024" s="10"/>
      <c r="E1024" s="39"/>
      <c r="F1024" s="39"/>
      <c r="G1024" s="39"/>
      <c r="H1024" s="39"/>
      <c r="I1024" s="9"/>
      <c r="J1024" s="9"/>
      <c r="K1024" s="39"/>
      <c r="L1024" s="39"/>
      <c r="M1024" s="39"/>
      <c r="N1024" s="9"/>
      <c r="O1024" s="39"/>
      <c r="P1024" s="39"/>
      <c r="Q1024" s="39"/>
      <c r="R1024" s="10"/>
      <c r="X1024" s="12"/>
      <c r="Y1024" s="12"/>
      <c r="AA1024" s="13"/>
    </row>
    <row r="1025" spans="2:27" ht="12.75" x14ac:dyDescent="0.2">
      <c r="B1025" s="44"/>
      <c r="C1025" s="10"/>
      <c r="D1025" s="10"/>
      <c r="E1025" s="39"/>
      <c r="F1025" s="39"/>
      <c r="G1025" s="39"/>
      <c r="H1025" s="39"/>
      <c r="I1025" s="9"/>
      <c r="J1025" s="9"/>
      <c r="K1025" s="39"/>
      <c r="L1025" s="39"/>
      <c r="M1025" s="39"/>
      <c r="N1025" s="9"/>
      <c r="O1025" s="39"/>
      <c r="P1025" s="39"/>
      <c r="Q1025" s="39"/>
      <c r="R1025" s="10"/>
      <c r="X1025" s="12"/>
      <c r="Y1025" s="12"/>
      <c r="AA1025" s="13"/>
    </row>
    <row r="1026" spans="2:27" ht="12.75" x14ac:dyDescent="0.2">
      <c r="B1026" s="44"/>
      <c r="C1026" s="10"/>
      <c r="D1026" s="10"/>
      <c r="E1026" s="39"/>
      <c r="F1026" s="39"/>
      <c r="G1026" s="39"/>
      <c r="H1026" s="39"/>
      <c r="I1026" s="9"/>
      <c r="J1026" s="9"/>
      <c r="K1026" s="39"/>
      <c r="L1026" s="39"/>
      <c r="M1026" s="39"/>
      <c r="N1026" s="9"/>
      <c r="O1026" s="39"/>
      <c r="P1026" s="39"/>
      <c r="Q1026" s="39"/>
      <c r="R1026" s="10"/>
      <c r="X1026" s="12"/>
      <c r="Y1026" s="12"/>
      <c r="AA1026" s="13"/>
    </row>
    <row r="1027" spans="2:27" ht="12.75" x14ac:dyDescent="0.2">
      <c r="B1027" s="44"/>
      <c r="C1027" s="10"/>
      <c r="D1027" s="10"/>
      <c r="E1027" s="39"/>
      <c r="F1027" s="39"/>
      <c r="G1027" s="39"/>
      <c r="H1027" s="39"/>
      <c r="I1027" s="9"/>
      <c r="J1027" s="9"/>
      <c r="K1027" s="39"/>
      <c r="L1027" s="39"/>
      <c r="M1027" s="39"/>
      <c r="N1027" s="9"/>
      <c r="O1027" s="39"/>
      <c r="P1027" s="39"/>
      <c r="Q1027" s="39"/>
      <c r="R1027" s="10"/>
      <c r="X1027" s="12"/>
      <c r="Y1027" s="12"/>
      <c r="AA1027" s="13"/>
    </row>
    <row r="1028" spans="2:27" ht="12.75" x14ac:dyDescent="0.2">
      <c r="B1028" s="44"/>
      <c r="C1028" s="10"/>
      <c r="D1028" s="10"/>
      <c r="E1028" s="39"/>
      <c r="F1028" s="39"/>
      <c r="G1028" s="39"/>
      <c r="H1028" s="39"/>
      <c r="I1028" s="9"/>
      <c r="J1028" s="9"/>
      <c r="K1028" s="39"/>
      <c r="L1028" s="39"/>
      <c r="M1028" s="39"/>
      <c r="N1028" s="9"/>
      <c r="O1028" s="39"/>
      <c r="P1028" s="39"/>
      <c r="Q1028" s="39"/>
      <c r="R1028" s="10"/>
      <c r="X1028" s="12"/>
      <c r="Y1028" s="12"/>
      <c r="AA1028" s="13"/>
    </row>
    <row r="1029" spans="2:27" ht="12.75" x14ac:dyDescent="0.2">
      <c r="B1029" s="44"/>
      <c r="C1029" s="10"/>
      <c r="D1029" s="10"/>
      <c r="E1029" s="39"/>
      <c r="F1029" s="39"/>
      <c r="G1029" s="39"/>
      <c r="H1029" s="39"/>
      <c r="I1029" s="9"/>
      <c r="J1029" s="9"/>
      <c r="K1029" s="39"/>
      <c r="L1029" s="39"/>
      <c r="M1029" s="39"/>
      <c r="N1029" s="9"/>
      <c r="O1029" s="39"/>
      <c r="P1029" s="39"/>
      <c r="Q1029" s="39"/>
      <c r="R1029" s="10"/>
      <c r="X1029" s="12"/>
      <c r="Y1029" s="12"/>
      <c r="AA1029" s="13"/>
    </row>
    <row r="1030" spans="2:27" ht="12.75" x14ac:dyDescent="0.2">
      <c r="B1030" s="44"/>
      <c r="C1030" s="10"/>
      <c r="D1030" s="10"/>
      <c r="E1030" s="39"/>
      <c r="F1030" s="39"/>
      <c r="G1030" s="39"/>
      <c r="H1030" s="39"/>
      <c r="I1030" s="9"/>
      <c r="J1030" s="9"/>
      <c r="K1030" s="39"/>
      <c r="L1030" s="39"/>
      <c r="M1030" s="39"/>
      <c r="N1030" s="9"/>
      <c r="O1030" s="39"/>
      <c r="P1030" s="39"/>
      <c r="Q1030" s="39"/>
      <c r="R1030" s="10"/>
      <c r="X1030" s="12"/>
      <c r="Y1030" s="12"/>
      <c r="AA1030" s="13"/>
    </row>
    <row r="1031" spans="2:27" ht="12.75" x14ac:dyDescent="0.2">
      <c r="B1031" s="44"/>
      <c r="C1031" s="10"/>
      <c r="D1031" s="10"/>
      <c r="E1031" s="39"/>
      <c r="F1031" s="39"/>
      <c r="G1031" s="39"/>
      <c r="H1031" s="39"/>
      <c r="I1031" s="9"/>
      <c r="J1031" s="9"/>
      <c r="K1031" s="39"/>
      <c r="L1031" s="39"/>
      <c r="M1031" s="39"/>
      <c r="N1031" s="9"/>
      <c r="O1031" s="39"/>
      <c r="P1031" s="39"/>
      <c r="Q1031" s="39"/>
      <c r="R1031" s="10"/>
      <c r="X1031" s="12"/>
      <c r="Y1031" s="12"/>
      <c r="AA1031" s="13"/>
    </row>
    <row r="1032" spans="2:27" ht="12.75" x14ac:dyDescent="0.2">
      <c r="B1032" s="44"/>
      <c r="C1032" s="10"/>
      <c r="D1032" s="10"/>
      <c r="E1032" s="39"/>
      <c r="F1032" s="39"/>
      <c r="G1032" s="39"/>
      <c r="H1032" s="39"/>
      <c r="I1032" s="9"/>
      <c r="J1032" s="9"/>
      <c r="K1032" s="39"/>
      <c r="L1032" s="39"/>
      <c r="M1032" s="39"/>
      <c r="N1032" s="9"/>
      <c r="O1032" s="39"/>
      <c r="P1032" s="39"/>
      <c r="Q1032" s="39"/>
      <c r="R1032" s="10"/>
      <c r="X1032" s="12"/>
      <c r="Y1032" s="12"/>
      <c r="AA1032" s="13"/>
    </row>
    <row r="1033" spans="2:27" ht="12.75" x14ac:dyDescent="0.2">
      <c r="B1033" s="44"/>
      <c r="C1033" s="10"/>
      <c r="D1033" s="10"/>
      <c r="E1033" s="39"/>
      <c r="F1033" s="39"/>
      <c r="G1033" s="39"/>
      <c r="H1033" s="39"/>
      <c r="I1033" s="9"/>
      <c r="J1033" s="9"/>
      <c r="K1033" s="39"/>
      <c r="L1033" s="39"/>
      <c r="M1033" s="39"/>
      <c r="N1033" s="9"/>
      <c r="O1033" s="39"/>
      <c r="P1033" s="39"/>
      <c r="Q1033" s="39"/>
      <c r="R1033" s="10"/>
      <c r="X1033" s="12"/>
      <c r="Y1033" s="12"/>
      <c r="AA1033" s="13"/>
    </row>
    <row r="1034" spans="2:27" ht="12.75" x14ac:dyDescent="0.2">
      <c r="B1034" s="44"/>
      <c r="C1034" s="10"/>
      <c r="D1034" s="10"/>
      <c r="E1034" s="39"/>
      <c r="F1034" s="39"/>
      <c r="G1034" s="39"/>
      <c r="H1034" s="39"/>
      <c r="I1034" s="9"/>
      <c r="J1034" s="9"/>
      <c r="K1034" s="39"/>
      <c r="L1034" s="39"/>
      <c r="M1034" s="39"/>
      <c r="N1034" s="9"/>
      <c r="O1034" s="39"/>
      <c r="P1034" s="39"/>
      <c r="Q1034" s="39"/>
      <c r="R1034" s="10"/>
      <c r="X1034" s="12"/>
      <c r="Y1034" s="12"/>
      <c r="AA1034" s="13"/>
    </row>
    <row r="1035" spans="2:27" ht="12.75" x14ac:dyDescent="0.2">
      <c r="B1035" s="44"/>
      <c r="C1035" s="10"/>
      <c r="D1035" s="10"/>
      <c r="E1035" s="39"/>
      <c r="F1035" s="39"/>
      <c r="G1035" s="39"/>
      <c r="H1035" s="39"/>
      <c r="I1035" s="9"/>
      <c r="J1035" s="9"/>
      <c r="K1035" s="39"/>
      <c r="L1035" s="39"/>
      <c r="M1035" s="39"/>
      <c r="N1035" s="9"/>
      <c r="O1035" s="39"/>
      <c r="P1035" s="39"/>
      <c r="Q1035" s="39"/>
      <c r="R1035" s="10"/>
      <c r="X1035" s="12"/>
      <c r="Y1035" s="12"/>
      <c r="AA1035" s="13"/>
    </row>
    <row r="1036" spans="2:27" ht="12.75" x14ac:dyDescent="0.2">
      <c r="B1036" s="44"/>
      <c r="C1036" s="10"/>
      <c r="D1036" s="10"/>
      <c r="E1036" s="39"/>
      <c r="F1036" s="39"/>
      <c r="G1036" s="39"/>
      <c r="H1036" s="39"/>
      <c r="I1036" s="9"/>
      <c r="J1036" s="9"/>
      <c r="K1036" s="39"/>
      <c r="L1036" s="39"/>
      <c r="M1036" s="39"/>
      <c r="N1036" s="9"/>
      <c r="O1036" s="39"/>
      <c r="P1036" s="39"/>
      <c r="Q1036" s="39"/>
      <c r="R1036" s="10"/>
      <c r="X1036" s="12"/>
      <c r="Y1036" s="12"/>
      <c r="AA1036" s="13"/>
    </row>
    <row r="1037" spans="2:27" ht="12.75" x14ac:dyDescent="0.2">
      <c r="B1037" s="44"/>
      <c r="C1037" s="10"/>
      <c r="D1037" s="10"/>
      <c r="E1037" s="39"/>
      <c r="F1037" s="39"/>
      <c r="G1037" s="39"/>
      <c r="H1037" s="39"/>
      <c r="I1037" s="9"/>
      <c r="J1037" s="9"/>
      <c r="K1037" s="39"/>
      <c r="L1037" s="39"/>
      <c r="M1037" s="39"/>
      <c r="N1037" s="9"/>
      <c r="O1037" s="39"/>
      <c r="P1037" s="39"/>
      <c r="Q1037" s="39"/>
      <c r="R1037" s="10"/>
      <c r="X1037" s="12"/>
      <c r="Y1037" s="12"/>
      <c r="AA1037" s="13"/>
    </row>
    <row r="1038" spans="2:27" ht="12.75" x14ac:dyDescent="0.2">
      <c r="B1038" s="44"/>
      <c r="C1038" s="10"/>
      <c r="D1038" s="10"/>
      <c r="E1038" s="39"/>
      <c r="F1038" s="39"/>
      <c r="G1038" s="39"/>
      <c r="H1038" s="39"/>
      <c r="I1038" s="9"/>
      <c r="J1038" s="9"/>
      <c r="K1038" s="39"/>
      <c r="L1038" s="39"/>
      <c r="M1038" s="39"/>
      <c r="N1038" s="9"/>
      <c r="O1038" s="39"/>
      <c r="P1038" s="39"/>
      <c r="Q1038" s="39"/>
      <c r="R1038" s="10"/>
      <c r="X1038" s="12"/>
      <c r="Y1038" s="12"/>
      <c r="AA1038" s="13"/>
    </row>
    <row r="1039" spans="2:27" ht="12.75" x14ac:dyDescent="0.2">
      <c r="B1039" s="44"/>
      <c r="C1039" s="10"/>
      <c r="D1039" s="10"/>
      <c r="E1039" s="39"/>
      <c r="F1039" s="39"/>
      <c r="G1039" s="39"/>
      <c r="H1039" s="39"/>
      <c r="I1039" s="9"/>
      <c r="J1039" s="9"/>
      <c r="K1039" s="39"/>
      <c r="L1039" s="39"/>
      <c r="M1039" s="39"/>
      <c r="N1039" s="9"/>
      <c r="O1039" s="39"/>
      <c r="P1039" s="39"/>
      <c r="Q1039" s="39"/>
      <c r="R1039" s="10"/>
      <c r="X1039" s="12"/>
      <c r="Y1039" s="12"/>
      <c r="AA1039" s="13"/>
    </row>
    <row r="1040" spans="2:27" ht="12.75" x14ac:dyDescent="0.2">
      <c r="B1040" s="44"/>
      <c r="C1040" s="10"/>
      <c r="D1040" s="10"/>
      <c r="E1040" s="39"/>
      <c r="F1040" s="39"/>
      <c r="G1040" s="39"/>
      <c r="H1040" s="39"/>
      <c r="I1040" s="9"/>
      <c r="J1040" s="9"/>
      <c r="K1040" s="39"/>
      <c r="L1040" s="39"/>
      <c r="M1040" s="39"/>
      <c r="N1040" s="9"/>
      <c r="O1040" s="39"/>
      <c r="P1040" s="39"/>
      <c r="Q1040" s="39"/>
      <c r="R1040" s="10"/>
      <c r="X1040" s="12"/>
      <c r="Y1040" s="12"/>
      <c r="AA1040" s="13"/>
    </row>
    <row r="1041" spans="2:27" ht="12.75" x14ac:dyDescent="0.2">
      <c r="B1041" s="44"/>
      <c r="C1041" s="10"/>
      <c r="D1041" s="10"/>
      <c r="E1041" s="39"/>
      <c r="F1041" s="39"/>
      <c r="G1041" s="39"/>
      <c r="H1041" s="39"/>
      <c r="I1041" s="9"/>
      <c r="J1041" s="9"/>
      <c r="K1041" s="39"/>
      <c r="L1041" s="39"/>
      <c r="M1041" s="39"/>
      <c r="N1041" s="9"/>
      <c r="O1041" s="39"/>
      <c r="P1041" s="39"/>
      <c r="Q1041" s="39"/>
      <c r="R1041" s="10"/>
      <c r="X1041" s="12"/>
      <c r="Y1041" s="12"/>
      <c r="AA1041" s="13"/>
    </row>
    <row r="1042" spans="2:27" ht="12.75" x14ac:dyDescent="0.2">
      <c r="B1042" s="44"/>
      <c r="C1042" s="10"/>
      <c r="D1042" s="10"/>
      <c r="E1042" s="39"/>
      <c r="F1042" s="39"/>
      <c r="G1042" s="39"/>
      <c r="H1042" s="39"/>
      <c r="I1042" s="9"/>
      <c r="J1042" s="9"/>
      <c r="K1042" s="39"/>
      <c r="L1042" s="39"/>
      <c r="M1042" s="39"/>
      <c r="N1042" s="9"/>
      <c r="O1042" s="39"/>
      <c r="P1042" s="39"/>
      <c r="Q1042" s="39"/>
      <c r="R1042" s="10"/>
      <c r="X1042" s="12"/>
      <c r="Y1042" s="12"/>
      <c r="AA1042" s="13"/>
    </row>
    <row r="1043" spans="2:27" ht="12.75" x14ac:dyDescent="0.2">
      <c r="B1043" s="44"/>
      <c r="C1043" s="10"/>
      <c r="D1043" s="10"/>
      <c r="E1043" s="39"/>
      <c r="F1043" s="39"/>
      <c r="G1043" s="39"/>
      <c r="H1043" s="39"/>
      <c r="I1043" s="9"/>
      <c r="J1043" s="9"/>
      <c r="K1043" s="39"/>
      <c r="L1043" s="39"/>
      <c r="M1043" s="39"/>
      <c r="N1043" s="9"/>
      <c r="O1043" s="39"/>
      <c r="P1043" s="39"/>
      <c r="Q1043" s="39"/>
      <c r="R1043" s="10"/>
      <c r="X1043" s="12"/>
      <c r="Y1043" s="12"/>
      <c r="AA1043" s="13"/>
    </row>
    <row r="1044" spans="2:27" ht="12.75" x14ac:dyDescent="0.2">
      <c r="B1044" s="44"/>
      <c r="C1044" s="10"/>
      <c r="D1044" s="10"/>
      <c r="E1044" s="39"/>
      <c r="F1044" s="39"/>
      <c r="G1044" s="39"/>
      <c r="H1044" s="39"/>
      <c r="I1044" s="9"/>
      <c r="J1044" s="9"/>
      <c r="K1044" s="39"/>
      <c r="L1044" s="39"/>
      <c r="M1044" s="39"/>
      <c r="N1044" s="9"/>
      <c r="O1044" s="39"/>
      <c r="P1044" s="39"/>
      <c r="Q1044" s="39"/>
      <c r="R1044" s="10"/>
      <c r="X1044" s="12"/>
      <c r="Y1044" s="12"/>
      <c r="AA1044" s="13"/>
    </row>
    <row r="1045" spans="2:27" ht="12.75" x14ac:dyDescent="0.2">
      <c r="B1045" s="44"/>
      <c r="C1045" s="10"/>
      <c r="D1045" s="10"/>
      <c r="E1045" s="39"/>
      <c r="F1045" s="39"/>
      <c r="G1045" s="39"/>
      <c r="H1045" s="39"/>
      <c r="I1045" s="9"/>
      <c r="J1045" s="9"/>
      <c r="K1045" s="39"/>
      <c r="L1045" s="39"/>
      <c r="M1045" s="39"/>
      <c r="N1045" s="9"/>
      <c r="O1045" s="39"/>
      <c r="P1045" s="39"/>
      <c r="Q1045" s="39"/>
      <c r="R1045" s="10"/>
      <c r="X1045" s="12"/>
      <c r="Y1045" s="12"/>
      <c r="AA1045" s="13"/>
    </row>
    <row r="1046" spans="2:27" ht="12.75" x14ac:dyDescent="0.2">
      <c r="B1046" s="44"/>
      <c r="C1046" s="10"/>
      <c r="D1046" s="10"/>
      <c r="E1046" s="39"/>
      <c r="F1046" s="39"/>
      <c r="G1046" s="39"/>
      <c r="H1046" s="39"/>
      <c r="I1046" s="9"/>
      <c r="J1046" s="9"/>
      <c r="K1046" s="39"/>
      <c r="L1046" s="39"/>
      <c r="M1046" s="39"/>
      <c r="N1046" s="9"/>
      <c r="O1046" s="39"/>
      <c r="P1046" s="39"/>
      <c r="Q1046" s="39"/>
      <c r="R1046" s="10"/>
      <c r="X1046" s="12"/>
      <c r="Y1046" s="12"/>
      <c r="AA1046" s="13"/>
    </row>
    <row r="1047" spans="2:27" ht="12.75" x14ac:dyDescent="0.2">
      <c r="B1047" s="44"/>
      <c r="C1047" s="10"/>
      <c r="D1047" s="10"/>
      <c r="E1047" s="39"/>
      <c r="F1047" s="39"/>
      <c r="G1047" s="39"/>
      <c r="H1047" s="39"/>
      <c r="I1047" s="9"/>
      <c r="J1047" s="9"/>
      <c r="K1047" s="39"/>
      <c r="L1047" s="39"/>
      <c r="M1047" s="39"/>
      <c r="N1047" s="9"/>
      <c r="O1047" s="39"/>
      <c r="P1047" s="39"/>
      <c r="Q1047" s="39"/>
      <c r="R1047" s="10"/>
      <c r="X1047" s="12"/>
      <c r="Y1047" s="12"/>
      <c r="AA1047" s="13"/>
    </row>
    <row r="1048" spans="2:27" ht="12.75" x14ac:dyDescent="0.2">
      <c r="B1048" s="44"/>
      <c r="C1048" s="10"/>
      <c r="D1048" s="10"/>
      <c r="E1048" s="39"/>
      <c r="F1048" s="39"/>
      <c r="G1048" s="39"/>
      <c r="H1048" s="39"/>
      <c r="I1048" s="9"/>
      <c r="J1048" s="9"/>
      <c r="K1048" s="39"/>
      <c r="L1048" s="39"/>
      <c r="M1048" s="39"/>
      <c r="N1048" s="9"/>
      <c r="O1048" s="39"/>
      <c r="P1048" s="39"/>
      <c r="Q1048" s="39"/>
      <c r="R1048" s="10"/>
      <c r="X1048" s="12"/>
      <c r="Y1048" s="12"/>
      <c r="AA1048" s="13"/>
    </row>
    <row r="1049" spans="2:27" ht="12.75" x14ac:dyDescent="0.2">
      <c r="B1049" s="44"/>
      <c r="C1049" s="10"/>
      <c r="D1049" s="10"/>
      <c r="E1049" s="39"/>
      <c r="F1049" s="39"/>
      <c r="G1049" s="39"/>
      <c r="H1049" s="39"/>
      <c r="I1049" s="9"/>
      <c r="J1049" s="9"/>
      <c r="K1049" s="39"/>
      <c r="L1049" s="39"/>
      <c r="M1049" s="39"/>
      <c r="N1049" s="9"/>
      <c r="O1049" s="39"/>
      <c r="P1049" s="39"/>
      <c r="Q1049" s="39"/>
      <c r="R1049" s="10"/>
      <c r="X1049" s="12"/>
      <c r="Y1049" s="12"/>
      <c r="AA1049" s="13"/>
    </row>
    <row r="1050" spans="2:27" ht="12.75" x14ac:dyDescent="0.2">
      <c r="B1050" s="44"/>
      <c r="C1050" s="10"/>
      <c r="D1050" s="10"/>
      <c r="E1050" s="39"/>
      <c r="F1050" s="39"/>
      <c r="G1050" s="39"/>
      <c r="H1050" s="39"/>
      <c r="I1050" s="9"/>
      <c r="J1050" s="9"/>
      <c r="K1050" s="39"/>
      <c r="L1050" s="39"/>
      <c r="M1050" s="39"/>
      <c r="N1050" s="9"/>
      <c r="O1050" s="39"/>
      <c r="P1050" s="39"/>
      <c r="Q1050" s="39"/>
      <c r="R1050" s="10"/>
      <c r="X1050" s="12"/>
      <c r="Y1050" s="12"/>
      <c r="AA1050" s="13"/>
    </row>
    <row r="1051" spans="2:27" ht="12.75" x14ac:dyDescent="0.2">
      <c r="B1051" s="44"/>
      <c r="C1051" s="10"/>
      <c r="D1051" s="10"/>
      <c r="E1051" s="39"/>
      <c r="F1051" s="39"/>
      <c r="G1051" s="39"/>
      <c r="H1051" s="39"/>
      <c r="I1051" s="9"/>
      <c r="J1051" s="9"/>
      <c r="K1051" s="39"/>
      <c r="L1051" s="39"/>
      <c r="M1051" s="39"/>
      <c r="N1051" s="9"/>
      <c r="O1051" s="39"/>
      <c r="P1051" s="39"/>
      <c r="Q1051" s="39"/>
      <c r="R1051" s="10"/>
      <c r="X1051" s="12"/>
      <c r="Y1051" s="12"/>
      <c r="AA1051" s="13"/>
    </row>
    <row r="1052" spans="2:27" ht="12.75" x14ac:dyDescent="0.2">
      <c r="B1052" s="44"/>
      <c r="C1052" s="10"/>
      <c r="D1052" s="10"/>
      <c r="E1052" s="39"/>
      <c r="F1052" s="39"/>
      <c r="G1052" s="39"/>
      <c r="H1052" s="39"/>
      <c r="I1052" s="9"/>
      <c r="J1052" s="9"/>
      <c r="K1052" s="39"/>
      <c r="L1052" s="39"/>
      <c r="M1052" s="39"/>
      <c r="N1052" s="9"/>
      <c r="O1052" s="39"/>
      <c r="P1052" s="39"/>
      <c r="Q1052" s="39"/>
      <c r="R1052" s="10"/>
      <c r="X1052" s="12"/>
      <c r="Y1052" s="12"/>
      <c r="AA1052" s="13"/>
    </row>
    <row r="1053" spans="2:27" ht="12.75" x14ac:dyDescent="0.2">
      <c r="B1053" s="44"/>
      <c r="C1053" s="10"/>
      <c r="D1053" s="10"/>
      <c r="E1053" s="39"/>
      <c r="F1053" s="39"/>
      <c r="G1053" s="39"/>
      <c r="H1053" s="39"/>
      <c r="I1053" s="9"/>
      <c r="J1053" s="9"/>
      <c r="K1053" s="39"/>
      <c r="L1053" s="39"/>
      <c r="M1053" s="39"/>
      <c r="N1053" s="9"/>
      <c r="O1053" s="39"/>
      <c r="P1053" s="39"/>
      <c r="Q1053" s="39"/>
      <c r="R1053" s="10"/>
      <c r="X1053" s="12"/>
      <c r="Y1053" s="12"/>
      <c r="AA1053" s="13"/>
    </row>
    <row r="1054" spans="2:27" ht="12.75" x14ac:dyDescent="0.2">
      <c r="B1054" s="44"/>
      <c r="C1054" s="10"/>
      <c r="D1054" s="10"/>
      <c r="E1054" s="39"/>
      <c r="F1054" s="39"/>
      <c r="G1054" s="39"/>
      <c r="H1054" s="39"/>
      <c r="I1054" s="9"/>
      <c r="J1054" s="9"/>
      <c r="K1054" s="39"/>
      <c r="L1054" s="39"/>
      <c r="M1054" s="39"/>
      <c r="N1054" s="9"/>
      <c r="O1054" s="39"/>
      <c r="P1054" s="39"/>
      <c r="Q1054" s="39"/>
      <c r="R1054" s="10"/>
      <c r="X1054" s="12"/>
      <c r="Y1054" s="12"/>
      <c r="AA1054" s="13"/>
    </row>
    <row r="1055" spans="2:27" ht="12.75" x14ac:dyDescent="0.2">
      <c r="B1055" s="44"/>
      <c r="C1055" s="10"/>
      <c r="D1055" s="10"/>
      <c r="E1055" s="39"/>
      <c r="F1055" s="39"/>
      <c r="G1055" s="39"/>
      <c r="H1055" s="39"/>
      <c r="I1055" s="9"/>
      <c r="J1055" s="9"/>
      <c r="K1055" s="39"/>
      <c r="L1055" s="39"/>
      <c r="M1055" s="39"/>
      <c r="N1055" s="9"/>
      <c r="O1055" s="39"/>
      <c r="P1055" s="39"/>
      <c r="Q1055" s="39"/>
      <c r="R1055" s="10"/>
      <c r="X1055" s="12"/>
      <c r="Y1055" s="12"/>
      <c r="AA1055" s="13"/>
    </row>
    <row r="1056" spans="2:27" ht="12.75" x14ac:dyDescent="0.2">
      <c r="B1056" s="44"/>
      <c r="C1056" s="10"/>
      <c r="D1056" s="10"/>
      <c r="E1056" s="39"/>
      <c r="F1056" s="39"/>
      <c r="G1056" s="39"/>
      <c r="H1056" s="39"/>
      <c r="I1056" s="9"/>
      <c r="J1056" s="9"/>
      <c r="K1056" s="39"/>
      <c r="L1056" s="39"/>
      <c r="M1056" s="39"/>
      <c r="N1056" s="9"/>
      <c r="O1056" s="39"/>
      <c r="P1056" s="39"/>
      <c r="Q1056" s="39"/>
      <c r="R1056" s="10"/>
      <c r="X1056" s="12"/>
      <c r="Y1056" s="12"/>
      <c r="AA1056" s="13"/>
    </row>
    <row r="1057" spans="2:27" ht="12.75" x14ac:dyDescent="0.2">
      <c r="B1057" s="44"/>
      <c r="C1057" s="10"/>
      <c r="D1057" s="10"/>
      <c r="E1057" s="39"/>
      <c r="F1057" s="39"/>
      <c r="G1057" s="39"/>
      <c r="H1057" s="39"/>
      <c r="I1057" s="9"/>
      <c r="J1057" s="9"/>
      <c r="K1057" s="39"/>
      <c r="L1057" s="39"/>
      <c r="M1057" s="39"/>
      <c r="N1057" s="9"/>
      <c r="O1057" s="39"/>
      <c r="P1057" s="39"/>
      <c r="Q1057" s="39"/>
      <c r="R1057" s="10"/>
      <c r="X1057" s="12"/>
      <c r="Y1057" s="12"/>
      <c r="AA1057" s="13"/>
    </row>
  </sheetData>
  <sheetProtection algorithmName="SHA-512" hashValue="e9z+Ua4j0hPU2kMBpvrncK6hDYzvObMkIo3JQA4nfXjbUsCaY0qA8h27o+/Q+MA5+GtXuCMTr6P3qzfbrB2zTQ==" saltValue="nxv0NSPCSRoaGx40YdInJQ==" spinCount="100000" sheet="1" objects="1" scenarios="1"/>
  <mergeCells count="3">
    <mergeCell ref="K3:M3"/>
    <mergeCell ref="O3:Q3"/>
    <mergeCell ref="S3:V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outlinePr summaryBelow="0" summaryRight="0"/>
  </sheetPr>
  <dimension ref="A1:U2626"/>
  <sheetViews>
    <sheetView workbookViewId="0">
      <selection activeCell="J5" sqref="J5"/>
    </sheetView>
  </sheetViews>
  <sheetFormatPr defaultColWidth="14.42578125" defaultRowHeight="15.75" customHeight="1" x14ac:dyDescent="0.2"/>
  <cols>
    <col min="1" max="1" width="24.140625" customWidth="1"/>
    <col min="2" max="2" width="21.42578125" customWidth="1"/>
  </cols>
  <sheetData>
    <row r="1" spans="1:21" s="274" customFormat="1" ht="189" customHeight="1" x14ac:dyDescent="0.25">
      <c r="A1" s="341" t="s">
        <v>1358</v>
      </c>
      <c r="B1" s="341"/>
      <c r="C1" s="341"/>
      <c r="D1" s="341"/>
      <c r="E1" s="341"/>
      <c r="F1" s="341"/>
      <c r="G1" s="341"/>
      <c r="H1" s="341"/>
      <c r="I1" s="341"/>
      <c r="J1" s="341"/>
      <c r="K1" s="341"/>
      <c r="L1" s="341"/>
      <c r="M1" s="272"/>
      <c r="N1" s="272"/>
      <c r="O1" s="272"/>
      <c r="P1" s="273"/>
      <c r="Q1" s="272"/>
      <c r="R1" s="272"/>
      <c r="S1" s="272"/>
    </row>
    <row r="2" spans="1:21" s="298" customFormat="1" ht="63" customHeight="1" x14ac:dyDescent="0.2">
      <c r="A2" s="296" t="s">
        <v>127</v>
      </c>
      <c r="B2" s="297" t="s">
        <v>18</v>
      </c>
      <c r="C2" s="297" t="s">
        <v>646</v>
      </c>
      <c r="D2" s="297" t="s">
        <v>128</v>
      </c>
      <c r="E2" s="296" t="s">
        <v>647</v>
      </c>
      <c r="F2" s="276" t="s">
        <v>129</v>
      </c>
      <c r="G2" s="276" t="s">
        <v>130</v>
      </c>
      <c r="H2" s="276" t="s">
        <v>131</v>
      </c>
      <c r="I2" s="276" t="s">
        <v>132</v>
      </c>
      <c r="J2" s="277" t="s">
        <v>133</v>
      </c>
      <c r="K2" s="277" t="s">
        <v>134</v>
      </c>
      <c r="L2" s="277" t="s">
        <v>135</v>
      </c>
      <c r="M2" s="277" t="s">
        <v>136</v>
      </c>
      <c r="N2" s="278" t="s">
        <v>137</v>
      </c>
      <c r="O2" s="278" t="s">
        <v>138</v>
      </c>
      <c r="P2" s="279" t="s">
        <v>139</v>
      </c>
      <c r="Q2" s="280" t="s">
        <v>140</v>
      </c>
      <c r="R2" s="275" t="s">
        <v>141</v>
      </c>
      <c r="S2" s="275" t="s">
        <v>142</v>
      </c>
      <c r="T2" s="281" t="s">
        <v>1359</v>
      </c>
      <c r="U2" s="281" t="s">
        <v>1360</v>
      </c>
    </row>
    <row r="3" spans="1:21" s="274" customFormat="1" ht="12.75" x14ac:dyDescent="0.2">
      <c r="A3" s="282" t="s">
        <v>184</v>
      </c>
      <c r="B3" s="282" t="s">
        <v>262</v>
      </c>
      <c r="C3" s="282" t="s">
        <v>649</v>
      </c>
      <c r="D3" s="283">
        <v>2014</v>
      </c>
      <c r="E3" s="282" t="s">
        <v>650</v>
      </c>
      <c r="F3" s="284">
        <v>31</v>
      </c>
      <c r="G3" s="285">
        <v>0</v>
      </c>
      <c r="H3" s="285">
        <v>0</v>
      </c>
      <c r="I3" s="285">
        <v>0</v>
      </c>
      <c r="J3" s="285">
        <v>19</v>
      </c>
      <c r="K3" s="284">
        <v>0</v>
      </c>
      <c r="L3" s="284">
        <v>0</v>
      </c>
      <c r="M3" s="284">
        <v>0</v>
      </c>
      <c r="N3" s="284">
        <v>20</v>
      </c>
      <c r="O3" s="284">
        <v>0</v>
      </c>
      <c r="P3" s="284">
        <v>45</v>
      </c>
      <c r="Q3" s="286">
        <v>17</v>
      </c>
      <c r="R3" s="274">
        <v>115</v>
      </c>
      <c r="S3" s="274">
        <v>17</v>
      </c>
      <c r="T3" s="287">
        <f>IF(D3&gt;U3,D3,U3)</f>
        <v>2014</v>
      </c>
      <c r="U3" s="274">
        <f>VLOOKUP(A3,'[1]SB35 Determination Data'!$B$4:$F$542,5,FALSE)</f>
        <v>2014</v>
      </c>
    </row>
    <row r="4" spans="1:21" s="274" customFormat="1" ht="12.75" x14ac:dyDescent="0.2">
      <c r="A4" s="282" t="s">
        <v>184</v>
      </c>
      <c r="B4" s="282" t="s">
        <v>262</v>
      </c>
      <c r="C4" s="282" t="s">
        <v>649</v>
      </c>
      <c r="D4" s="283">
        <v>2015</v>
      </c>
      <c r="E4" s="282" t="s">
        <v>650</v>
      </c>
      <c r="F4" s="284">
        <v>31</v>
      </c>
      <c r="G4" s="285">
        <v>0</v>
      </c>
      <c r="H4" s="285">
        <v>0</v>
      </c>
      <c r="I4" s="285">
        <v>0</v>
      </c>
      <c r="J4" s="285">
        <v>19</v>
      </c>
      <c r="K4" s="284">
        <v>0</v>
      </c>
      <c r="L4" s="284">
        <v>0</v>
      </c>
      <c r="M4" s="284">
        <v>0</v>
      </c>
      <c r="N4" s="284">
        <v>20</v>
      </c>
      <c r="O4" s="284">
        <v>0</v>
      </c>
      <c r="P4" s="284">
        <v>45</v>
      </c>
      <c r="Q4" s="286">
        <v>15</v>
      </c>
      <c r="R4" s="274">
        <v>115</v>
      </c>
      <c r="S4" s="274">
        <v>15</v>
      </c>
      <c r="T4" s="287">
        <f t="shared" ref="T4:T67" si="0">IF(D4&gt;U4,D4,U4)</f>
        <v>2015</v>
      </c>
      <c r="U4" s="274">
        <f>VLOOKUP(A4,'[1]SB35 Determination Data'!$B$4:$F$542,5,FALSE)</f>
        <v>2014</v>
      </c>
    </row>
    <row r="5" spans="1:21" s="274" customFormat="1" ht="12.75" x14ac:dyDescent="0.2">
      <c r="A5" s="282" t="s">
        <v>184</v>
      </c>
      <c r="B5" s="282" t="s">
        <v>262</v>
      </c>
      <c r="C5" s="282" t="s">
        <v>649</v>
      </c>
      <c r="D5" s="283">
        <v>2016</v>
      </c>
      <c r="E5" s="282" t="s">
        <v>650</v>
      </c>
      <c r="F5" s="284">
        <v>31</v>
      </c>
      <c r="G5" s="285">
        <v>0</v>
      </c>
      <c r="H5" s="285">
        <v>0</v>
      </c>
      <c r="I5" s="285">
        <v>0</v>
      </c>
      <c r="J5" s="285">
        <v>19</v>
      </c>
      <c r="K5" s="284">
        <v>0</v>
      </c>
      <c r="L5" s="284">
        <v>0</v>
      </c>
      <c r="M5" s="284">
        <v>0</v>
      </c>
      <c r="N5" s="284">
        <v>20</v>
      </c>
      <c r="O5" s="284">
        <v>0</v>
      </c>
      <c r="P5" s="284">
        <v>45</v>
      </c>
      <c r="Q5" s="286">
        <v>2</v>
      </c>
      <c r="R5" s="274">
        <v>115</v>
      </c>
      <c r="S5" s="274">
        <v>2</v>
      </c>
      <c r="T5" s="287">
        <f t="shared" si="0"/>
        <v>2016</v>
      </c>
      <c r="U5" s="274">
        <f>VLOOKUP(A5,'[1]SB35 Determination Data'!$B$4:$F$542,5,FALSE)</f>
        <v>2014</v>
      </c>
    </row>
    <row r="6" spans="1:21" s="274" customFormat="1" ht="12.75" x14ac:dyDescent="0.2">
      <c r="A6" s="282" t="s">
        <v>184</v>
      </c>
      <c r="B6" s="282" t="s">
        <v>262</v>
      </c>
      <c r="C6" s="282" t="s">
        <v>649</v>
      </c>
      <c r="D6" s="283">
        <v>2017</v>
      </c>
      <c r="E6" s="282" t="s">
        <v>650</v>
      </c>
      <c r="F6" s="284">
        <v>31</v>
      </c>
      <c r="G6" s="285">
        <v>0</v>
      </c>
      <c r="H6" s="285">
        <v>0</v>
      </c>
      <c r="I6" s="285">
        <v>0</v>
      </c>
      <c r="J6" s="285">
        <v>19</v>
      </c>
      <c r="K6" s="284">
        <v>0</v>
      </c>
      <c r="L6" s="284">
        <v>0</v>
      </c>
      <c r="M6" s="284">
        <v>0</v>
      </c>
      <c r="N6" s="284">
        <v>20</v>
      </c>
      <c r="O6" s="284">
        <v>0</v>
      </c>
      <c r="P6" s="284">
        <v>45</v>
      </c>
      <c r="Q6" s="286">
        <v>7</v>
      </c>
      <c r="R6" s="274">
        <v>115</v>
      </c>
      <c r="S6" s="274">
        <v>7</v>
      </c>
      <c r="T6" s="287">
        <f t="shared" si="0"/>
        <v>2017</v>
      </c>
      <c r="U6" s="274">
        <f>VLOOKUP(A6,'[1]SB35 Determination Data'!$B$4:$F$542,5,FALSE)</f>
        <v>2014</v>
      </c>
    </row>
    <row r="7" spans="1:21" s="274" customFormat="1" ht="12.75" x14ac:dyDescent="0.2">
      <c r="A7" s="282" t="s">
        <v>40</v>
      </c>
      <c r="B7" s="282" t="s">
        <v>40</v>
      </c>
      <c r="C7" s="282" t="s">
        <v>654</v>
      </c>
      <c r="D7" s="283">
        <v>2015</v>
      </c>
      <c r="E7" s="282" t="s">
        <v>650</v>
      </c>
      <c r="F7" s="284">
        <v>444</v>
      </c>
      <c r="G7" s="285">
        <v>19</v>
      </c>
      <c r="H7" s="285">
        <v>19</v>
      </c>
      <c r="I7" s="285">
        <v>0</v>
      </c>
      <c r="J7" s="285">
        <v>248</v>
      </c>
      <c r="K7" s="284">
        <v>22</v>
      </c>
      <c r="L7" s="284">
        <v>22</v>
      </c>
      <c r="M7" s="284">
        <v>0</v>
      </c>
      <c r="N7" s="284">
        <v>283</v>
      </c>
      <c r="O7" s="284">
        <v>14</v>
      </c>
      <c r="P7" s="284">
        <v>748</v>
      </c>
      <c r="Q7" s="286">
        <v>192</v>
      </c>
      <c r="R7" s="274">
        <v>1723</v>
      </c>
      <c r="S7" s="274">
        <v>247</v>
      </c>
      <c r="T7" s="287">
        <f>IF(D7&gt;U7,D7,U7)</f>
        <v>2015</v>
      </c>
      <c r="U7" s="274">
        <f>VLOOKUP(A7,'[1]SB35 Determination Data'!$B$4:$F$542,5,FALSE)</f>
        <v>2015</v>
      </c>
    </row>
    <row r="8" spans="1:21" s="274" customFormat="1" ht="12.75" x14ac:dyDescent="0.2">
      <c r="A8" s="282" t="s">
        <v>40</v>
      </c>
      <c r="B8" s="282" t="s">
        <v>40</v>
      </c>
      <c r="C8" s="282" t="s">
        <v>654</v>
      </c>
      <c r="D8" s="283">
        <v>2016</v>
      </c>
      <c r="E8" s="282" t="s">
        <v>650</v>
      </c>
      <c r="F8" s="284">
        <v>444</v>
      </c>
      <c r="G8" s="285">
        <v>17</v>
      </c>
      <c r="H8" s="285">
        <v>17</v>
      </c>
      <c r="I8" s="285">
        <v>0</v>
      </c>
      <c r="J8" s="285">
        <v>248</v>
      </c>
      <c r="K8" s="284">
        <v>14</v>
      </c>
      <c r="L8" s="284">
        <v>14</v>
      </c>
      <c r="M8" s="284">
        <v>0</v>
      </c>
      <c r="N8" s="284">
        <v>283</v>
      </c>
      <c r="O8" s="284">
        <v>7</v>
      </c>
      <c r="P8" s="284">
        <v>748</v>
      </c>
      <c r="Q8" s="286">
        <v>61</v>
      </c>
      <c r="R8" s="274">
        <v>1723</v>
      </c>
      <c r="S8" s="274">
        <v>99</v>
      </c>
      <c r="T8" s="287">
        <f>IF(D8&gt;U8,D8,U8)</f>
        <v>2016</v>
      </c>
      <c r="U8" s="274">
        <f>VLOOKUP(A8,'[1]SB35 Determination Data'!$B$4:$F$542,5,FALSE)</f>
        <v>2015</v>
      </c>
    </row>
    <row r="9" spans="1:21" s="274" customFormat="1" ht="12.75" x14ac:dyDescent="0.2">
      <c r="A9" s="282" t="s">
        <v>40</v>
      </c>
      <c r="B9" s="282" t="s">
        <v>40</v>
      </c>
      <c r="C9" s="282" t="s">
        <v>654</v>
      </c>
      <c r="D9" s="283">
        <v>2017</v>
      </c>
      <c r="E9" s="282" t="s">
        <v>650</v>
      </c>
      <c r="F9" s="284">
        <v>444</v>
      </c>
      <c r="G9" s="285">
        <v>18</v>
      </c>
      <c r="H9" s="288">
        <v>18</v>
      </c>
      <c r="I9" s="285">
        <v>0</v>
      </c>
      <c r="J9" s="285">
        <v>248</v>
      </c>
      <c r="K9" s="284">
        <v>4</v>
      </c>
      <c r="L9" s="284">
        <v>4</v>
      </c>
      <c r="M9" s="284">
        <v>0</v>
      </c>
      <c r="N9" s="284">
        <v>283</v>
      </c>
      <c r="O9" s="284">
        <v>5</v>
      </c>
      <c r="P9" s="284">
        <v>748</v>
      </c>
      <c r="Q9" s="286">
        <v>66</v>
      </c>
      <c r="R9" s="274">
        <v>1723</v>
      </c>
      <c r="S9" s="274">
        <v>93</v>
      </c>
      <c r="T9" s="287">
        <f t="shared" si="0"/>
        <v>2017</v>
      </c>
      <c r="U9" s="274">
        <f>VLOOKUP(A9,'[1]SB35 Determination Data'!$B$4:$F$542,5,FALSE)</f>
        <v>2015</v>
      </c>
    </row>
    <row r="10" spans="1:21" s="274" customFormat="1" ht="12.75" x14ac:dyDescent="0.2">
      <c r="A10" s="282" t="s">
        <v>144</v>
      </c>
      <c r="B10" s="282" t="s">
        <v>40</v>
      </c>
      <c r="C10" s="282" t="s">
        <v>654</v>
      </c>
      <c r="D10" s="283">
        <v>2014</v>
      </c>
      <c r="E10" s="282" t="s">
        <v>650</v>
      </c>
      <c r="F10" s="284">
        <v>430</v>
      </c>
      <c r="G10" s="285">
        <v>0</v>
      </c>
      <c r="H10" s="288">
        <v>0</v>
      </c>
      <c r="I10" s="285">
        <v>0</v>
      </c>
      <c r="J10" s="285">
        <v>227</v>
      </c>
      <c r="K10" s="284">
        <v>3</v>
      </c>
      <c r="L10" s="284">
        <v>0</v>
      </c>
      <c r="M10" s="284">
        <v>3</v>
      </c>
      <c r="N10" s="284">
        <v>295</v>
      </c>
      <c r="O10" s="284">
        <v>14</v>
      </c>
      <c r="P10" s="284">
        <v>817</v>
      </c>
      <c r="Q10" s="286">
        <v>12</v>
      </c>
      <c r="R10" s="274">
        <v>1769</v>
      </c>
      <c r="S10" s="274">
        <v>29</v>
      </c>
      <c r="T10" s="287">
        <f>IF(D10&gt;U10,D10,U10)</f>
        <v>2015</v>
      </c>
      <c r="U10" s="274">
        <f>VLOOKUP(A10,'[1]SB35 Determination Data'!$B$4:$F$542,5,FALSE)</f>
        <v>2015</v>
      </c>
    </row>
    <row r="11" spans="1:21" s="274" customFormat="1" ht="12.75" x14ac:dyDescent="0.2">
      <c r="A11" s="282" t="s">
        <v>144</v>
      </c>
      <c r="B11" s="282" t="s">
        <v>40</v>
      </c>
      <c r="C11" s="282" t="s">
        <v>654</v>
      </c>
      <c r="D11" s="283">
        <v>2015</v>
      </c>
      <c r="E11" s="282" t="s">
        <v>650</v>
      </c>
      <c r="F11" s="284">
        <v>430</v>
      </c>
      <c r="G11" s="285">
        <v>35</v>
      </c>
      <c r="H11" s="288">
        <v>35</v>
      </c>
      <c r="I11" s="285">
        <v>0</v>
      </c>
      <c r="J11" s="285">
        <v>227</v>
      </c>
      <c r="K11" s="284">
        <v>65</v>
      </c>
      <c r="L11" s="284">
        <v>65</v>
      </c>
      <c r="M11" s="284">
        <v>0</v>
      </c>
      <c r="N11" s="284">
        <v>295</v>
      </c>
      <c r="O11" s="284">
        <v>21</v>
      </c>
      <c r="P11" s="284">
        <v>817</v>
      </c>
      <c r="Q11" s="286">
        <v>17</v>
      </c>
      <c r="R11" s="274">
        <v>1769</v>
      </c>
      <c r="S11" s="274">
        <v>138</v>
      </c>
      <c r="T11" s="287">
        <f t="shared" si="0"/>
        <v>2015</v>
      </c>
      <c r="U11" s="274">
        <f>VLOOKUP(A11,'[1]SB35 Determination Data'!$B$4:$F$542,5,FALSE)</f>
        <v>2015</v>
      </c>
    </row>
    <row r="12" spans="1:21" s="274" customFormat="1" ht="12.75" x14ac:dyDescent="0.2">
      <c r="A12" s="282" t="s">
        <v>144</v>
      </c>
      <c r="B12" s="282" t="s">
        <v>40</v>
      </c>
      <c r="C12" s="282" t="s">
        <v>654</v>
      </c>
      <c r="D12" s="283">
        <v>2016</v>
      </c>
      <c r="E12" s="282" t="s">
        <v>650</v>
      </c>
      <c r="F12" s="284">
        <v>430</v>
      </c>
      <c r="G12" s="285">
        <v>85</v>
      </c>
      <c r="H12" s="288">
        <v>85</v>
      </c>
      <c r="I12" s="285">
        <v>0</v>
      </c>
      <c r="J12" s="285">
        <v>227</v>
      </c>
      <c r="K12" s="284">
        <v>8</v>
      </c>
      <c r="L12" s="284">
        <v>8</v>
      </c>
      <c r="M12" s="284">
        <v>0</v>
      </c>
      <c r="N12" s="284">
        <v>295</v>
      </c>
      <c r="O12" s="284">
        <v>0</v>
      </c>
      <c r="P12" s="284">
        <v>817</v>
      </c>
      <c r="Q12" s="286">
        <v>9</v>
      </c>
      <c r="R12" s="274">
        <v>1769</v>
      </c>
      <c r="S12" s="274">
        <v>102</v>
      </c>
      <c r="T12" s="287">
        <f t="shared" si="0"/>
        <v>2016</v>
      </c>
      <c r="U12" s="274">
        <f>VLOOKUP(A12,'[1]SB35 Determination Data'!$B$4:$F$542,5,FALSE)</f>
        <v>2015</v>
      </c>
    </row>
    <row r="13" spans="1:21" s="274" customFormat="1" ht="12.75" x14ac:dyDescent="0.2">
      <c r="A13" s="282" t="s">
        <v>144</v>
      </c>
      <c r="B13" s="282" t="s">
        <v>40</v>
      </c>
      <c r="C13" s="282" t="s">
        <v>654</v>
      </c>
      <c r="D13" s="283">
        <v>2017</v>
      </c>
      <c r="E13" s="282" t="s">
        <v>650</v>
      </c>
      <c r="F13" s="284">
        <v>430</v>
      </c>
      <c r="G13" s="285">
        <v>0</v>
      </c>
      <c r="H13" s="288">
        <v>0</v>
      </c>
      <c r="I13" s="285">
        <v>0</v>
      </c>
      <c r="J13" s="285">
        <v>227</v>
      </c>
      <c r="K13" s="284">
        <v>3</v>
      </c>
      <c r="L13" s="284">
        <v>0</v>
      </c>
      <c r="M13" s="284">
        <v>3</v>
      </c>
      <c r="N13" s="284">
        <v>295</v>
      </c>
      <c r="O13" s="284">
        <v>0</v>
      </c>
      <c r="P13" s="284">
        <v>817</v>
      </c>
      <c r="Q13" s="286">
        <v>32</v>
      </c>
      <c r="R13" s="274">
        <v>1769</v>
      </c>
      <c r="S13" s="274">
        <v>35</v>
      </c>
      <c r="T13" s="287">
        <f t="shared" si="0"/>
        <v>2017</v>
      </c>
      <c r="U13" s="274">
        <f>VLOOKUP(A13,'[1]SB35 Determination Data'!$B$4:$F$542,5,FALSE)</f>
        <v>2015</v>
      </c>
    </row>
    <row r="14" spans="1:21" s="274" customFormat="1" ht="12.75" x14ac:dyDescent="0.2">
      <c r="A14" s="282" t="s">
        <v>145</v>
      </c>
      <c r="B14" s="282" t="s">
        <v>40</v>
      </c>
      <c r="C14" s="282" t="s">
        <v>654</v>
      </c>
      <c r="D14" s="283">
        <v>2016</v>
      </c>
      <c r="E14" s="282" t="s">
        <v>650</v>
      </c>
      <c r="F14" s="284">
        <v>80</v>
      </c>
      <c r="G14" s="285">
        <v>0</v>
      </c>
      <c r="H14" s="288">
        <v>0</v>
      </c>
      <c r="I14" s="285">
        <v>0</v>
      </c>
      <c r="J14" s="285">
        <v>53</v>
      </c>
      <c r="K14" s="284">
        <v>0</v>
      </c>
      <c r="L14" s="284">
        <v>0</v>
      </c>
      <c r="M14" s="284">
        <v>0</v>
      </c>
      <c r="N14" s="289">
        <v>57</v>
      </c>
      <c r="O14" s="284">
        <v>0</v>
      </c>
      <c r="P14" s="284">
        <v>145</v>
      </c>
      <c r="Q14" s="286">
        <v>186</v>
      </c>
      <c r="R14" s="274">
        <v>335</v>
      </c>
      <c r="S14" s="274">
        <v>186</v>
      </c>
      <c r="T14" s="287">
        <f t="shared" si="0"/>
        <v>2016</v>
      </c>
      <c r="U14" s="274">
        <f>VLOOKUP(A14,'[1]SB35 Determination Data'!$B$4:$F$542,5,FALSE)</f>
        <v>2015</v>
      </c>
    </row>
    <row r="15" spans="1:21" s="274" customFormat="1" ht="12.75" x14ac:dyDescent="0.2">
      <c r="A15" s="282" t="s">
        <v>145</v>
      </c>
      <c r="B15" s="282" t="s">
        <v>40</v>
      </c>
      <c r="C15" s="282" t="s">
        <v>654</v>
      </c>
      <c r="D15" s="283">
        <v>2017</v>
      </c>
      <c r="E15" s="282" t="s">
        <v>650</v>
      </c>
      <c r="F15" s="284">
        <v>80</v>
      </c>
      <c r="G15" s="285">
        <v>0</v>
      </c>
      <c r="H15" s="288">
        <v>0</v>
      </c>
      <c r="I15" s="285">
        <v>0</v>
      </c>
      <c r="J15" s="285">
        <v>53</v>
      </c>
      <c r="K15" s="284">
        <v>0</v>
      </c>
      <c r="L15" s="284">
        <v>0</v>
      </c>
      <c r="M15" s="284">
        <v>0</v>
      </c>
      <c r="N15" s="284">
        <v>57</v>
      </c>
      <c r="O15" s="284">
        <v>4</v>
      </c>
      <c r="P15" s="284">
        <v>145</v>
      </c>
      <c r="Q15" s="286">
        <v>8</v>
      </c>
      <c r="R15" s="274">
        <v>335</v>
      </c>
      <c r="S15" s="274">
        <v>12</v>
      </c>
      <c r="T15" s="287">
        <f t="shared" si="0"/>
        <v>2017</v>
      </c>
      <c r="U15" s="274">
        <f>VLOOKUP(A15,'[1]SB35 Determination Data'!$B$4:$F$542,5,FALSE)</f>
        <v>2015</v>
      </c>
    </row>
    <row r="16" spans="1:21" s="274" customFormat="1" ht="12.75" x14ac:dyDescent="0.2">
      <c r="A16" s="282" t="s">
        <v>188</v>
      </c>
      <c r="B16" s="282" t="s">
        <v>262</v>
      </c>
      <c r="C16" s="282" t="s">
        <v>649</v>
      </c>
      <c r="D16" s="283">
        <v>2014</v>
      </c>
      <c r="E16" s="282" t="s">
        <v>650</v>
      </c>
      <c r="F16" s="284">
        <v>380</v>
      </c>
      <c r="G16" s="285">
        <v>0</v>
      </c>
      <c r="H16" s="288">
        <v>0</v>
      </c>
      <c r="I16" s="285">
        <v>0</v>
      </c>
      <c r="J16" s="285">
        <v>224</v>
      </c>
      <c r="K16" s="284">
        <v>0</v>
      </c>
      <c r="L16" s="284">
        <v>0</v>
      </c>
      <c r="M16" s="284">
        <v>0</v>
      </c>
      <c r="N16" s="284">
        <v>246</v>
      </c>
      <c r="O16" s="284">
        <v>3</v>
      </c>
      <c r="P16" s="284">
        <v>642</v>
      </c>
      <c r="Q16" s="286">
        <v>29</v>
      </c>
      <c r="R16" s="274">
        <v>1492</v>
      </c>
      <c r="S16" s="274">
        <v>32</v>
      </c>
      <c r="T16" s="287">
        <f t="shared" si="0"/>
        <v>2014</v>
      </c>
      <c r="U16" s="274">
        <f>VLOOKUP(A16,'[1]SB35 Determination Data'!$B$4:$F$542,5,FALSE)</f>
        <v>2014</v>
      </c>
    </row>
    <row r="17" spans="1:21" s="274" customFormat="1" ht="12.75" x14ac:dyDescent="0.2">
      <c r="A17" s="282" t="s">
        <v>188</v>
      </c>
      <c r="B17" s="282" t="s">
        <v>262</v>
      </c>
      <c r="C17" s="282" t="s">
        <v>649</v>
      </c>
      <c r="D17" s="283">
        <v>2015</v>
      </c>
      <c r="E17" s="282" t="s">
        <v>650</v>
      </c>
      <c r="F17" s="284">
        <v>380</v>
      </c>
      <c r="G17" s="285">
        <v>0</v>
      </c>
      <c r="H17" s="288">
        <v>0</v>
      </c>
      <c r="I17" s="285">
        <v>0</v>
      </c>
      <c r="J17" s="285">
        <v>224</v>
      </c>
      <c r="K17" s="284">
        <v>0</v>
      </c>
      <c r="L17" s="284">
        <v>0</v>
      </c>
      <c r="M17" s="284">
        <v>0</v>
      </c>
      <c r="N17" s="289">
        <v>246</v>
      </c>
      <c r="O17" s="284">
        <v>0</v>
      </c>
      <c r="P17" s="284">
        <v>642</v>
      </c>
      <c r="Q17" s="286">
        <v>0</v>
      </c>
      <c r="R17" s="274">
        <v>1492</v>
      </c>
      <c r="S17" s="274">
        <v>0</v>
      </c>
      <c r="T17" s="287">
        <f t="shared" si="0"/>
        <v>2015</v>
      </c>
      <c r="U17" s="274">
        <f>VLOOKUP(A17,'[1]SB35 Determination Data'!$B$4:$F$542,5,FALSE)</f>
        <v>2014</v>
      </c>
    </row>
    <row r="18" spans="1:21" s="274" customFormat="1" ht="12.75" x14ac:dyDescent="0.2">
      <c r="A18" s="282" t="s">
        <v>188</v>
      </c>
      <c r="B18" s="282" t="s">
        <v>262</v>
      </c>
      <c r="C18" s="282" t="s">
        <v>649</v>
      </c>
      <c r="D18" s="283">
        <v>2016</v>
      </c>
      <c r="E18" s="282" t="s">
        <v>650</v>
      </c>
      <c r="F18" s="284">
        <v>380</v>
      </c>
      <c r="G18" s="285">
        <v>0</v>
      </c>
      <c r="H18" s="288">
        <v>0</v>
      </c>
      <c r="I18" s="285">
        <v>0</v>
      </c>
      <c r="J18" s="285">
        <v>224</v>
      </c>
      <c r="K18" s="284">
        <v>0</v>
      </c>
      <c r="L18" s="284">
        <v>0</v>
      </c>
      <c r="M18" s="284">
        <v>0</v>
      </c>
      <c r="N18" s="284">
        <v>246</v>
      </c>
      <c r="O18" s="284">
        <v>0</v>
      </c>
      <c r="P18" s="284">
        <v>642</v>
      </c>
      <c r="Q18" s="286">
        <v>38</v>
      </c>
      <c r="R18" s="274">
        <v>1492</v>
      </c>
      <c r="S18" s="274">
        <v>38</v>
      </c>
      <c r="T18" s="287">
        <f t="shared" si="0"/>
        <v>2016</v>
      </c>
      <c r="U18" s="274">
        <f>VLOOKUP(A18,'[1]SB35 Determination Data'!$B$4:$F$542,5,FALSE)</f>
        <v>2014</v>
      </c>
    </row>
    <row r="19" spans="1:21" s="274" customFormat="1" ht="12.75" x14ac:dyDescent="0.2">
      <c r="A19" s="282" t="s">
        <v>188</v>
      </c>
      <c r="B19" s="282" t="s">
        <v>262</v>
      </c>
      <c r="C19" s="282" t="s">
        <v>649</v>
      </c>
      <c r="D19" s="283">
        <v>2017</v>
      </c>
      <c r="E19" s="282" t="s">
        <v>650</v>
      </c>
      <c r="F19" s="284">
        <v>380</v>
      </c>
      <c r="G19" s="285">
        <v>0</v>
      </c>
      <c r="H19" s="288">
        <v>0</v>
      </c>
      <c r="I19" s="285">
        <v>0</v>
      </c>
      <c r="J19" s="285">
        <v>224</v>
      </c>
      <c r="K19" s="284">
        <v>0</v>
      </c>
      <c r="L19" s="284">
        <v>0</v>
      </c>
      <c r="M19" s="284">
        <v>0</v>
      </c>
      <c r="N19" s="284">
        <v>246</v>
      </c>
      <c r="O19" s="284">
        <v>0</v>
      </c>
      <c r="P19" s="284">
        <v>642</v>
      </c>
      <c r="Q19" s="286">
        <v>74</v>
      </c>
      <c r="R19" s="274">
        <v>1492</v>
      </c>
      <c r="S19" s="274">
        <v>74</v>
      </c>
      <c r="T19" s="287">
        <f t="shared" si="0"/>
        <v>2017</v>
      </c>
      <c r="U19" s="274">
        <f>VLOOKUP(A19,'[1]SB35 Determination Data'!$B$4:$F$542,5,FALSE)</f>
        <v>2014</v>
      </c>
    </row>
    <row r="20" spans="1:21" s="274" customFormat="1" ht="12.75" x14ac:dyDescent="0.2">
      <c r="A20" s="282" t="s">
        <v>191</v>
      </c>
      <c r="B20" s="282" t="s">
        <v>436</v>
      </c>
      <c r="C20" s="282" t="s">
        <v>649</v>
      </c>
      <c r="D20" s="283">
        <v>2014</v>
      </c>
      <c r="E20" s="282" t="s">
        <v>650</v>
      </c>
      <c r="F20" s="284">
        <v>9</v>
      </c>
      <c r="G20" s="285">
        <v>0</v>
      </c>
      <c r="H20" s="288">
        <v>0</v>
      </c>
      <c r="I20" s="285">
        <v>0</v>
      </c>
      <c r="J20" s="285">
        <v>7</v>
      </c>
      <c r="K20" s="284">
        <v>0</v>
      </c>
      <c r="L20" s="284">
        <v>0</v>
      </c>
      <c r="M20" s="284">
        <v>0</v>
      </c>
      <c r="N20" s="284">
        <v>7</v>
      </c>
      <c r="O20" s="284">
        <v>1</v>
      </c>
      <c r="P20" s="284">
        <v>16</v>
      </c>
      <c r="Q20" s="286">
        <v>0</v>
      </c>
      <c r="R20" s="274">
        <v>39</v>
      </c>
      <c r="S20" s="274">
        <v>1</v>
      </c>
      <c r="T20" s="287">
        <f t="shared" si="0"/>
        <v>2014</v>
      </c>
      <c r="U20" s="274">
        <f>VLOOKUP(A20,'[1]SB35 Determination Data'!$B$4:$F$542,5,FALSE)</f>
        <v>2014</v>
      </c>
    </row>
    <row r="21" spans="1:21" s="274" customFormat="1" ht="12.75" x14ac:dyDescent="0.2">
      <c r="A21" s="282" t="s">
        <v>191</v>
      </c>
      <c r="B21" s="282" t="s">
        <v>436</v>
      </c>
      <c r="C21" s="282" t="s">
        <v>649</v>
      </c>
      <c r="D21" s="283">
        <v>2015</v>
      </c>
      <c r="E21" s="282" t="s">
        <v>650</v>
      </c>
      <c r="F21" s="284">
        <v>9</v>
      </c>
      <c r="G21" s="285">
        <v>33</v>
      </c>
      <c r="H21" s="288">
        <v>33</v>
      </c>
      <c r="I21" s="285">
        <v>0</v>
      </c>
      <c r="J21" s="285">
        <v>7</v>
      </c>
      <c r="K21" s="284">
        <v>187</v>
      </c>
      <c r="L21" s="284">
        <v>187</v>
      </c>
      <c r="M21" s="284">
        <v>0</v>
      </c>
      <c r="N21" s="284">
        <v>7</v>
      </c>
      <c r="O21" s="284">
        <v>419</v>
      </c>
      <c r="P21" s="284">
        <v>16</v>
      </c>
      <c r="Q21" s="286">
        <v>0</v>
      </c>
      <c r="R21" s="274">
        <v>39</v>
      </c>
      <c r="S21" s="274">
        <v>639</v>
      </c>
      <c r="T21" s="287">
        <f t="shared" si="0"/>
        <v>2015</v>
      </c>
      <c r="U21" s="274">
        <f>VLOOKUP(A21,'[1]SB35 Determination Data'!$B$4:$F$542,5,FALSE)</f>
        <v>2014</v>
      </c>
    </row>
    <row r="22" spans="1:21" s="274" customFormat="1" ht="12.75" x14ac:dyDescent="0.2">
      <c r="A22" s="282" t="s">
        <v>191</v>
      </c>
      <c r="B22" s="282" t="s">
        <v>436</v>
      </c>
      <c r="C22" s="282" t="s">
        <v>649</v>
      </c>
      <c r="D22" s="283">
        <v>2016</v>
      </c>
      <c r="E22" s="282" t="s">
        <v>650</v>
      </c>
      <c r="F22" s="284">
        <v>9</v>
      </c>
      <c r="G22" s="285">
        <v>50</v>
      </c>
      <c r="H22" s="288">
        <v>50</v>
      </c>
      <c r="I22" s="285">
        <v>0</v>
      </c>
      <c r="J22" s="285">
        <v>7</v>
      </c>
      <c r="K22" s="284">
        <v>148</v>
      </c>
      <c r="L22" s="284">
        <v>148</v>
      </c>
      <c r="M22" s="284">
        <v>0</v>
      </c>
      <c r="N22" s="289">
        <v>7</v>
      </c>
      <c r="O22" s="284">
        <v>4</v>
      </c>
      <c r="P22" s="284">
        <v>16</v>
      </c>
      <c r="Q22" s="286">
        <v>0</v>
      </c>
      <c r="R22" s="274">
        <v>39</v>
      </c>
      <c r="S22" s="274">
        <v>202</v>
      </c>
      <c r="T22" s="287">
        <f t="shared" si="0"/>
        <v>2016</v>
      </c>
      <c r="U22" s="274">
        <f>VLOOKUP(A22,'[1]SB35 Determination Data'!$B$4:$F$542,5,FALSE)</f>
        <v>2014</v>
      </c>
    </row>
    <row r="23" spans="1:21" s="274" customFormat="1" ht="12.75" x14ac:dyDescent="0.2">
      <c r="A23" s="282" t="s">
        <v>191</v>
      </c>
      <c r="B23" s="282" t="s">
        <v>436</v>
      </c>
      <c r="C23" s="282" t="s">
        <v>649</v>
      </c>
      <c r="D23" s="283">
        <v>2017</v>
      </c>
      <c r="E23" s="282" t="s">
        <v>650</v>
      </c>
      <c r="F23" s="284">
        <v>9</v>
      </c>
      <c r="G23" s="285">
        <v>0</v>
      </c>
      <c r="H23" s="288">
        <v>0</v>
      </c>
      <c r="I23" s="285">
        <v>0</v>
      </c>
      <c r="J23" s="285">
        <v>7</v>
      </c>
      <c r="K23" s="284">
        <v>0</v>
      </c>
      <c r="L23" s="284">
        <v>0</v>
      </c>
      <c r="M23" s="284">
        <v>0</v>
      </c>
      <c r="N23" s="284">
        <v>7</v>
      </c>
      <c r="O23" s="284">
        <v>0</v>
      </c>
      <c r="P23" s="284">
        <v>16</v>
      </c>
      <c r="Q23" s="286">
        <v>0</v>
      </c>
      <c r="R23" s="274">
        <v>39</v>
      </c>
      <c r="S23" s="274">
        <v>0</v>
      </c>
      <c r="T23" s="287">
        <f t="shared" si="0"/>
        <v>2017</v>
      </c>
      <c r="U23" s="274">
        <f>VLOOKUP(A23,'[1]SB35 Determination Data'!$B$4:$F$542,5,FALSE)</f>
        <v>2014</v>
      </c>
    </row>
    <row r="24" spans="1:21" s="274" customFormat="1" ht="12.75" x14ac:dyDescent="0.2">
      <c r="A24" s="282" t="s">
        <v>192</v>
      </c>
      <c r="B24" s="282" t="s">
        <v>68</v>
      </c>
      <c r="C24" s="282" t="s">
        <v>660</v>
      </c>
      <c r="D24" s="283">
        <v>2014</v>
      </c>
      <c r="E24" s="282" t="s">
        <v>650</v>
      </c>
      <c r="F24" s="284">
        <v>7</v>
      </c>
      <c r="G24" s="285">
        <v>0</v>
      </c>
      <c r="H24" s="288">
        <v>0</v>
      </c>
      <c r="I24" s="285">
        <v>0</v>
      </c>
      <c r="J24" s="285">
        <v>6</v>
      </c>
      <c r="K24" s="284">
        <v>0</v>
      </c>
      <c r="L24" s="284">
        <v>0</v>
      </c>
      <c r="M24" s="284">
        <v>0</v>
      </c>
      <c r="N24" s="284">
        <v>6</v>
      </c>
      <c r="O24" s="284">
        <v>1</v>
      </c>
      <c r="P24" s="284">
        <v>11</v>
      </c>
      <c r="Q24" s="286">
        <v>1</v>
      </c>
      <c r="R24" s="274">
        <v>30</v>
      </c>
      <c r="S24" s="274">
        <v>2</v>
      </c>
      <c r="T24" s="287">
        <f t="shared" si="0"/>
        <v>2014</v>
      </c>
      <c r="U24" s="274">
        <f>VLOOKUP(A24,'[1]SB35 Determination Data'!$B$4:$F$542,5,FALSE)</f>
        <v>2014</v>
      </c>
    </row>
    <row r="25" spans="1:21" s="274" customFormat="1" ht="12.75" x14ac:dyDescent="0.2">
      <c r="A25" s="282" t="s">
        <v>192</v>
      </c>
      <c r="B25" s="282" t="s">
        <v>68</v>
      </c>
      <c r="C25" s="282" t="s">
        <v>660</v>
      </c>
      <c r="D25" s="283">
        <v>2015</v>
      </c>
      <c r="E25" s="282" t="s">
        <v>650</v>
      </c>
      <c r="F25" s="284">
        <v>7</v>
      </c>
      <c r="G25" s="285">
        <v>0</v>
      </c>
      <c r="H25" s="288">
        <v>0</v>
      </c>
      <c r="I25" s="285">
        <v>0</v>
      </c>
      <c r="J25" s="285">
        <v>6</v>
      </c>
      <c r="K25" s="284">
        <v>0</v>
      </c>
      <c r="L25" s="284">
        <v>0</v>
      </c>
      <c r="M25" s="284">
        <v>0</v>
      </c>
      <c r="N25" s="284">
        <v>6</v>
      </c>
      <c r="O25" s="284">
        <v>0</v>
      </c>
      <c r="P25" s="284">
        <v>11</v>
      </c>
      <c r="Q25" s="286">
        <v>4</v>
      </c>
      <c r="R25" s="274">
        <v>30</v>
      </c>
      <c r="S25" s="274">
        <v>4</v>
      </c>
      <c r="T25" s="287">
        <f t="shared" si="0"/>
        <v>2015</v>
      </c>
      <c r="U25" s="274">
        <f>VLOOKUP(A25,'[1]SB35 Determination Data'!$B$4:$F$542,5,FALSE)</f>
        <v>2014</v>
      </c>
    </row>
    <row r="26" spans="1:21" s="274" customFormat="1" ht="12.75" x14ac:dyDescent="0.2">
      <c r="A26" s="282" t="s">
        <v>192</v>
      </c>
      <c r="B26" s="282" t="s">
        <v>68</v>
      </c>
      <c r="C26" s="282" t="s">
        <v>660</v>
      </c>
      <c r="D26" s="283">
        <v>2016</v>
      </c>
      <c r="E26" s="282" t="s">
        <v>650</v>
      </c>
      <c r="F26" s="284">
        <v>7</v>
      </c>
      <c r="G26" s="285">
        <v>0</v>
      </c>
      <c r="H26" s="288">
        <v>0</v>
      </c>
      <c r="I26" s="285">
        <v>0</v>
      </c>
      <c r="J26" s="285">
        <v>6</v>
      </c>
      <c r="K26" s="284">
        <v>0</v>
      </c>
      <c r="L26" s="284">
        <v>0</v>
      </c>
      <c r="M26" s="284">
        <v>0</v>
      </c>
      <c r="N26" s="284">
        <v>6</v>
      </c>
      <c r="O26" s="284">
        <v>0</v>
      </c>
      <c r="P26" s="284">
        <v>11</v>
      </c>
      <c r="Q26" s="286">
        <v>2</v>
      </c>
      <c r="R26" s="274">
        <v>30</v>
      </c>
      <c r="S26" s="274">
        <v>2</v>
      </c>
      <c r="T26" s="287">
        <f t="shared" si="0"/>
        <v>2016</v>
      </c>
      <c r="U26" s="274">
        <f>VLOOKUP(A26,'[1]SB35 Determination Data'!$B$4:$F$542,5,FALSE)</f>
        <v>2014</v>
      </c>
    </row>
    <row r="27" spans="1:21" s="274" customFormat="1" ht="12.75" x14ac:dyDescent="0.2">
      <c r="A27" s="282" t="s">
        <v>192</v>
      </c>
      <c r="B27" s="282" t="s">
        <v>68</v>
      </c>
      <c r="C27" s="282" t="s">
        <v>660</v>
      </c>
      <c r="D27" s="283">
        <v>2017</v>
      </c>
      <c r="E27" s="282" t="s">
        <v>650</v>
      </c>
      <c r="F27" s="284">
        <v>7</v>
      </c>
      <c r="G27" s="285">
        <v>0</v>
      </c>
      <c r="H27" s="288">
        <v>0</v>
      </c>
      <c r="I27" s="285">
        <v>0</v>
      </c>
      <c r="J27" s="285">
        <v>6</v>
      </c>
      <c r="K27" s="284">
        <v>2</v>
      </c>
      <c r="L27" s="284">
        <v>0</v>
      </c>
      <c r="M27" s="284">
        <v>2</v>
      </c>
      <c r="N27" s="284">
        <v>6</v>
      </c>
      <c r="O27" s="284">
        <v>3</v>
      </c>
      <c r="P27" s="284">
        <v>11</v>
      </c>
      <c r="Q27" s="286">
        <v>3</v>
      </c>
      <c r="R27" s="274">
        <v>30</v>
      </c>
      <c r="S27" s="274">
        <v>8</v>
      </c>
      <c r="T27" s="287">
        <f t="shared" si="0"/>
        <v>2017</v>
      </c>
      <c r="U27" s="274">
        <f>VLOOKUP(A27,'[1]SB35 Determination Data'!$B$4:$F$542,5,FALSE)</f>
        <v>2014</v>
      </c>
    </row>
    <row r="28" spans="1:21" s="274" customFormat="1" ht="12.75" x14ac:dyDescent="0.2">
      <c r="A28" s="282" t="s">
        <v>198</v>
      </c>
      <c r="B28" s="282" t="s">
        <v>90</v>
      </c>
      <c r="C28" s="282" t="s">
        <v>660</v>
      </c>
      <c r="D28" s="283">
        <v>2017</v>
      </c>
      <c r="E28" s="282" t="s">
        <v>650</v>
      </c>
      <c r="F28" s="284">
        <v>10</v>
      </c>
      <c r="G28" s="285">
        <v>0</v>
      </c>
      <c r="H28" s="288">
        <v>0</v>
      </c>
      <c r="I28" s="285">
        <v>0</v>
      </c>
      <c r="J28" s="285">
        <v>7</v>
      </c>
      <c r="K28" s="284">
        <v>2</v>
      </c>
      <c r="L28" s="284">
        <v>1</v>
      </c>
      <c r="M28" s="284">
        <v>1</v>
      </c>
      <c r="N28" s="284">
        <v>9</v>
      </c>
      <c r="O28" s="284">
        <v>13</v>
      </c>
      <c r="P28" s="284">
        <v>23</v>
      </c>
      <c r="Q28" s="286">
        <v>17</v>
      </c>
      <c r="R28" s="274">
        <v>49</v>
      </c>
      <c r="S28" s="274">
        <v>32</v>
      </c>
      <c r="T28" s="287">
        <f t="shared" si="0"/>
        <v>2017</v>
      </c>
      <c r="U28" s="274">
        <f>VLOOKUP(A28,'[1]SB35 Determination Data'!$B$4:$F$542,5,FALSE)</f>
        <v>2014</v>
      </c>
    </row>
    <row r="29" spans="1:21" s="274" customFormat="1" ht="12.75" x14ac:dyDescent="0.2">
      <c r="A29" s="282" t="s">
        <v>199</v>
      </c>
      <c r="B29" s="282" t="s">
        <v>411</v>
      </c>
      <c r="C29" s="282" t="s">
        <v>654</v>
      </c>
      <c r="D29" s="283">
        <v>2015</v>
      </c>
      <c r="E29" s="282" t="s">
        <v>650</v>
      </c>
      <c r="F29" s="284">
        <v>116</v>
      </c>
      <c r="G29" s="285">
        <v>0</v>
      </c>
      <c r="H29" s="288">
        <v>0</v>
      </c>
      <c r="I29" s="285">
        <v>0</v>
      </c>
      <c r="J29" s="285">
        <v>54</v>
      </c>
      <c r="K29" s="284">
        <v>9</v>
      </c>
      <c r="L29" s="284">
        <v>9</v>
      </c>
      <c r="M29" s="284">
        <v>0</v>
      </c>
      <c r="N29" s="284">
        <v>58</v>
      </c>
      <c r="O29" s="284">
        <v>140</v>
      </c>
      <c r="P29" s="284">
        <v>164</v>
      </c>
      <c r="Q29" s="286">
        <v>0</v>
      </c>
      <c r="R29" s="274">
        <v>392</v>
      </c>
      <c r="S29" s="274">
        <v>149</v>
      </c>
      <c r="T29" s="287">
        <f t="shared" si="0"/>
        <v>2015</v>
      </c>
      <c r="U29" s="274">
        <f>VLOOKUP(A29,'[1]SB35 Determination Data'!$B$4:$F$542,5,FALSE)</f>
        <v>2015</v>
      </c>
    </row>
    <row r="30" spans="1:21" s="274" customFormat="1" ht="12.75" x14ac:dyDescent="0.2">
      <c r="A30" s="282" t="s">
        <v>199</v>
      </c>
      <c r="B30" s="282" t="s">
        <v>411</v>
      </c>
      <c r="C30" s="282" t="s">
        <v>654</v>
      </c>
      <c r="D30" s="283">
        <v>2016</v>
      </c>
      <c r="E30" s="282" t="s">
        <v>650</v>
      </c>
      <c r="F30" s="284">
        <v>116</v>
      </c>
      <c r="G30" s="285">
        <v>0</v>
      </c>
      <c r="H30" s="288">
        <v>0</v>
      </c>
      <c r="I30" s="285">
        <v>0</v>
      </c>
      <c r="J30" s="285">
        <v>54</v>
      </c>
      <c r="K30" s="284">
        <v>0</v>
      </c>
      <c r="L30" s="284">
        <v>0</v>
      </c>
      <c r="M30" s="284">
        <v>0</v>
      </c>
      <c r="N30" s="284">
        <v>58</v>
      </c>
      <c r="O30" s="284">
        <v>0</v>
      </c>
      <c r="P30" s="284">
        <v>164</v>
      </c>
      <c r="Q30" s="286">
        <v>0</v>
      </c>
      <c r="R30" s="274">
        <v>392</v>
      </c>
      <c r="S30" s="274">
        <v>0</v>
      </c>
      <c r="T30" s="287">
        <f t="shared" si="0"/>
        <v>2016</v>
      </c>
      <c r="U30" s="274">
        <f>VLOOKUP(A30,'[1]SB35 Determination Data'!$B$4:$F$542,5,FALSE)</f>
        <v>2015</v>
      </c>
    </row>
    <row r="31" spans="1:21" s="274" customFormat="1" ht="12.75" x14ac:dyDescent="0.2">
      <c r="A31" s="282" t="s">
        <v>199</v>
      </c>
      <c r="B31" s="282" t="s">
        <v>411</v>
      </c>
      <c r="C31" s="282" t="s">
        <v>654</v>
      </c>
      <c r="D31" s="283">
        <v>2017</v>
      </c>
      <c r="E31" s="282" t="s">
        <v>650</v>
      </c>
      <c r="F31" s="284">
        <v>116</v>
      </c>
      <c r="G31" s="285">
        <v>49</v>
      </c>
      <c r="H31" s="288">
        <v>49</v>
      </c>
      <c r="I31" s="285">
        <v>0</v>
      </c>
      <c r="J31" s="285">
        <v>54</v>
      </c>
      <c r="K31" s="284">
        <v>20</v>
      </c>
      <c r="L31" s="284">
        <v>20</v>
      </c>
      <c r="M31" s="284">
        <v>0</v>
      </c>
      <c r="N31" s="289">
        <v>58</v>
      </c>
      <c r="O31" s="284">
        <v>1</v>
      </c>
      <c r="P31" s="284">
        <v>164</v>
      </c>
      <c r="Q31" s="286">
        <v>0</v>
      </c>
      <c r="R31" s="274">
        <v>392</v>
      </c>
      <c r="S31" s="274">
        <v>70</v>
      </c>
      <c r="T31" s="287">
        <f t="shared" si="0"/>
        <v>2017</v>
      </c>
      <c r="U31" s="274">
        <f>VLOOKUP(A31,'[1]SB35 Determination Data'!$B$4:$F$542,5,FALSE)</f>
        <v>2015</v>
      </c>
    </row>
    <row r="32" spans="1:21" s="274" customFormat="1" ht="12.75" x14ac:dyDescent="0.2">
      <c r="A32" s="282" t="s">
        <v>200</v>
      </c>
      <c r="B32" s="282" t="s">
        <v>436</v>
      </c>
      <c r="C32" s="282" t="s">
        <v>649</v>
      </c>
      <c r="D32" s="283">
        <v>2014</v>
      </c>
      <c r="E32" s="282" t="s">
        <v>650</v>
      </c>
      <c r="F32" s="284">
        <v>1256</v>
      </c>
      <c r="G32" s="285">
        <v>0</v>
      </c>
      <c r="H32" s="288">
        <v>0</v>
      </c>
      <c r="I32" s="285">
        <v>0</v>
      </c>
      <c r="J32" s="285">
        <v>907</v>
      </c>
      <c r="K32" s="284">
        <v>9</v>
      </c>
      <c r="L32" s="284">
        <v>9</v>
      </c>
      <c r="M32" s="284">
        <v>0</v>
      </c>
      <c r="N32" s="284">
        <v>1038</v>
      </c>
      <c r="O32" s="284">
        <v>21</v>
      </c>
      <c r="P32" s="284">
        <v>2501</v>
      </c>
      <c r="Q32" s="286">
        <v>1271</v>
      </c>
      <c r="R32" s="274">
        <v>5702</v>
      </c>
      <c r="S32" s="274">
        <v>1301</v>
      </c>
      <c r="T32" s="287">
        <f t="shared" si="0"/>
        <v>2014</v>
      </c>
      <c r="U32" s="274">
        <f>VLOOKUP(A32,'[1]SB35 Determination Data'!$B$4:$F$542,5,FALSE)</f>
        <v>2014</v>
      </c>
    </row>
    <row r="33" spans="1:21" s="274" customFormat="1" ht="12.75" x14ac:dyDescent="0.2">
      <c r="A33" s="282" t="s">
        <v>200</v>
      </c>
      <c r="B33" s="282" t="s">
        <v>436</v>
      </c>
      <c r="C33" s="282" t="s">
        <v>649</v>
      </c>
      <c r="D33" s="283">
        <v>2015</v>
      </c>
      <c r="E33" s="282" t="s">
        <v>650</v>
      </c>
      <c r="F33" s="284">
        <v>1256</v>
      </c>
      <c r="G33" s="285">
        <v>69</v>
      </c>
      <c r="H33" s="288">
        <v>69</v>
      </c>
      <c r="I33" s="285">
        <v>0</v>
      </c>
      <c r="J33" s="285">
        <v>907</v>
      </c>
      <c r="K33" s="284">
        <v>13</v>
      </c>
      <c r="L33" s="284">
        <v>13</v>
      </c>
      <c r="M33" s="284">
        <v>0</v>
      </c>
      <c r="N33" s="289">
        <v>1038</v>
      </c>
      <c r="O33" s="284">
        <v>23</v>
      </c>
      <c r="P33" s="284">
        <v>2501</v>
      </c>
      <c r="Q33" s="286">
        <v>1169</v>
      </c>
      <c r="R33" s="274">
        <v>5702</v>
      </c>
      <c r="S33" s="274">
        <v>1274</v>
      </c>
      <c r="T33" s="287">
        <f t="shared" si="0"/>
        <v>2015</v>
      </c>
      <c r="U33" s="274">
        <f>VLOOKUP(A33,'[1]SB35 Determination Data'!$B$4:$F$542,5,FALSE)</f>
        <v>2014</v>
      </c>
    </row>
    <row r="34" spans="1:21" s="274" customFormat="1" ht="12.75" x14ac:dyDescent="0.2">
      <c r="A34" s="282" t="s">
        <v>200</v>
      </c>
      <c r="B34" s="282" t="s">
        <v>436</v>
      </c>
      <c r="C34" s="282" t="s">
        <v>649</v>
      </c>
      <c r="D34" s="283">
        <v>2016</v>
      </c>
      <c r="E34" s="282" t="s">
        <v>650</v>
      </c>
      <c r="F34" s="284">
        <v>1256</v>
      </c>
      <c r="G34" s="285">
        <v>0</v>
      </c>
      <c r="H34" s="288">
        <v>0</v>
      </c>
      <c r="I34" s="285">
        <v>0</v>
      </c>
      <c r="J34" s="285">
        <v>907</v>
      </c>
      <c r="K34" s="284">
        <v>0</v>
      </c>
      <c r="L34" s="284">
        <v>0</v>
      </c>
      <c r="M34" s="284">
        <v>0</v>
      </c>
      <c r="N34" s="284">
        <v>1038</v>
      </c>
      <c r="O34" s="284">
        <v>0</v>
      </c>
      <c r="P34" s="284">
        <v>2501</v>
      </c>
      <c r="Q34" s="286">
        <v>1317</v>
      </c>
      <c r="R34" s="274">
        <v>5702</v>
      </c>
      <c r="S34" s="274">
        <v>1317</v>
      </c>
      <c r="T34" s="287">
        <f t="shared" si="0"/>
        <v>2016</v>
      </c>
      <c r="U34" s="274">
        <f>VLOOKUP(A34,'[1]SB35 Determination Data'!$B$4:$F$542,5,FALSE)</f>
        <v>2014</v>
      </c>
    </row>
    <row r="35" spans="1:21" s="274" customFormat="1" ht="12.75" x14ac:dyDescent="0.2">
      <c r="A35" s="282" t="s">
        <v>200</v>
      </c>
      <c r="B35" s="282" t="s">
        <v>436</v>
      </c>
      <c r="C35" s="282" t="s">
        <v>649</v>
      </c>
      <c r="D35" s="283">
        <v>2017</v>
      </c>
      <c r="E35" s="282" t="s">
        <v>650</v>
      </c>
      <c r="F35" s="284">
        <v>1256</v>
      </c>
      <c r="G35" s="285">
        <v>2</v>
      </c>
      <c r="H35" s="288">
        <v>2</v>
      </c>
      <c r="I35" s="285">
        <v>0</v>
      </c>
      <c r="J35" s="285">
        <v>907</v>
      </c>
      <c r="K35" s="284">
        <v>0</v>
      </c>
      <c r="L35" s="284">
        <v>0</v>
      </c>
      <c r="M35" s="284">
        <v>0</v>
      </c>
      <c r="N35" s="284">
        <v>1038</v>
      </c>
      <c r="O35" s="284">
        <v>0</v>
      </c>
      <c r="P35" s="284">
        <v>2501</v>
      </c>
      <c r="Q35" s="286">
        <v>1533</v>
      </c>
      <c r="R35" s="274">
        <v>5702</v>
      </c>
      <c r="S35" s="274">
        <v>1535</v>
      </c>
      <c r="T35" s="287">
        <f t="shared" si="0"/>
        <v>2017</v>
      </c>
      <c r="U35" s="274">
        <f>VLOOKUP(A35,'[1]SB35 Determination Data'!$B$4:$F$542,5,FALSE)</f>
        <v>2014</v>
      </c>
    </row>
    <row r="36" spans="1:21" s="274" customFormat="1" ht="12.75" x14ac:dyDescent="0.2">
      <c r="A36" s="282" t="s">
        <v>201</v>
      </c>
      <c r="B36" s="282" t="s">
        <v>631</v>
      </c>
      <c r="C36" s="282" t="s">
        <v>660</v>
      </c>
      <c r="D36" s="283">
        <v>2015</v>
      </c>
      <c r="E36" s="282" t="s">
        <v>650</v>
      </c>
      <c r="F36" s="284">
        <v>32</v>
      </c>
      <c r="G36" s="285">
        <v>0</v>
      </c>
      <c r="H36" s="288">
        <v>0</v>
      </c>
      <c r="I36" s="285">
        <v>0</v>
      </c>
      <c r="J36" s="285">
        <v>21</v>
      </c>
      <c r="K36" s="284">
        <v>0</v>
      </c>
      <c r="L36" s="284">
        <v>0</v>
      </c>
      <c r="M36" s="284">
        <v>0</v>
      </c>
      <c r="N36" s="284">
        <v>24</v>
      </c>
      <c r="O36" s="284">
        <v>19</v>
      </c>
      <c r="P36" s="284">
        <v>59</v>
      </c>
      <c r="Q36" s="286">
        <v>1</v>
      </c>
      <c r="R36" s="274">
        <v>136</v>
      </c>
      <c r="S36" s="274">
        <v>20</v>
      </c>
      <c r="T36" s="287">
        <f t="shared" si="0"/>
        <v>2015</v>
      </c>
      <c r="U36" s="274">
        <f>VLOOKUP(A36,'[1]SB35 Determination Data'!$B$4:$F$542,5,FALSE)</f>
        <v>2014</v>
      </c>
    </row>
    <row r="37" spans="1:21" s="274" customFormat="1" ht="12.75" x14ac:dyDescent="0.2">
      <c r="A37" s="282" t="s">
        <v>201</v>
      </c>
      <c r="B37" s="282" t="s">
        <v>631</v>
      </c>
      <c r="C37" s="282" t="s">
        <v>660</v>
      </c>
      <c r="D37" s="283">
        <v>2016</v>
      </c>
      <c r="E37" s="282" t="s">
        <v>650</v>
      </c>
      <c r="F37" s="284">
        <v>32</v>
      </c>
      <c r="G37" s="285">
        <v>0</v>
      </c>
      <c r="H37" s="288">
        <v>0</v>
      </c>
      <c r="I37" s="285">
        <v>0</v>
      </c>
      <c r="J37" s="285">
        <v>21</v>
      </c>
      <c r="K37" s="284">
        <v>4</v>
      </c>
      <c r="L37" s="284">
        <v>4</v>
      </c>
      <c r="M37" s="284">
        <v>0</v>
      </c>
      <c r="N37" s="289">
        <v>24</v>
      </c>
      <c r="O37" s="284">
        <v>33</v>
      </c>
      <c r="P37" s="284">
        <v>59</v>
      </c>
      <c r="Q37" s="286">
        <v>9</v>
      </c>
      <c r="R37" s="274">
        <v>136</v>
      </c>
      <c r="S37" s="274">
        <v>46</v>
      </c>
      <c r="T37" s="287">
        <f t="shared" si="0"/>
        <v>2016</v>
      </c>
      <c r="U37" s="274">
        <f>VLOOKUP(A37,'[1]SB35 Determination Data'!$B$4:$F$542,5,FALSE)</f>
        <v>2014</v>
      </c>
    </row>
    <row r="38" spans="1:21" s="274" customFormat="1" ht="12.75" x14ac:dyDescent="0.2">
      <c r="A38" s="282" t="s">
        <v>201</v>
      </c>
      <c r="B38" s="282" t="s">
        <v>631</v>
      </c>
      <c r="C38" s="282" t="s">
        <v>660</v>
      </c>
      <c r="D38" s="283">
        <v>2017</v>
      </c>
      <c r="E38" s="282" t="s">
        <v>650</v>
      </c>
      <c r="F38" s="284">
        <v>32</v>
      </c>
      <c r="G38" s="285">
        <v>23</v>
      </c>
      <c r="H38" s="288">
        <v>23</v>
      </c>
      <c r="I38" s="285">
        <v>0</v>
      </c>
      <c r="J38" s="285">
        <v>21</v>
      </c>
      <c r="K38" s="284">
        <v>15</v>
      </c>
      <c r="L38" s="284">
        <v>15</v>
      </c>
      <c r="M38" s="284">
        <v>0</v>
      </c>
      <c r="N38" s="284">
        <v>24</v>
      </c>
      <c r="O38" s="284">
        <v>40</v>
      </c>
      <c r="P38" s="284">
        <v>59</v>
      </c>
      <c r="Q38" s="286">
        <v>23</v>
      </c>
      <c r="R38" s="274">
        <v>136</v>
      </c>
      <c r="S38" s="274">
        <v>101</v>
      </c>
      <c r="T38" s="287">
        <f t="shared" si="0"/>
        <v>2017</v>
      </c>
      <c r="U38" s="274">
        <f>VLOOKUP(A38,'[1]SB35 Determination Data'!$B$4:$F$542,5,FALSE)</f>
        <v>2014</v>
      </c>
    </row>
    <row r="39" spans="1:21" s="274" customFormat="1" ht="12.75" x14ac:dyDescent="0.2">
      <c r="A39" s="282" t="s">
        <v>203</v>
      </c>
      <c r="B39" s="282" t="s">
        <v>120</v>
      </c>
      <c r="C39" s="282" t="s">
        <v>654</v>
      </c>
      <c r="D39" s="283">
        <v>2014</v>
      </c>
      <c r="E39" s="282" t="s">
        <v>650</v>
      </c>
      <c r="F39" s="284">
        <v>349</v>
      </c>
      <c r="G39" s="285">
        <v>0</v>
      </c>
      <c r="H39" s="288">
        <v>0</v>
      </c>
      <c r="I39" s="285">
        <v>0</v>
      </c>
      <c r="J39" s="285">
        <v>205</v>
      </c>
      <c r="K39" s="284">
        <v>0</v>
      </c>
      <c r="L39" s="284">
        <v>0</v>
      </c>
      <c r="M39" s="284">
        <v>0</v>
      </c>
      <c r="N39" s="284">
        <v>214</v>
      </c>
      <c r="O39" s="284">
        <v>57</v>
      </c>
      <c r="P39" s="284">
        <v>680</v>
      </c>
      <c r="Q39" s="286">
        <v>174</v>
      </c>
      <c r="R39" s="274">
        <v>1448</v>
      </c>
      <c r="S39" s="274">
        <v>231</v>
      </c>
      <c r="T39" s="287">
        <f t="shared" si="0"/>
        <v>2015</v>
      </c>
      <c r="U39" s="274">
        <f>VLOOKUP(A39,'[1]SB35 Determination Data'!$B$4:$F$542,5,FALSE)</f>
        <v>2015</v>
      </c>
    </row>
    <row r="40" spans="1:21" s="274" customFormat="1" ht="12.75" x14ac:dyDescent="0.2">
      <c r="A40" s="282" t="s">
        <v>203</v>
      </c>
      <c r="B40" s="282" t="s">
        <v>120</v>
      </c>
      <c r="C40" s="282" t="s">
        <v>654</v>
      </c>
      <c r="D40" s="283">
        <v>2015</v>
      </c>
      <c r="E40" s="282" t="s">
        <v>650</v>
      </c>
      <c r="F40" s="284">
        <v>349</v>
      </c>
      <c r="G40" s="285">
        <v>1</v>
      </c>
      <c r="H40" s="288">
        <v>0</v>
      </c>
      <c r="I40" s="285">
        <v>1</v>
      </c>
      <c r="J40" s="285">
        <v>205</v>
      </c>
      <c r="K40" s="284">
        <v>0</v>
      </c>
      <c r="L40" s="284">
        <v>0</v>
      </c>
      <c r="M40" s="284">
        <v>0</v>
      </c>
      <c r="N40" s="284">
        <v>214</v>
      </c>
      <c r="O40" s="284">
        <v>19</v>
      </c>
      <c r="P40" s="284">
        <v>680</v>
      </c>
      <c r="Q40" s="286">
        <v>47</v>
      </c>
      <c r="R40" s="274">
        <v>1448</v>
      </c>
      <c r="S40" s="274">
        <v>67</v>
      </c>
      <c r="T40" s="287">
        <f t="shared" si="0"/>
        <v>2015</v>
      </c>
      <c r="U40" s="274">
        <f>VLOOKUP(A40,'[1]SB35 Determination Data'!$B$4:$F$542,5,FALSE)</f>
        <v>2015</v>
      </c>
    </row>
    <row r="41" spans="1:21" s="274" customFormat="1" ht="12.75" x14ac:dyDescent="0.2">
      <c r="A41" s="282" t="s">
        <v>203</v>
      </c>
      <c r="B41" s="282" t="s">
        <v>120</v>
      </c>
      <c r="C41" s="282" t="s">
        <v>654</v>
      </c>
      <c r="D41" s="283">
        <v>2016</v>
      </c>
      <c r="E41" s="282" t="s">
        <v>650</v>
      </c>
      <c r="F41" s="284">
        <v>349</v>
      </c>
      <c r="G41" s="285">
        <v>84</v>
      </c>
      <c r="H41" s="288">
        <v>84</v>
      </c>
      <c r="I41" s="285">
        <v>0</v>
      </c>
      <c r="J41" s="285">
        <v>205</v>
      </c>
      <c r="K41" s="284">
        <v>0</v>
      </c>
      <c r="L41" s="284">
        <v>0</v>
      </c>
      <c r="M41" s="284">
        <v>0</v>
      </c>
      <c r="N41" s="284">
        <v>214</v>
      </c>
      <c r="O41" s="284">
        <v>1</v>
      </c>
      <c r="P41" s="284">
        <v>680</v>
      </c>
      <c r="Q41" s="286">
        <v>42</v>
      </c>
      <c r="R41" s="274">
        <v>1448</v>
      </c>
      <c r="S41" s="274">
        <v>127</v>
      </c>
      <c r="T41" s="287">
        <f t="shared" si="0"/>
        <v>2016</v>
      </c>
      <c r="U41" s="274">
        <f>VLOOKUP(A41,'[1]SB35 Determination Data'!$B$4:$F$542,5,FALSE)</f>
        <v>2015</v>
      </c>
    </row>
    <row r="42" spans="1:21" s="274" customFormat="1" ht="12.75" x14ac:dyDescent="0.2">
      <c r="A42" s="282" t="s">
        <v>203</v>
      </c>
      <c r="B42" s="282" t="s">
        <v>120</v>
      </c>
      <c r="C42" s="282" t="s">
        <v>654</v>
      </c>
      <c r="D42" s="283">
        <v>2017</v>
      </c>
      <c r="E42" s="282" t="s">
        <v>650</v>
      </c>
      <c r="F42" s="284">
        <v>349</v>
      </c>
      <c r="G42" s="285">
        <v>2</v>
      </c>
      <c r="H42" s="288">
        <v>2</v>
      </c>
      <c r="I42" s="285">
        <v>0</v>
      </c>
      <c r="J42" s="285">
        <v>205</v>
      </c>
      <c r="K42" s="284">
        <v>0</v>
      </c>
      <c r="L42" s="284">
        <v>0</v>
      </c>
      <c r="M42" s="284">
        <v>0</v>
      </c>
      <c r="N42" s="289">
        <v>214</v>
      </c>
      <c r="O42" s="284">
        <v>0</v>
      </c>
      <c r="P42" s="284">
        <v>680</v>
      </c>
      <c r="Q42" s="286">
        <v>41</v>
      </c>
      <c r="R42" s="274">
        <v>1448</v>
      </c>
      <c r="S42" s="274">
        <v>43</v>
      </c>
      <c r="T42" s="287">
        <f t="shared" si="0"/>
        <v>2017</v>
      </c>
      <c r="U42" s="274">
        <f>VLOOKUP(A42,'[1]SB35 Determination Data'!$B$4:$F$542,5,FALSE)</f>
        <v>2015</v>
      </c>
    </row>
    <row r="43" spans="1:21" s="274" customFormat="1" ht="12.75" x14ac:dyDescent="0.2">
      <c r="A43" s="282" t="s">
        <v>205</v>
      </c>
      <c r="B43" s="282" t="s">
        <v>542</v>
      </c>
      <c r="C43" s="282" t="s">
        <v>649</v>
      </c>
      <c r="D43" s="283">
        <v>2015</v>
      </c>
      <c r="E43" s="282" t="s">
        <v>650</v>
      </c>
      <c r="F43" s="284">
        <v>764</v>
      </c>
      <c r="G43" s="285">
        <v>0</v>
      </c>
      <c r="H43" s="288">
        <v>0</v>
      </c>
      <c r="I43" s="285">
        <v>0</v>
      </c>
      <c r="J43" s="285">
        <v>541</v>
      </c>
      <c r="K43" s="284">
        <v>0</v>
      </c>
      <c r="L43" s="284">
        <v>0</v>
      </c>
      <c r="M43" s="284">
        <v>0</v>
      </c>
      <c r="N43" s="284">
        <v>622</v>
      </c>
      <c r="O43" s="284">
        <v>0</v>
      </c>
      <c r="P43" s="284">
        <v>1407</v>
      </c>
      <c r="Q43" s="286">
        <v>0</v>
      </c>
      <c r="R43" s="274">
        <v>3334</v>
      </c>
      <c r="S43" s="274">
        <v>0</v>
      </c>
      <c r="T43" s="287">
        <f t="shared" si="0"/>
        <v>2015</v>
      </c>
      <c r="U43" s="274">
        <f>VLOOKUP(A43,'[1]SB35 Determination Data'!$B$4:$F$542,5,FALSE)</f>
        <v>2014</v>
      </c>
    </row>
    <row r="44" spans="1:21" s="274" customFormat="1" ht="12.75" x14ac:dyDescent="0.2">
      <c r="A44" s="282" t="s">
        <v>205</v>
      </c>
      <c r="B44" s="282" t="s">
        <v>542</v>
      </c>
      <c r="C44" s="282" t="s">
        <v>649</v>
      </c>
      <c r="D44" s="283">
        <v>2016</v>
      </c>
      <c r="E44" s="282" t="s">
        <v>650</v>
      </c>
      <c r="F44" s="284">
        <v>764</v>
      </c>
      <c r="G44" s="285">
        <v>0</v>
      </c>
      <c r="H44" s="288">
        <v>0</v>
      </c>
      <c r="I44" s="285">
        <v>0</v>
      </c>
      <c r="J44" s="285">
        <v>541</v>
      </c>
      <c r="K44" s="284">
        <v>0</v>
      </c>
      <c r="L44" s="284">
        <v>0</v>
      </c>
      <c r="M44" s="284">
        <v>0</v>
      </c>
      <c r="N44" s="284">
        <v>622</v>
      </c>
      <c r="O44" s="284">
        <v>0</v>
      </c>
      <c r="P44" s="284">
        <v>1407</v>
      </c>
      <c r="Q44" s="286">
        <v>0</v>
      </c>
      <c r="R44" s="274">
        <v>3334</v>
      </c>
      <c r="S44" s="274">
        <v>0</v>
      </c>
      <c r="T44" s="287">
        <f t="shared" si="0"/>
        <v>2016</v>
      </c>
      <c r="U44" s="274">
        <f>VLOOKUP(A44,'[1]SB35 Determination Data'!$B$4:$F$542,5,FALSE)</f>
        <v>2014</v>
      </c>
    </row>
    <row r="45" spans="1:21" s="274" customFormat="1" ht="12.75" x14ac:dyDescent="0.2">
      <c r="A45" s="282" t="s">
        <v>205</v>
      </c>
      <c r="B45" s="282" t="s">
        <v>542</v>
      </c>
      <c r="C45" s="282" t="s">
        <v>649</v>
      </c>
      <c r="D45" s="283">
        <v>2017</v>
      </c>
      <c r="E45" s="282" t="s">
        <v>650</v>
      </c>
      <c r="F45" s="284">
        <v>764</v>
      </c>
      <c r="G45" s="285">
        <v>0</v>
      </c>
      <c r="H45" s="288">
        <v>0</v>
      </c>
      <c r="I45" s="285">
        <v>0</v>
      </c>
      <c r="J45" s="285">
        <v>541</v>
      </c>
      <c r="K45" s="284">
        <v>0</v>
      </c>
      <c r="L45" s="284">
        <v>0</v>
      </c>
      <c r="M45" s="284">
        <v>0</v>
      </c>
      <c r="N45" s="284">
        <v>622</v>
      </c>
      <c r="O45" s="284">
        <v>0</v>
      </c>
      <c r="P45" s="284">
        <v>1407</v>
      </c>
      <c r="Q45" s="286">
        <v>0</v>
      </c>
      <c r="R45" s="274">
        <v>3334</v>
      </c>
      <c r="S45" s="274">
        <v>0</v>
      </c>
      <c r="T45" s="287">
        <f t="shared" si="0"/>
        <v>2017</v>
      </c>
      <c r="U45" s="274">
        <f>VLOOKUP(A45,'[1]SB35 Determination Data'!$B$4:$F$542,5,FALSE)</f>
        <v>2014</v>
      </c>
    </row>
    <row r="46" spans="1:21" s="274" customFormat="1" ht="12.75" x14ac:dyDescent="0.2">
      <c r="A46" s="282" t="s">
        <v>206</v>
      </c>
      <c r="B46" s="282" t="s">
        <v>262</v>
      </c>
      <c r="C46" s="282" t="s">
        <v>649</v>
      </c>
      <c r="D46" s="283">
        <v>2017</v>
      </c>
      <c r="E46" s="282" t="s">
        <v>650</v>
      </c>
      <c r="F46" s="284">
        <v>276</v>
      </c>
      <c r="G46" s="285">
        <v>0</v>
      </c>
      <c r="H46" s="288">
        <v>0</v>
      </c>
      <c r="I46" s="285">
        <v>0</v>
      </c>
      <c r="J46" s="285">
        <v>167</v>
      </c>
      <c r="K46" s="284">
        <v>0</v>
      </c>
      <c r="L46" s="284">
        <v>0</v>
      </c>
      <c r="M46" s="284">
        <v>0</v>
      </c>
      <c r="N46" s="289">
        <v>177</v>
      </c>
      <c r="O46" s="284">
        <v>38</v>
      </c>
      <c r="P46" s="284">
        <v>434</v>
      </c>
      <c r="Q46" s="286">
        <v>101</v>
      </c>
      <c r="R46" s="274">
        <v>1054</v>
      </c>
      <c r="S46" s="274">
        <v>139</v>
      </c>
      <c r="T46" s="287">
        <f t="shared" si="0"/>
        <v>2017</v>
      </c>
      <c r="U46" s="274">
        <f>VLOOKUP(A46,'[1]SB35 Determination Data'!$B$4:$F$542,5,FALSE)</f>
        <v>2014</v>
      </c>
    </row>
    <row r="47" spans="1:21" s="274" customFormat="1" ht="12.75" x14ac:dyDescent="0.2">
      <c r="A47" s="282" t="s">
        <v>207</v>
      </c>
      <c r="B47" s="282" t="s">
        <v>171</v>
      </c>
      <c r="C47" s="282" t="s">
        <v>660</v>
      </c>
      <c r="D47" s="283">
        <v>2014</v>
      </c>
      <c r="E47" s="282" t="s">
        <v>650</v>
      </c>
      <c r="F47" s="284">
        <v>85</v>
      </c>
      <c r="G47" s="285">
        <v>26</v>
      </c>
      <c r="H47" s="288">
        <v>26</v>
      </c>
      <c r="I47" s="285">
        <v>0</v>
      </c>
      <c r="J47" s="285">
        <v>56</v>
      </c>
      <c r="K47" s="284">
        <v>5</v>
      </c>
      <c r="L47" s="284">
        <v>5</v>
      </c>
      <c r="M47" s="284">
        <v>0</v>
      </c>
      <c r="N47" s="289">
        <v>62</v>
      </c>
      <c r="O47" s="284">
        <v>8</v>
      </c>
      <c r="P47" s="284">
        <v>160</v>
      </c>
      <c r="Q47" s="286">
        <v>7</v>
      </c>
      <c r="R47" s="274">
        <v>363</v>
      </c>
      <c r="S47" s="274">
        <v>46</v>
      </c>
      <c r="T47" s="287">
        <f t="shared" si="0"/>
        <v>2014</v>
      </c>
      <c r="U47" s="274">
        <f>VLOOKUP(A47,'[1]SB35 Determination Data'!$B$4:$F$542,5,FALSE)</f>
        <v>2014</v>
      </c>
    </row>
    <row r="48" spans="1:21" s="274" customFormat="1" ht="12.75" x14ac:dyDescent="0.2">
      <c r="A48" s="282" t="s">
        <v>207</v>
      </c>
      <c r="B48" s="282" t="s">
        <v>171</v>
      </c>
      <c r="C48" s="282" t="s">
        <v>660</v>
      </c>
      <c r="D48" s="283">
        <v>2015</v>
      </c>
      <c r="E48" s="282" t="s">
        <v>650</v>
      </c>
      <c r="F48" s="284">
        <v>85</v>
      </c>
      <c r="G48" s="285">
        <v>17</v>
      </c>
      <c r="H48" s="288">
        <v>17</v>
      </c>
      <c r="I48" s="285">
        <v>0</v>
      </c>
      <c r="J48" s="285">
        <v>56</v>
      </c>
      <c r="K48" s="284">
        <v>0</v>
      </c>
      <c r="L48" s="284">
        <v>0</v>
      </c>
      <c r="M48" s="284">
        <v>0</v>
      </c>
      <c r="N48" s="284">
        <v>62</v>
      </c>
      <c r="O48" s="284">
        <v>3</v>
      </c>
      <c r="P48" s="284">
        <v>160</v>
      </c>
      <c r="Q48" s="286">
        <v>2</v>
      </c>
      <c r="R48" s="274">
        <v>363</v>
      </c>
      <c r="S48" s="274">
        <v>22</v>
      </c>
      <c r="T48" s="287">
        <f t="shared" si="0"/>
        <v>2015</v>
      </c>
      <c r="U48" s="274">
        <f>VLOOKUP(A48,'[1]SB35 Determination Data'!$B$4:$F$542,5,FALSE)</f>
        <v>2014</v>
      </c>
    </row>
    <row r="49" spans="1:21" s="274" customFormat="1" ht="12.75" x14ac:dyDescent="0.2">
      <c r="A49" s="282" t="s">
        <v>207</v>
      </c>
      <c r="B49" s="282" t="s">
        <v>171</v>
      </c>
      <c r="C49" s="282" t="s">
        <v>660</v>
      </c>
      <c r="D49" s="283">
        <v>2016</v>
      </c>
      <c r="E49" s="282" t="s">
        <v>650</v>
      </c>
      <c r="F49" s="284">
        <v>85</v>
      </c>
      <c r="G49" s="285">
        <v>0</v>
      </c>
      <c r="H49" s="288">
        <v>0</v>
      </c>
      <c r="I49" s="285">
        <v>0</v>
      </c>
      <c r="J49" s="285">
        <v>56</v>
      </c>
      <c r="K49" s="284">
        <v>0</v>
      </c>
      <c r="L49" s="284">
        <v>0</v>
      </c>
      <c r="M49" s="284">
        <v>0</v>
      </c>
      <c r="N49" s="284">
        <v>62</v>
      </c>
      <c r="O49" s="284">
        <v>43</v>
      </c>
      <c r="P49" s="284">
        <v>160</v>
      </c>
      <c r="Q49" s="286">
        <v>7</v>
      </c>
      <c r="R49" s="274">
        <v>363</v>
      </c>
      <c r="S49" s="274">
        <v>50</v>
      </c>
      <c r="T49" s="287">
        <f t="shared" si="0"/>
        <v>2016</v>
      </c>
      <c r="U49" s="274">
        <f>VLOOKUP(A49,'[1]SB35 Determination Data'!$B$4:$F$542,5,FALSE)</f>
        <v>2014</v>
      </c>
    </row>
    <row r="50" spans="1:21" s="274" customFormat="1" ht="12.75" x14ac:dyDescent="0.2">
      <c r="A50" s="282" t="s">
        <v>207</v>
      </c>
      <c r="B50" s="282" t="s">
        <v>171</v>
      </c>
      <c r="C50" s="282" t="s">
        <v>660</v>
      </c>
      <c r="D50" s="283">
        <v>2017</v>
      </c>
      <c r="E50" s="282" t="s">
        <v>650</v>
      </c>
      <c r="F50" s="284">
        <v>85</v>
      </c>
      <c r="G50" s="285">
        <v>0</v>
      </c>
      <c r="H50" s="288">
        <v>0</v>
      </c>
      <c r="I50" s="285">
        <v>0</v>
      </c>
      <c r="J50" s="285">
        <v>56</v>
      </c>
      <c r="K50" s="284">
        <v>0</v>
      </c>
      <c r="L50" s="284">
        <v>0</v>
      </c>
      <c r="M50" s="284">
        <v>0</v>
      </c>
      <c r="N50" s="284">
        <v>62</v>
      </c>
      <c r="O50" s="284">
        <v>164</v>
      </c>
      <c r="P50" s="284">
        <v>160</v>
      </c>
      <c r="Q50" s="286">
        <v>5</v>
      </c>
      <c r="R50" s="274">
        <v>363</v>
      </c>
      <c r="S50" s="274">
        <v>169</v>
      </c>
      <c r="T50" s="287">
        <f t="shared" si="0"/>
        <v>2017</v>
      </c>
      <c r="U50" s="274">
        <f>VLOOKUP(A50,'[1]SB35 Determination Data'!$B$4:$F$542,5,FALSE)</f>
        <v>2014</v>
      </c>
    </row>
    <row r="51" spans="1:21" s="274" customFormat="1" ht="12.75" x14ac:dyDescent="0.2">
      <c r="A51" s="282" t="s">
        <v>208</v>
      </c>
      <c r="B51" s="282" t="s">
        <v>583</v>
      </c>
      <c r="C51" s="282" t="s">
        <v>660</v>
      </c>
      <c r="D51" s="283">
        <v>2017</v>
      </c>
      <c r="E51" s="282" t="s">
        <v>650</v>
      </c>
      <c r="F51" s="284">
        <v>60</v>
      </c>
      <c r="G51" s="285">
        <v>0</v>
      </c>
      <c r="H51" s="288">
        <v>0</v>
      </c>
      <c r="I51" s="285">
        <v>0</v>
      </c>
      <c r="J51" s="285">
        <v>38</v>
      </c>
      <c r="K51" s="284">
        <v>4</v>
      </c>
      <c r="L51" s="284">
        <v>0</v>
      </c>
      <c r="M51" s="284">
        <v>4</v>
      </c>
      <c r="N51" s="284">
        <v>43</v>
      </c>
      <c r="O51" s="284">
        <v>0</v>
      </c>
      <c r="P51" s="284">
        <v>101</v>
      </c>
      <c r="Q51" s="286">
        <v>37</v>
      </c>
      <c r="R51" s="274">
        <v>242</v>
      </c>
      <c r="S51" s="274">
        <v>41</v>
      </c>
      <c r="T51" s="287">
        <f t="shared" si="0"/>
        <v>2017</v>
      </c>
      <c r="U51" s="274">
        <f>VLOOKUP(A51,'[1]SB35 Determination Data'!$B$4:$F$542,5,FALSE)</f>
        <v>2014</v>
      </c>
    </row>
    <row r="52" spans="1:21" s="274" customFormat="1" ht="12.75" x14ac:dyDescent="0.2">
      <c r="A52" s="282" t="s">
        <v>209</v>
      </c>
      <c r="B52" s="282" t="s">
        <v>262</v>
      </c>
      <c r="C52" s="282" t="s">
        <v>649</v>
      </c>
      <c r="D52" s="283">
        <v>2014</v>
      </c>
      <c r="E52" s="282" t="s">
        <v>650</v>
      </c>
      <c r="F52" s="284">
        <v>31</v>
      </c>
      <c r="G52" s="285">
        <v>0</v>
      </c>
      <c r="H52" s="288">
        <v>0</v>
      </c>
      <c r="I52" s="285">
        <v>0</v>
      </c>
      <c r="J52" s="285">
        <v>18</v>
      </c>
      <c r="K52" s="284">
        <v>0</v>
      </c>
      <c r="L52" s="284">
        <v>0</v>
      </c>
      <c r="M52" s="284">
        <v>0</v>
      </c>
      <c r="N52" s="284">
        <v>20</v>
      </c>
      <c r="O52" s="284">
        <v>0</v>
      </c>
      <c r="P52" s="284">
        <v>51</v>
      </c>
      <c r="Q52" s="286">
        <v>17</v>
      </c>
      <c r="R52" s="274">
        <v>120</v>
      </c>
      <c r="S52" s="274">
        <v>17</v>
      </c>
      <c r="T52" s="287">
        <f t="shared" si="0"/>
        <v>2014</v>
      </c>
      <c r="U52" s="274">
        <f>VLOOKUP(A52,'[1]SB35 Determination Data'!$B$4:$F$542,5,FALSE)</f>
        <v>2014</v>
      </c>
    </row>
    <row r="53" spans="1:21" s="274" customFormat="1" ht="12.75" x14ac:dyDescent="0.2">
      <c r="A53" s="282" t="s">
        <v>209</v>
      </c>
      <c r="B53" s="282" t="s">
        <v>262</v>
      </c>
      <c r="C53" s="282" t="s">
        <v>649</v>
      </c>
      <c r="D53" s="283">
        <v>2015</v>
      </c>
      <c r="E53" s="282" t="s">
        <v>650</v>
      </c>
      <c r="F53" s="284">
        <v>31</v>
      </c>
      <c r="G53" s="285">
        <v>0</v>
      </c>
      <c r="H53" s="288">
        <v>0</v>
      </c>
      <c r="I53" s="285">
        <v>0</v>
      </c>
      <c r="J53" s="285">
        <v>18</v>
      </c>
      <c r="K53" s="284">
        <v>0</v>
      </c>
      <c r="L53" s="284">
        <v>0</v>
      </c>
      <c r="M53" s="284">
        <v>0</v>
      </c>
      <c r="N53" s="284">
        <v>20</v>
      </c>
      <c r="O53" s="284">
        <v>0</v>
      </c>
      <c r="P53" s="284">
        <v>51</v>
      </c>
      <c r="Q53" s="286">
        <v>8</v>
      </c>
      <c r="R53" s="274">
        <v>120</v>
      </c>
      <c r="S53" s="274">
        <v>8</v>
      </c>
      <c r="T53" s="287">
        <f t="shared" si="0"/>
        <v>2015</v>
      </c>
      <c r="U53" s="274">
        <f>VLOOKUP(A53,'[1]SB35 Determination Data'!$B$4:$F$542,5,FALSE)</f>
        <v>2014</v>
      </c>
    </row>
    <row r="54" spans="1:21" s="274" customFormat="1" ht="12.75" x14ac:dyDescent="0.2">
      <c r="A54" s="282" t="s">
        <v>209</v>
      </c>
      <c r="B54" s="282" t="s">
        <v>262</v>
      </c>
      <c r="C54" s="282" t="s">
        <v>649</v>
      </c>
      <c r="D54" s="283">
        <v>2016</v>
      </c>
      <c r="E54" s="282" t="s">
        <v>650</v>
      </c>
      <c r="F54" s="284">
        <v>31</v>
      </c>
      <c r="G54" s="285">
        <v>0</v>
      </c>
      <c r="H54" s="288">
        <v>0</v>
      </c>
      <c r="I54" s="285">
        <v>0</v>
      </c>
      <c r="J54" s="285">
        <v>18</v>
      </c>
      <c r="K54" s="284">
        <v>0</v>
      </c>
      <c r="L54" s="284">
        <v>0</v>
      </c>
      <c r="M54" s="284">
        <v>0</v>
      </c>
      <c r="N54" s="284">
        <v>20</v>
      </c>
      <c r="O54" s="284">
        <v>0</v>
      </c>
      <c r="P54" s="284">
        <v>51</v>
      </c>
      <c r="Q54" s="286">
        <v>22</v>
      </c>
      <c r="R54" s="274">
        <v>120</v>
      </c>
      <c r="S54" s="274">
        <v>22</v>
      </c>
      <c r="T54" s="287">
        <f t="shared" si="0"/>
        <v>2016</v>
      </c>
      <c r="U54" s="274">
        <f>VLOOKUP(A54,'[1]SB35 Determination Data'!$B$4:$F$542,5,FALSE)</f>
        <v>2014</v>
      </c>
    </row>
    <row r="55" spans="1:21" s="274" customFormat="1" ht="12.75" x14ac:dyDescent="0.2">
      <c r="A55" s="282" t="s">
        <v>209</v>
      </c>
      <c r="B55" s="282" t="s">
        <v>262</v>
      </c>
      <c r="C55" s="282" t="s">
        <v>649</v>
      </c>
      <c r="D55" s="283">
        <v>2017</v>
      </c>
      <c r="E55" s="282" t="s">
        <v>650</v>
      </c>
      <c r="F55" s="284">
        <v>31</v>
      </c>
      <c r="G55" s="285">
        <v>0</v>
      </c>
      <c r="H55" s="288">
        <v>0</v>
      </c>
      <c r="I55" s="285">
        <v>0</v>
      </c>
      <c r="J55" s="285">
        <v>18</v>
      </c>
      <c r="K55" s="284">
        <v>0</v>
      </c>
      <c r="L55" s="284">
        <v>0</v>
      </c>
      <c r="M55" s="284">
        <v>0</v>
      </c>
      <c r="N55" s="284">
        <v>20</v>
      </c>
      <c r="O55" s="284">
        <v>0</v>
      </c>
      <c r="P55" s="284">
        <v>51</v>
      </c>
      <c r="Q55" s="286">
        <v>8</v>
      </c>
      <c r="R55" s="274">
        <v>120</v>
      </c>
      <c r="S55" s="274">
        <v>8</v>
      </c>
      <c r="T55" s="287">
        <f t="shared" si="0"/>
        <v>2017</v>
      </c>
      <c r="U55" s="274">
        <f>VLOOKUP(A55,'[1]SB35 Determination Data'!$B$4:$F$542,5,FALSE)</f>
        <v>2014</v>
      </c>
    </row>
    <row r="56" spans="1:21" s="274" customFormat="1" ht="12.75" x14ac:dyDescent="0.2">
      <c r="A56" s="282" t="s">
        <v>210</v>
      </c>
      <c r="B56" s="282" t="s">
        <v>220</v>
      </c>
      <c r="C56" s="282" t="s">
        <v>531</v>
      </c>
      <c r="D56" s="283">
        <v>2015</v>
      </c>
      <c r="E56" s="282" t="s">
        <v>650</v>
      </c>
      <c r="F56" s="284">
        <v>398</v>
      </c>
      <c r="G56" s="285">
        <v>0</v>
      </c>
      <c r="H56" s="288">
        <v>0</v>
      </c>
      <c r="I56" s="285">
        <v>0</v>
      </c>
      <c r="J56" s="285">
        <v>239</v>
      </c>
      <c r="K56" s="284">
        <v>26</v>
      </c>
      <c r="L56" s="284">
        <v>9</v>
      </c>
      <c r="M56" s="284">
        <v>17</v>
      </c>
      <c r="N56" s="289">
        <v>183</v>
      </c>
      <c r="O56" s="284">
        <v>60</v>
      </c>
      <c r="P56" s="284">
        <v>349</v>
      </c>
      <c r="Q56" s="286">
        <v>0</v>
      </c>
      <c r="R56" s="274">
        <v>1169</v>
      </c>
      <c r="S56" s="274">
        <v>86</v>
      </c>
      <c r="T56" s="287">
        <f t="shared" si="0"/>
        <v>2016</v>
      </c>
      <c r="U56" s="274">
        <f>VLOOKUP(A56,'[1]SB35 Determination Data'!$B$4:$F$542,5,FALSE)</f>
        <v>2016</v>
      </c>
    </row>
    <row r="57" spans="1:21" s="274" customFormat="1" ht="12.75" x14ac:dyDescent="0.2">
      <c r="A57" s="282" t="s">
        <v>210</v>
      </c>
      <c r="B57" s="282" t="s">
        <v>220</v>
      </c>
      <c r="C57" s="282" t="s">
        <v>531</v>
      </c>
      <c r="D57" s="283">
        <v>2016</v>
      </c>
      <c r="E57" s="282" t="s">
        <v>650</v>
      </c>
      <c r="F57" s="284">
        <v>398</v>
      </c>
      <c r="G57" s="285">
        <v>0</v>
      </c>
      <c r="H57" s="288">
        <v>0</v>
      </c>
      <c r="I57" s="285">
        <v>0</v>
      </c>
      <c r="J57" s="285">
        <v>239</v>
      </c>
      <c r="K57" s="284">
        <v>24</v>
      </c>
      <c r="L57" s="284">
        <v>11</v>
      </c>
      <c r="M57" s="284">
        <v>13</v>
      </c>
      <c r="N57" s="284">
        <v>183</v>
      </c>
      <c r="O57" s="284">
        <v>29</v>
      </c>
      <c r="P57" s="284">
        <v>349</v>
      </c>
      <c r="Q57" s="286">
        <v>0</v>
      </c>
      <c r="R57" s="274">
        <v>1169</v>
      </c>
      <c r="S57" s="274">
        <v>53</v>
      </c>
      <c r="T57" s="287">
        <f t="shared" si="0"/>
        <v>2016</v>
      </c>
      <c r="U57" s="274">
        <f>VLOOKUP(A57,'[1]SB35 Determination Data'!$B$4:$F$542,5,FALSE)</f>
        <v>2016</v>
      </c>
    </row>
    <row r="58" spans="1:21" s="274" customFormat="1" ht="12.75" x14ac:dyDescent="0.2">
      <c r="A58" s="282" t="s">
        <v>210</v>
      </c>
      <c r="B58" s="282" t="s">
        <v>220</v>
      </c>
      <c r="C58" s="282" t="s">
        <v>531</v>
      </c>
      <c r="D58" s="283">
        <v>2017</v>
      </c>
      <c r="E58" s="282" t="s">
        <v>650</v>
      </c>
      <c r="F58" s="284">
        <v>398</v>
      </c>
      <c r="G58" s="285">
        <v>0</v>
      </c>
      <c r="H58" s="288">
        <v>0</v>
      </c>
      <c r="I58" s="285">
        <v>0</v>
      </c>
      <c r="J58" s="285">
        <v>239</v>
      </c>
      <c r="K58" s="284">
        <v>6</v>
      </c>
      <c r="L58" s="284">
        <v>0</v>
      </c>
      <c r="M58" s="284">
        <v>6</v>
      </c>
      <c r="N58" s="289">
        <v>183</v>
      </c>
      <c r="O58" s="284">
        <v>79</v>
      </c>
      <c r="P58" s="284">
        <v>349</v>
      </c>
      <c r="Q58" s="286">
        <v>0</v>
      </c>
      <c r="R58" s="274">
        <v>1169</v>
      </c>
      <c r="S58" s="274">
        <v>85</v>
      </c>
      <c r="T58" s="287">
        <f t="shared" si="0"/>
        <v>2017</v>
      </c>
      <c r="U58" s="274">
        <f>VLOOKUP(A58,'[1]SB35 Determination Data'!$B$4:$F$542,5,FALSE)</f>
        <v>2016</v>
      </c>
    </row>
    <row r="59" spans="1:21" s="274" customFormat="1" ht="12.75" x14ac:dyDescent="0.2">
      <c r="A59" s="282" t="s">
        <v>211</v>
      </c>
      <c r="B59" s="282" t="s">
        <v>583</v>
      </c>
      <c r="C59" s="282" t="s">
        <v>660</v>
      </c>
      <c r="D59" s="283">
        <v>2014</v>
      </c>
      <c r="E59" s="282" t="s">
        <v>650</v>
      </c>
      <c r="F59" s="284">
        <v>98</v>
      </c>
      <c r="G59" s="285">
        <v>2</v>
      </c>
      <c r="H59" s="288">
        <v>2</v>
      </c>
      <c r="I59" s="285">
        <v>0</v>
      </c>
      <c r="J59" s="285">
        <v>62</v>
      </c>
      <c r="K59" s="284">
        <v>1</v>
      </c>
      <c r="L59" s="284">
        <v>1</v>
      </c>
      <c r="M59" s="284">
        <v>0</v>
      </c>
      <c r="N59" s="284">
        <v>69</v>
      </c>
      <c r="O59" s="284">
        <v>76</v>
      </c>
      <c r="P59" s="284">
        <v>164</v>
      </c>
      <c r="Q59" s="286">
        <v>106</v>
      </c>
      <c r="R59" s="274">
        <v>393</v>
      </c>
      <c r="S59" s="274">
        <v>185</v>
      </c>
      <c r="T59" s="287">
        <f t="shared" si="0"/>
        <v>2014</v>
      </c>
      <c r="U59" s="274">
        <f>VLOOKUP(A59,'[1]SB35 Determination Data'!$B$4:$F$542,5,FALSE)</f>
        <v>2014</v>
      </c>
    </row>
    <row r="60" spans="1:21" s="274" customFormat="1" ht="12.75" x14ac:dyDescent="0.2">
      <c r="A60" s="282" t="s">
        <v>211</v>
      </c>
      <c r="B60" s="282" t="s">
        <v>583</v>
      </c>
      <c r="C60" s="282" t="s">
        <v>660</v>
      </c>
      <c r="D60" s="283">
        <v>2015</v>
      </c>
      <c r="E60" s="282" t="s">
        <v>650</v>
      </c>
      <c r="F60" s="284">
        <v>98</v>
      </c>
      <c r="G60" s="285">
        <v>1</v>
      </c>
      <c r="H60" s="288">
        <v>1</v>
      </c>
      <c r="I60" s="285">
        <v>0</v>
      </c>
      <c r="J60" s="285">
        <v>62</v>
      </c>
      <c r="K60" s="284">
        <v>0</v>
      </c>
      <c r="L60" s="284">
        <v>0</v>
      </c>
      <c r="M60" s="284">
        <v>0</v>
      </c>
      <c r="N60" s="284">
        <v>69</v>
      </c>
      <c r="O60" s="284">
        <v>58</v>
      </c>
      <c r="P60" s="284">
        <v>164</v>
      </c>
      <c r="Q60" s="286">
        <v>29</v>
      </c>
      <c r="R60" s="274">
        <v>393</v>
      </c>
      <c r="S60" s="274">
        <v>88</v>
      </c>
      <c r="T60" s="287">
        <f t="shared" si="0"/>
        <v>2015</v>
      </c>
      <c r="U60" s="274">
        <f>VLOOKUP(A60,'[1]SB35 Determination Data'!$B$4:$F$542,5,FALSE)</f>
        <v>2014</v>
      </c>
    </row>
    <row r="61" spans="1:21" s="274" customFormat="1" ht="12.75" x14ac:dyDescent="0.2">
      <c r="A61" s="282" t="s">
        <v>211</v>
      </c>
      <c r="B61" s="282" t="s">
        <v>583</v>
      </c>
      <c r="C61" s="282" t="s">
        <v>660</v>
      </c>
      <c r="D61" s="283">
        <v>2016</v>
      </c>
      <c r="E61" s="282" t="s">
        <v>650</v>
      </c>
      <c r="F61" s="284">
        <v>98</v>
      </c>
      <c r="G61" s="285">
        <v>45</v>
      </c>
      <c r="H61" s="288">
        <v>45</v>
      </c>
      <c r="I61" s="285">
        <v>0</v>
      </c>
      <c r="J61" s="285">
        <v>62</v>
      </c>
      <c r="K61" s="284">
        <v>25</v>
      </c>
      <c r="L61" s="284">
        <v>25</v>
      </c>
      <c r="M61" s="284">
        <v>0</v>
      </c>
      <c r="N61" s="284">
        <v>69</v>
      </c>
      <c r="O61" s="284">
        <v>29</v>
      </c>
      <c r="P61" s="284">
        <v>164</v>
      </c>
      <c r="Q61" s="286">
        <v>21</v>
      </c>
      <c r="R61" s="274">
        <v>393</v>
      </c>
      <c r="S61" s="274">
        <v>120</v>
      </c>
      <c r="T61" s="287">
        <f t="shared" si="0"/>
        <v>2016</v>
      </c>
      <c r="U61" s="274">
        <f>VLOOKUP(A61,'[1]SB35 Determination Data'!$B$4:$F$542,5,FALSE)</f>
        <v>2014</v>
      </c>
    </row>
    <row r="62" spans="1:21" s="274" customFormat="1" ht="12.75" x14ac:dyDescent="0.2">
      <c r="A62" s="282" t="s">
        <v>211</v>
      </c>
      <c r="B62" s="282" t="s">
        <v>583</v>
      </c>
      <c r="C62" s="282" t="s">
        <v>660</v>
      </c>
      <c r="D62" s="283">
        <v>2017</v>
      </c>
      <c r="E62" s="282" t="s">
        <v>650</v>
      </c>
      <c r="F62" s="284">
        <v>98</v>
      </c>
      <c r="G62" s="285">
        <v>0</v>
      </c>
      <c r="H62" s="288">
        <v>0</v>
      </c>
      <c r="I62" s="285">
        <v>0</v>
      </c>
      <c r="J62" s="285">
        <v>62</v>
      </c>
      <c r="K62" s="284">
        <v>0</v>
      </c>
      <c r="L62" s="284">
        <v>0</v>
      </c>
      <c r="M62" s="284">
        <v>0</v>
      </c>
      <c r="N62" s="284">
        <v>69</v>
      </c>
      <c r="O62" s="284">
        <v>1</v>
      </c>
      <c r="P62" s="284">
        <v>164</v>
      </c>
      <c r="Q62" s="286">
        <v>76</v>
      </c>
      <c r="R62" s="274">
        <v>393</v>
      </c>
      <c r="S62" s="274">
        <v>77</v>
      </c>
      <c r="T62" s="287">
        <f t="shared" si="0"/>
        <v>2017</v>
      </c>
      <c r="U62" s="274">
        <f>VLOOKUP(A62,'[1]SB35 Determination Data'!$B$4:$F$542,5,FALSE)</f>
        <v>2014</v>
      </c>
    </row>
    <row r="63" spans="1:21" s="274" customFormat="1" ht="12.75" x14ac:dyDescent="0.2">
      <c r="A63" s="282" t="s">
        <v>212</v>
      </c>
      <c r="B63" s="282" t="s">
        <v>595</v>
      </c>
      <c r="C63" s="282" t="s">
        <v>654</v>
      </c>
      <c r="D63" s="283">
        <v>2014</v>
      </c>
      <c r="E63" s="282" t="s">
        <v>650</v>
      </c>
      <c r="F63" s="284">
        <v>35</v>
      </c>
      <c r="G63" s="285">
        <v>1</v>
      </c>
      <c r="H63" s="288">
        <v>0</v>
      </c>
      <c r="I63" s="285">
        <v>1</v>
      </c>
      <c r="J63" s="285">
        <v>26</v>
      </c>
      <c r="K63" s="284">
        <v>3</v>
      </c>
      <c r="L63" s="284">
        <v>0</v>
      </c>
      <c r="M63" s="284">
        <v>3</v>
      </c>
      <c r="N63" s="289">
        <v>29</v>
      </c>
      <c r="O63" s="284">
        <v>0</v>
      </c>
      <c r="P63" s="284">
        <v>3</v>
      </c>
      <c r="Q63" s="286">
        <v>1</v>
      </c>
      <c r="R63" s="274">
        <v>93</v>
      </c>
      <c r="S63" s="274">
        <v>5</v>
      </c>
      <c r="T63" s="287">
        <f t="shared" si="0"/>
        <v>2015</v>
      </c>
      <c r="U63" s="274">
        <f>VLOOKUP(A63,'[1]SB35 Determination Data'!$B$4:$F$542,5,FALSE)</f>
        <v>2015</v>
      </c>
    </row>
    <row r="64" spans="1:21" s="274" customFormat="1" ht="12.75" x14ac:dyDescent="0.2">
      <c r="A64" s="282" t="s">
        <v>212</v>
      </c>
      <c r="B64" s="282" t="s">
        <v>595</v>
      </c>
      <c r="C64" s="282" t="s">
        <v>654</v>
      </c>
      <c r="D64" s="283">
        <v>2015</v>
      </c>
      <c r="E64" s="282" t="s">
        <v>650</v>
      </c>
      <c r="F64" s="284">
        <v>35</v>
      </c>
      <c r="G64" s="285">
        <v>12</v>
      </c>
      <c r="H64" s="288">
        <v>12</v>
      </c>
      <c r="I64" s="285">
        <v>0</v>
      </c>
      <c r="J64" s="285">
        <v>26</v>
      </c>
      <c r="K64" s="284">
        <v>0</v>
      </c>
      <c r="L64" s="284">
        <v>0</v>
      </c>
      <c r="M64" s="284">
        <v>0</v>
      </c>
      <c r="N64" s="284">
        <v>29</v>
      </c>
      <c r="O64" s="284">
        <v>0</v>
      </c>
      <c r="P64" s="284">
        <v>3</v>
      </c>
      <c r="Q64" s="286">
        <v>0</v>
      </c>
      <c r="R64" s="274">
        <v>93</v>
      </c>
      <c r="S64" s="274">
        <v>12</v>
      </c>
      <c r="T64" s="287">
        <f t="shared" si="0"/>
        <v>2015</v>
      </c>
      <c r="U64" s="274">
        <f>VLOOKUP(A64,'[1]SB35 Determination Data'!$B$4:$F$542,5,FALSE)</f>
        <v>2015</v>
      </c>
    </row>
    <row r="65" spans="1:21" s="274" customFormat="1" ht="12.75" x14ac:dyDescent="0.2">
      <c r="A65" s="282" t="s">
        <v>212</v>
      </c>
      <c r="B65" s="282" t="s">
        <v>595</v>
      </c>
      <c r="C65" s="282" t="s">
        <v>654</v>
      </c>
      <c r="D65" s="283">
        <v>2016</v>
      </c>
      <c r="E65" s="282" t="s">
        <v>650</v>
      </c>
      <c r="F65" s="284">
        <v>35</v>
      </c>
      <c r="G65" s="285">
        <v>5</v>
      </c>
      <c r="H65" s="288">
        <v>0</v>
      </c>
      <c r="I65" s="285">
        <v>5</v>
      </c>
      <c r="J65" s="285">
        <v>26</v>
      </c>
      <c r="K65" s="284">
        <v>3</v>
      </c>
      <c r="L65" s="284">
        <v>0</v>
      </c>
      <c r="M65" s="284">
        <v>3</v>
      </c>
      <c r="N65" s="289">
        <v>29</v>
      </c>
      <c r="O65" s="284">
        <v>2</v>
      </c>
      <c r="P65" s="284">
        <v>3</v>
      </c>
      <c r="Q65" s="286">
        <v>5</v>
      </c>
      <c r="R65" s="274">
        <v>93</v>
      </c>
      <c r="S65" s="274">
        <v>15</v>
      </c>
      <c r="T65" s="287">
        <f t="shared" si="0"/>
        <v>2016</v>
      </c>
      <c r="U65" s="274">
        <f>VLOOKUP(A65,'[1]SB35 Determination Data'!$B$4:$F$542,5,FALSE)</f>
        <v>2015</v>
      </c>
    </row>
    <row r="66" spans="1:21" s="274" customFormat="1" ht="12.75" x14ac:dyDescent="0.2">
      <c r="A66" s="282" t="s">
        <v>212</v>
      </c>
      <c r="B66" s="282" t="s">
        <v>595</v>
      </c>
      <c r="C66" s="282" t="s">
        <v>654</v>
      </c>
      <c r="D66" s="283">
        <v>2017</v>
      </c>
      <c r="E66" s="282" t="s">
        <v>650</v>
      </c>
      <c r="F66" s="284">
        <v>35</v>
      </c>
      <c r="G66" s="285">
        <v>6</v>
      </c>
      <c r="H66" s="288">
        <v>0</v>
      </c>
      <c r="I66" s="285">
        <v>6</v>
      </c>
      <c r="J66" s="285">
        <v>26</v>
      </c>
      <c r="K66" s="284">
        <v>5</v>
      </c>
      <c r="L66" s="284">
        <v>0</v>
      </c>
      <c r="M66" s="284">
        <v>5</v>
      </c>
      <c r="N66" s="284">
        <v>29</v>
      </c>
      <c r="O66" s="284">
        <v>0</v>
      </c>
      <c r="P66" s="284">
        <v>3</v>
      </c>
      <c r="Q66" s="286">
        <v>25</v>
      </c>
      <c r="R66" s="274">
        <v>93</v>
      </c>
      <c r="S66" s="274">
        <v>36</v>
      </c>
      <c r="T66" s="287">
        <f t="shared" si="0"/>
        <v>2017</v>
      </c>
      <c r="U66" s="274">
        <f>VLOOKUP(A66,'[1]SB35 Determination Data'!$B$4:$F$542,5,FALSE)</f>
        <v>2015</v>
      </c>
    </row>
    <row r="67" spans="1:21" s="274" customFormat="1" ht="12.75" x14ac:dyDescent="0.2">
      <c r="A67" s="282" t="s">
        <v>213</v>
      </c>
      <c r="B67" s="282" t="s">
        <v>353</v>
      </c>
      <c r="C67" s="282" t="s">
        <v>682</v>
      </c>
      <c r="D67" s="283">
        <v>2016</v>
      </c>
      <c r="E67" s="282" t="s">
        <v>650</v>
      </c>
      <c r="F67" s="284">
        <v>429</v>
      </c>
      <c r="G67" s="285">
        <v>0</v>
      </c>
      <c r="H67" s="288">
        <v>0</v>
      </c>
      <c r="I67" s="285">
        <v>0</v>
      </c>
      <c r="J67" s="285">
        <v>307</v>
      </c>
      <c r="K67" s="284">
        <v>0</v>
      </c>
      <c r="L67" s="284">
        <v>0</v>
      </c>
      <c r="M67" s="284">
        <v>0</v>
      </c>
      <c r="N67" s="284">
        <v>281</v>
      </c>
      <c r="O67" s="284">
        <v>0</v>
      </c>
      <c r="P67" s="284">
        <v>748</v>
      </c>
      <c r="Q67" s="286">
        <v>235</v>
      </c>
      <c r="R67" s="274">
        <v>1765</v>
      </c>
      <c r="S67" s="274">
        <v>235</v>
      </c>
      <c r="T67" s="287">
        <f t="shared" si="0"/>
        <v>2016</v>
      </c>
      <c r="U67" s="274">
        <f>VLOOKUP(A67,'[1]SB35 Determination Data'!$B$4:$F$542,5,FALSE)</f>
        <v>2016</v>
      </c>
    </row>
    <row r="68" spans="1:21" s="274" customFormat="1" ht="12.75" x14ac:dyDescent="0.2">
      <c r="A68" s="282" t="s">
        <v>213</v>
      </c>
      <c r="B68" s="282" t="s">
        <v>353</v>
      </c>
      <c r="C68" s="282" t="s">
        <v>682</v>
      </c>
      <c r="D68" s="283">
        <v>2017</v>
      </c>
      <c r="E68" s="282" t="s">
        <v>650</v>
      </c>
      <c r="F68" s="284">
        <v>429</v>
      </c>
      <c r="G68" s="285">
        <v>0</v>
      </c>
      <c r="H68" s="288">
        <v>0</v>
      </c>
      <c r="I68" s="285">
        <v>0</v>
      </c>
      <c r="J68" s="285">
        <v>307</v>
      </c>
      <c r="K68" s="284">
        <v>0</v>
      </c>
      <c r="L68" s="284">
        <v>0</v>
      </c>
      <c r="M68" s="284">
        <v>0</v>
      </c>
      <c r="N68" s="284">
        <v>281</v>
      </c>
      <c r="O68" s="284">
        <v>0</v>
      </c>
      <c r="P68" s="284">
        <v>748</v>
      </c>
      <c r="Q68" s="286">
        <v>133</v>
      </c>
      <c r="R68" s="274">
        <v>1765</v>
      </c>
      <c r="S68" s="274">
        <v>133</v>
      </c>
      <c r="T68" s="287">
        <f t="shared" ref="T68:T131" si="1">IF(D68&gt;U68,D68,U68)</f>
        <v>2017</v>
      </c>
      <c r="U68" s="274">
        <f>VLOOKUP(A68,'[1]SB35 Determination Data'!$B$4:$F$542,5,FALSE)</f>
        <v>2016</v>
      </c>
    </row>
    <row r="69" spans="1:21" s="274" customFormat="1" ht="12.75" x14ac:dyDescent="0.2">
      <c r="A69" s="282" t="s">
        <v>214</v>
      </c>
      <c r="B69" s="282" t="s">
        <v>451</v>
      </c>
      <c r="C69" s="282" t="s">
        <v>685</v>
      </c>
      <c r="D69" s="283">
        <v>2013</v>
      </c>
      <c r="E69" s="282" t="s">
        <v>650</v>
      </c>
      <c r="F69" s="284">
        <v>74</v>
      </c>
      <c r="G69" s="285">
        <v>0</v>
      </c>
      <c r="H69" s="288">
        <v>0</v>
      </c>
      <c r="I69" s="285">
        <v>0</v>
      </c>
      <c r="J69" s="285">
        <v>52</v>
      </c>
      <c r="K69" s="284">
        <v>0</v>
      </c>
      <c r="L69" s="284">
        <v>0</v>
      </c>
      <c r="M69" s="284">
        <v>0</v>
      </c>
      <c r="N69" s="284">
        <v>57</v>
      </c>
      <c r="O69" s="284">
        <v>2</v>
      </c>
      <c r="P69" s="284">
        <v>125</v>
      </c>
      <c r="Q69" s="286">
        <v>10</v>
      </c>
      <c r="R69" s="274">
        <v>308</v>
      </c>
      <c r="S69" s="274">
        <v>12</v>
      </c>
      <c r="T69" s="287">
        <f t="shared" si="1"/>
        <v>2014</v>
      </c>
      <c r="U69" s="274">
        <f>VLOOKUP(A69,'[1]SB35 Determination Data'!$B$4:$F$542,5,FALSE)</f>
        <v>2014</v>
      </c>
    </row>
    <row r="70" spans="1:21" s="274" customFormat="1" ht="12.75" x14ac:dyDescent="0.2">
      <c r="A70" s="282" t="s">
        <v>214</v>
      </c>
      <c r="B70" s="282" t="s">
        <v>451</v>
      </c>
      <c r="C70" s="282" t="s">
        <v>685</v>
      </c>
      <c r="D70" s="283">
        <v>2014</v>
      </c>
      <c r="E70" s="282" t="s">
        <v>650</v>
      </c>
      <c r="F70" s="284">
        <v>74</v>
      </c>
      <c r="G70" s="285">
        <v>0</v>
      </c>
      <c r="H70" s="288">
        <v>0</v>
      </c>
      <c r="I70" s="285">
        <v>0</v>
      </c>
      <c r="J70" s="285">
        <v>52</v>
      </c>
      <c r="K70" s="284">
        <v>0</v>
      </c>
      <c r="L70" s="284">
        <v>0</v>
      </c>
      <c r="M70" s="284">
        <v>0</v>
      </c>
      <c r="N70" s="284">
        <v>57</v>
      </c>
      <c r="O70" s="284">
        <v>0</v>
      </c>
      <c r="P70" s="284">
        <v>125</v>
      </c>
      <c r="Q70" s="286">
        <v>13</v>
      </c>
      <c r="R70" s="274">
        <v>308</v>
      </c>
      <c r="S70" s="274">
        <v>13</v>
      </c>
      <c r="T70" s="287">
        <f t="shared" si="1"/>
        <v>2014</v>
      </c>
      <c r="U70" s="274">
        <f>VLOOKUP(A70,'[1]SB35 Determination Data'!$B$4:$F$542,5,FALSE)</f>
        <v>2014</v>
      </c>
    </row>
    <row r="71" spans="1:21" s="274" customFormat="1" ht="12.75" x14ac:dyDescent="0.2">
      <c r="A71" s="282" t="s">
        <v>214</v>
      </c>
      <c r="B71" s="282" t="s">
        <v>451</v>
      </c>
      <c r="C71" s="282" t="s">
        <v>685</v>
      </c>
      <c r="D71" s="283">
        <v>2015</v>
      </c>
      <c r="E71" s="282" t="s">
        <v>650</v>
      </c>
      <c r="F71" s="284">
        <v>74</v>
      </c>
      <c r="G71" s="285">
        <v>0</v>
      </c>
      <c r="H71" s="288">
        <v>0</v>
      </c>
      <c r="I71" s="285">
        <v>0</v>
      </c>
      <c r="J71" s="285">
        <v>52</v>
      </c>
      <c r="K71" s="284">
        <v>0</v>
      </c>
      <c r="L71" s="284">
        <v>0</v>
      </c>
      <c r="M71" s="284">
        <v>0</v>
      </c>
      <c r="N71" s="284">
        <v>57</v>
      </c>
      <c r="O71" s="284">
        <v>0</v>
      </c>
      <c r="P71" s="284">
        <v>125</v>
      </c>
      <c r="Q71" s="286">
        <v>10</v>
      </c>
      <c r="R71" s="274">
        <v>308</v>
      </c>
      <c r="S71" s="274">
        <v>10</v>
      </c>
      <c r="T71" s="287">
        <f t="shared" si="1"/>
        <v>2015</v>
      </c>
      <c r="U71" s="274">
        <f>VLOOKUP(A71,'[1]SB35 Determination Data'!$B$4:$F$542,5,FALSE)</f>
        <v>2014</v>
      </c>
    </row>
    <row r="72" spans="1:21" s="274" customFormat="1" ht="12.75" x14ac:dyDescent="0.2">
      <c r="A72" s="282" t="s">
        <v>214</v>
      </c>
      <c r="B72" s="282" t="s">
        <v>451</v>
      </c>
      <c r="C72" s="282" t="s">
        <v>685</v>
      </c>
      <c r="D72" s="283">
        <v>2016</v>
      </c>
      <c r="E72" s="282" t="s">
        <v>650</v>
      </c>
      <c r="F72" s="284">
        <v>74</v>
      </c>
      <c r="G72" s="285">
        <v>0</v>
      </c>
      <c r="H72" s="288">
        <v>0</v>
      </c>
      <c r="I72" s="285">
        <v>0</v>
      </c>
      <c r="J72" s="285">
        <v>52</v>
      </c>
      <c r="K72" s="284">
        <v>0</v>
      </c>
      <c r="L72" s="284">
        <v>0</v>
      </c>
      <c r="M72" s="284">
        <v>0</v>
      </c>
      <c r="N72" s="284">
        <v>57</v>
      </c>
      <c r="O72" s="284">
        <v>9</v>
      </c>
      <c r="P72" s="284">
        <v>125</v>
      </c>
      <c r="Q72" s="286">
        <v>13</v>
      </c>
      <c r="R72" s="274">
        <v>308</v>
      </c>
      <c r="S72" s="274">
        <v>22</v>
      </c>
      <c r="T72" s="287">
        <f t="shared" si="1"/>
        <v>2016</v>
      </c>
      <c r="U72" s="274">
        <f>VLOOKUP(A72,'[1]SB35 Determination Data'!$B$4:$F$542,5,FALSE)</f>
        <v>2014</v>
      </c>
    </row>
    <row r="73" spans="1:21" s="274" customFormat="1" ht="12.75" x14ac:dyDescent="0.2">
      <c r="A73" s="282" t="s">
        <v>214</v>
      </c>
      <c r="B73" s="282" t="s">
        <v>451</v>
      </c>
      <c r="C73" s="282" t="s">
        <v>685</v>
      </c>
      <c r="D73" s="283">
        <v>2017</v>
      </c>
      <c r="E73" s="282" t="s">
        <v>650</v>
      </c>
      <c r="F73" s="284">
        <v>74</v>
      </c>
      <c r="G73" s="285">
        <v>0</v>
      </c>
      <c r="H73" s="288">
        <v>0</v>
      </c>
      <c r="I73" s="285">
        <v>0</v>
      </c>
      <c r="J73" s="285">
        <v>52</v>
      </c>
      <c r="K73" s="284">
        <v>0</v>
      </c>
      <c r="L73" s="284">
        <v>0</v>
      </c>
      <c r="M73" s="284">
        <v>0</v>
      </c>
      <c r="N73" s="289">
        <v>57</v>
      </c>
      <c r="O73" s="284">
        <v>22</v>
      </c>
      <c r="P73" s="284">
        <v>125</v>
      </c>
      <c r="Q73" s="286">
        <v>17</v>
      </c>
      <c r="R73" s="274">
        <v>308</v>
      </c>
      <c r="S73" s="274">
        <v>39</v>
      </c>
      <c r="T73" s="287">
        <f t="shared" si="1"/>
        <v>2017</v>
      </c>
      <c r="U73" s="274">
        <f>VLOOKUP(A73,'[1]SB35 Determination Data'!$B$4:$F$542,5,FALSE)</f>
        <v>2014</v>
      </c>
    </row>
    <row r="74" spans="1:21" s="274" customFormat="1" ht="12.75" x14ac:dyDescent="0.2">
      <c r="A74" s="282" t="s">
        <v>215</v>
      </c>
      <c r="B74" s="282" t="s">
        <v>262</v>
      </c>
      <c r="C74" s="282" t="s">
        <v>649</v>
      </c>
      <c r="D74" s="283">
        <v>2014</v>
      </c>
      <c r="E74" s="282" t="s">
        <v>650</v>
      </c>
      <c r="F74" s="284">
        <v>20</v>
      </c>
      <c r="G74" s="285">
        <v>0</v>
      </c>
      <c r="H74" s="288">
        <v>0</v>
      </c>
      <c r="I74" s="285">
        <v>0</v>
      </c>
      <c r="J74" s="285">
        <v>12</v>
      </c>
      <c r="K74" s="284">
        <v>0</v>
      </c>
      <c r="L74" s="284">
        <v>0</v>
      </c>
      <c r="M74" s="284">
        <v>0</v>
      </c>
      <c r="N74" s="284">
        <v>14</v>
      </c>
      <c r="O74" s="284">
        <v>0</v>
      </c>
      <c r="P74" s="284">
        <v>34</v>
      </c>
      <c r="Q74" s="286">
        <v>2</v>
      </c>
      <c r="R74" s="274">
        <v>80</v>
      </c>
      <c r="S74" s="274">
        <v>2</v>
      </c>
      <c r="T74" s="287">
        <f t="shared" si="1"/>
        <v>2014</v>
      </c>
      <c r="U74" s="274">
        <f>VLOOKUP(A74,'[1]SB35 Determination Data'!$B$4:$F$542,5,FALSE)</f>
        <v>2014</v>
      </c>
    </row>
    <row r="75" spans="1:21" s="274" customFormat="1" ht="12.75" x14ac:dyDescent="0.2">
      <c r="A75" s="282" t="s">
        <v>215</v>
      </c>
      <c r="B75" s="282" t="s">
        <v>262</v>
      </c>
      <c r="C75" s="282" t="s">
        <v>649</v>
      </c>
      <c r="D75" s="283">
        <v>2015</v>
      </c>
      <c r="E75" s="282" t="s">
        <v>650</v>
      </c>
      <c r="F75" s="284">
        <v>20</v>
      </c>
      <c r="G75" s="285">
        <v>0</v>
      </c>
      <c r="H75" s="288">
        <v>0</v>
      </c>
      <c r="I75" s="285">
        <v>0</v>
      </c>
      <c r="J75" s="285">
        <v>12</v>
      </c>
      <c r="K75" s="284">
        <v>0</v>
      </c>
      <c r="L75" s="284">
        <v>0</v>
      </c>
      <c r="M75" s="284">
        <v>0</v>
      </c>
      <c r="N75" s="284">
        <v>14</v>
      </c>
      <c r="O75" s="284">
        <v>0</v>
      </c>
      <c r="P75" s="284">
        <v>34</v>
      </c>
      <c r="Q75" s="286">
        <v>1</v>
      </c>
      <c r="R75" s="274">
        <v>80</v>
      </c>
      <c r="S75" s="274">
        <v>1</v>
      </c>
      <c r="T75" s="287">
        <f t="shared" si="1"/>
        <v>2015</v>
      </c>
      <c r="U75" s="274">
        <f>VLOOKUP(A75,'[1]SB35 Determination Data'!$B$4:$F$542,5,FALSE)</f>
        <v>2014</v>
      </c>
    </row>
    <row r="76" spans="1:21" s="274" customFormat="1" ht="12.75" x14ac:dyDescent="0.2">
      <c r="A76" s="282" t="s">
        <v>215</v>
      </c>
      <c r="B76" s="282" t="s">
        <v>262</v>
      </c>
      <c r="C76" s="282" t="s">
        <v>649</v>
      </c>
      <c r="D76" s="283">
        <v>2016</v>
      </c>
      <c r="E76" s="282" t="s">
        <v>650</v>
      </c>
      <c r="F76" s="284">
        <v>20</v>
      </c>
      <c r="G76" s="285">
        <v>0</v>
      </c>
      <c r="H76" s="288">
        <v>0</v>
      </c>
      <c r="I76" s="285">
        <v>0</v>
      </c>
      <c r="J76" s="285">
        <v>12</v>
      </c>
      <c r="K76" s="284">
        <v>0</v>
      </c>
      <c r="L76" s="284">
        <v>0</v>
      </c>
      <c r="M76" s="284">
        <v>0</v>
      </c>
      <c r="N76" s="284">
        <v>14</v>
      </c>
      <c r="O76" s="284">
        <v>0</v>
      </c>
      <c r="P76" s="284">
        <v>34</v>
      </c>
      <c r="Q76" s="286">
        <v>0</v>
      </c>
      <c r="R76" s="274">
        <v>80</v>
      </c>
      <c r="S76" s="274">
        <v>0</v>
      </c>
      <c r="T76" s="287">
        <f t="shared" si="1"/>
        <v>2016</v>
      </c>
      <c r="U76" s="274">
        <f>VLOOKUP(A76,'[1]SB35 Determination Data'!$B$4:$F$542,5,FALSE)</f>
        <v>2014</v>
      </c>
    </row>
    <row r="77" spans="1:21" s="274" customFormat="1" ht="12.75" x14ac:dyDescent="0.2">
      <c r="A77" s="282" t="s">
        <v>215</v>
      </c>
      <c r="B77" s="282" t="s">
        <v>262</v>
      </c>
      <c r="C77" s="282" t="s">
        <v>649</v>
      </c>
      <c r="D77" s="283">
        <v>2017</v>
      </c>
      <c r="E77" s="282" t="s">
        <v>650</v>
      </c>
      <c r="F77" s="284">
        <v>20</v>
      </c>
      <c r="G77" s="285">
        <v>0</v>
      </c>
      <c r="H77" s="288">
        <v>0</v>
      </c>
      <c r="I77" s="285">
        <v>0</v>
      </c>
      <c r="J77" s="285">
        <v>12</v>
      </c>
      <c r="K77" s="284">
        <v>0</v>
      </c>
      <c r="L77" s="284">
        <v>0</v>
      </c>
      <c r="M77" s="284">
        <v>0</v>
      </c>
      <c r="N77" s="284">
        <v>14</v>
      </c>
      <c r="O77" s="284">
        <v>0</v>
      </c>
      <c r="P77" s="284">
        <v>34</v>
      </c>
      <c r="Q77" s="286">
        <v>1</v>
      </c>
      <c r="R77" s="274">
        <v>80</v>
      </c>
      <c r="S77" s="274">
        <v>1</v>
      </c>
      <c r="T77" s="287">
        <f t="shared" si="1"/>
        <v>2017</v>
      </c>
      <c r="U77" s="274">
        <f>VLOOKUP(A77,'[1]SB35 Determination Data'!$B$4:$F$542,5,FALSE)</f>
        <v>2014</v>
      </c>
    </row>
    <row r="78" spans="1:21" s="274" customFormat="1" ht="12.75" x14ac:dyDescent="0.2">
      <c r="A78" s="282" t="s">
        <v>216</v>
      </c>
      <c r="B78" s="282" t="s">
        <v>229</v>
      </c>
      <c r="C78" s="282" t="s">
        <v>693</v>
      </c>
      <c r="D78" s="283">
        <v>2017</v>
      </c>
      <c r="E78" s="282" t="s">
        <v>650</v>
      </c>
      <c r="F78" s="284">
        <v>145</v>
      </c>
      <c r="G78" s="285">
        <v>0</v>
      </c>
      <c r="H78" s="288">
        <v>0</v>
      </c>
      <c r="I78" s="285">
        <v>0</v>
      </c>
      <c r="J78" s="285">
        <v>108</v>
      </c>
      <c r="K78" s="284">
        <v>2</v>
      </c>
      <c r="L78" s="284">
        <v>2</v>
      </c>
      <c r="M78" s="284">
        <v>0</v>
      </c>
      <c r="N78" s="289">
        <v>115</v>
      </c>
      <c r="O78" s="284">
        <v>6</v>
      </c>
      <c r="P78" s="284">
        <v>271</v>
      </c>
      <c r="Q78" s="286">
        <v>0</v>
      </c>
      <c r="R78" s="274">
        <v>639</v>
      </c>
      <c r="S78" s="274">
        <v>8</v>
      </c>
      <c r="T78" s="287">
        <f t="shared" si="1"/>
        <v>2017</v>
      </c>
      <c r="U78" s="274">
        <f>VLOOKUP(A78,'[1]SB35 Determination Data'!$B$4:$F$542,5,FALSE)</f>
        <v>2016</v>
      </c>
    </row>
    <row r="79" spans="1:21" s="274" customFormat="1" ht="12.75" x14ac:dyDescent="0.2">
      <c r="A79" s="282" t="s">
        <v>218</v>
      </c>
      <c r="B79" s="282" t="s">
        <v>262</v>
      </c>
      <c r="C79" s="282" t="s">
        <v>649</v>
      </c>
      <c r="D79" s="283">
        <v>2014</v>
      </c>
      <c r="E79" s="282" t="s">
        <v>650</v>
      </c>
      <c r="F79" s="284">
        <v>198</v>
      </c>
      <c r="G79" s="285">
        <v>0</v>
      </c>
      <c r="H79" s="288">
        <v>0</v>
      </c>
      <c r="I79" s="285">
        <v>0</v>
      </c>
      <c r="J79" s="285">
        <v>118</v>
      </c>
      <c r="K79" s="284">
        <v>0</v>
      </c>
      <c r="L79" s="284">
        <v>0</v>
      </c>
      <c r="M79" s="284">
        <v>0</v>
      </c>
      <c r="N79" s="284">
        <v>127</v>
      </c>
      <c r="O79" s="284">
        <v>298</v>
      </c>
      <c r="P79" s="284">
        <v>336</v>
      </c>
      <c r="Q79" s="286">
        <v>0</v>
      </c>
      <c r="R79" s="274">
        <v>779</v>
      </c>
      <c r="S79" s="274">
        <v>298</v>
      </c>
      <c r="T79" s="287">
        <f t="shared" si="1"/>
        <v>2014</v>
      </c>
      <c r="U79" s="274">
        <f>VLOOKUP(A79,'[1]SB35 Determination Data'!$B$4:$F$542,5,FALSE)</f>
        <v>2014</v>
      </c>
    </row>
    <row r="80" spans="1:21" s="274" customFormat="1" ht="12.75" x14ac:dyDescent="0.2">
      <c r="A80" s="282" t="s">
        <v>218</v>
      </c>
      <c r="B80" s="282" t="s">
        <v>262</v>
      </c>
      <c r="C80" s="282" t="s">
        <v>649</v>
      </c>
      <c r="D80" s="283">
        <v>2015</v>
      </c>
      <c r="E80" s="282" t="s">
        <v>650</v>
      </c>
      <c r="F80" s="284">
        <v>198</v>
      </c>
      <c r="G80" s="285">
        <v>0</v>
      </c>
      <c r="H80" s="288">
        <v>0</v>
      </c>
      <c r="I80" s="285">
        <v>0</v>
      </c>
      <c r="J80" s="285">
        <v>118</v>
      </c>
      <c r="K80" s="284">
        <v>0</v>
      </c>
      <c r="L80" s="284">
        <v>0</v>
      </c>
      <c r="M80" s="284">
        <v>0</v>
      </c>
      <c r="N80" s="284">
        <v>127</v>
      </c>
      <c r="O80" s="284">
        <v>112</v>
      </c>
      <c r="P80" s="284">
        <v>336</v>
      </c>
      <c r="Q80" s="286">
        <v>0</v>
      </c>
      <c r="R80" s="274">
        <v>779</v>
      </c>
      <c r="S80" s="274">
        <v>112</v>
      </c>
      <c r="T80" s="287">
        <f t="shared" si="1"/>
        <v>2015</v>
      </c>
      <c r="U80" s="274">
        <f>VLOOKUP(A80,'[1]SB35 Determination Data'!$B$4:$F$542,5,FALSE)</f>
        <v>2014</v>
      </c>
    </row>
    <row r="81" spans="1:21" s="274" customFormat="1" ht="12.75" x14ac:dyDescent="0.2">
      <c r="A81" s="282" t="s">
        <v>218</v>
      </c>
      <c r="B81" s="282" t="s">
        <v>262</v>
      </c>
      <c r="C81" s="282" t="s">
        <v>649</v>
      </c>
      <c r="D81" s="283">
        <v>2016</v>
      </c>
      <c r="E81" s="282" t="s">
        <v>650</v>
      </c>
      <c r="F81" s="284">
        <v>198</v>
      </c>
      <c r="G81" s="285">
        <v>0</v>
      </c>
      <c r="H81" s="288">
        <v>0</v>
      </c>
      <c r="I81" s="285">
        <v>0</v>
      </c>
      <c r="J81" s="285">
        <v>118</v>
      </c>
      <c r="K81" s="284">
        <v>0</v>
      </c>
      <c r="L81" s="284">
        <v>0</v>
      </c>
      <c r="M81" s="284">
        <v>0</v>
      </c>
      <c r="N81" s="284">
        <v>127</v>
      </c>
      <c r="O81" s="284">
        <v>110</v>
      </c>
      <c r="P81" s="284">
        <v>336</v>
      </c>
      <c r="Q81" s="286">
        <v>0</v>
      </c>
      <c r="R81" s="274">
        <v>779</v>
      </c>
      <c r="S81" s="274">
        <v>110</v>
      </c>
      <c r="T81" s="287">
        <f t="shared" si="1"/>
        <v>2016</v>
      </c>
      <c r="U81" s="274">
        <f>VLOOKUP(A81,'[1]SB35 Determination Data'!$B$4:$F$542,5,FALSE)</f>
        <v>2014</v>
      </c>
    </row>
    <row r="82" spans="1:21" s="274" customFormat="1" ht="12.75" x14ac:dyDescent="0.2">
      <c r="A82" s="282" t="s">
        <v>218</v>
      </c>
      <c r="B82" s="282" t="s">
        <v>262</v>
      </c>
      <c r="C82" s="282" t="s">
        <v>649</v>
      </c>
      <c r="D82" s="283">
        <v>2017</v>
      </c>
      <c r="E82" s="282" t="s">
        <v>650</v>
      </c>
      <c r="F82" s="284">
        <v>198</v>
      </c>
      <c r="G82" s="285">
        <v>0</v>
      </c>
      <c r="H82" s="288">
        <v>0</v>
      </c>
      <c r="I82" s="285">
        <v>0</v>
      </c>
      <c r="J82" s="285">
        <v>118</v>
      </c>
      <c r="K82" s="284">
        <v>0</v>
      </c>
      <c r="L82" s="284">
        <v>0</v>
      </c>
      <c r="M82" s="284">
        <v>0</v>
      </c>
      <c r="N82" s="284">
        <v>127</v>
      </c>
      <c r="O82" s="284">
        <v>158</v>
      </c>
      <c r="P82" s="284">
        <v>336</v>
      </c>
      <c r="Q82" s="286">
        <v>0</v>
      </c>
      <c r="R82" s="274">
        <v>779</v>
      </c>
      <c r="S82" s="274">
        <v>158</v>
      </c>
      <c r="T82" s="287">
        <f t="shared" si="1"/>
        <v>2017</v>
      </c>
      <c r="U82" s="274">
        <f>VLOOKUP(A82,'[1]SB35 Determination Data'!$B$4:$F$542,5,FALSE)</f>
        <v>2014</v>
      </c>
    </row>
    <row r="83" spans="1:21" s="274" customFormat="1" ht="12.75" x14ac:dyDescent="0.2">
      <c r="A83" s="282" t="s">
        <v>221</v>
      </c>
      <c r="B83" s="282" t="s">
        <v>220</v>
      </c>
      <c r="C83" s="282" t="s">
        <v>531</v>
      </c>
      <c r="D83" s="283">
        <v>2017</v>
      </c>
      <c r="E83" s="282" t="s">
        <v>650</v>
      </c>
      <c r="F83" s="284">
        <v>9706</v>
      </c>
      <c r="G83" s="285">
        <v>182</v>
      </c>
      <c r="H83" s="288">
        <v>182</v>
      </c>
      <c r="I83" s="285">
        <v>0</v>
      </c>
      <c r="J83" s="285">
        <v>5800</v>
      </c>
      <c r="K83" s="284">
        <v>76</v>
      </c>
      <c r="L83" s="284">
        <v>76</v>
      </c>
      <c r="M83" s="284">
        <v>0</v>
      </c>
      <c r="N83" s="289">
        <v>6453</v>
      </c>
      <c r="O83" s="284">
        <v>4388</v>
      </c>
      <c r="P83" s="284">
        <v>14331</v>
      </c>
      <c r="Q83" s="286">
        <v>3117</v>
      </c>
      <c r="R83" s="274">
        <v>36290</v>
      </c>
      <c r="S83" s="274">
        <v>7763</v>
      </c>
      <c r="T83" s="287">
        <f t="shared" si="1"/>
        <v>2017</v>
      </c>
      <c r="U83" s="274">
        <f>VLOOKUP(A83,'[1]SB35 Determination Data'!$B$4:$F$542,5,FALSE)</f>
        <v>2016</v>
      </c>
    </row>
    <row r="84" spans="1:21" s="274" customFormat="1" ht="12.75" x14ac:dyDescent="0.2">
      <c r="A84" s="282" t="s">
        <v>222</v>
      </c>
      <c r="B84" s="282" t="s">
        <v>262</v>
      </c>
      <c r="C84" s="282" t="s">
        <v>649</v>
      </c>
      <c r="D84" s="283">
        <v>2014</v>
      </c>
      <c r="E84" s="282" t="s">
        <v>650</v>
      </c>
      <c r="F84" s="284">
        <v>142</v>
      </c>
      <c r="G84" s="285">
        <v>47</v>
      </c>
      <c r="H84" s="288">
        <v>47</v>
      </c>
      <c r="I84" s="285">
        <v>0</v>
      </c>
      <c r="J84" s="285">
        <v>83</v>
      </c>
      <c r="K84" s="284">
        <v>16</v>
      </c>
      <c r="L84" s="284">
        <v>16</v>
      </c>
      <c r="M84" s="284">
        <v>0</v>
      </c>
      <c r="N84" s="284">
        <v>90</v>
      </c>
      <c r="O84" s="284">
        <v>0</v>
      </c>
      <c r="P84" s="284">
        <v>242</v>
      </c>
      <c r="Q84" s="286">
        <v>19</v>
      </c>
      <c r="R84" s="274">
        <v>557</v>
      </c>
      <c r="S84" s="274">
        <v>82</v>
      </c>
      <c r="T84" s="287">
        <f t="shared" si="1"/>
        <v>2014</v>
      </c>
      <c r="U84" s="274">
        <f>VLOOKUP(A84,'[1]SB35 Determination Data'!$B$4:$F$542,5,FALSE)</f>
        <v>2014</v>
      </c>
    </row>
    <row r="85" spans="1:21" s="274" customFormat="1" ht="12.75" x14ac:dyDescent="0.2">
      <c r="A85" s="282" t="s">
        <v>222</v>
      </c>
      <c r="B85" s="282" t="s">
        <v>262</v>
      </c>
      <c r="C85" s="282" t="s">
        <v>649</v>
      </c>
      <c r="D85" s="283">
        <v>2015</v>
      </c>
      <c r="E85" s="282" t="s">
        <v>650</v>
      </c>
      <c r="F85" s="284">
        <v>142</v>
      </c>
      <c r="G85" s="285">
        <v>0</v>
      </c>
      <c r="H85" s="288">
        <v>0</v>
      </c>
      <c r="I85" s="285">
        <v>0</v>
      </c>
      <c r="J85" s="285">
        <v>83</v>
      </c>
      <c r="K85" s="284">
        <v>1</v>
      </c>
      <c r="L85" s="284">
        <v>1</v>
      </c>
      <c r="M85" s="284">
        <v>0</v>
      </c>
      <c r="N85" s="284">
        <v>90</v>
      </c>
      <c r="O85" s="284">
        <v>0</v>
      </c>
      <c r="P85" s="284">
        <v>242</v>
      </c>
      <c r="Q85" s="286">
        <v>21</v>
      </c>
      <c r="R85" s="274">
        <v>557</v>
      </c>
      <c r="S85" s="274">
        <v>22</v>
      </c>
      <c r="T85" s="287">
        <f t="shared" si="1"/>
        <v>2015</v>
      </c>
      <c r="U85" s="274">
        <f>VLOOKUP(A85,'[1]SB35 Determination Data'!$B$4:$F$542,5,FALSE)</f>
        <v>2014</v>
      </c>
    </row>
    <row r="86" spans="1:21" s="274" customFormat="1" ht="12.75" x14ac:dyDescent="0.2">
      <c r="A86" s="282" t="s">
        <v>222</v>
      </c>
      <c r="B86" s="282" t="s">
        <v>262</v>
      </c>
      <c r="C86" s="282" t="s">
        <v>649</v>
      </c>
      <c r="D86" s="283">
        <v>2016</v>
      </c>
      <c r="E86" s="282" t="s">
        <v>650</v>
      </c>
      <c r="F86" s="284">
        <v>142</v>
      </c>
      <c r="G86" s="285">
        <v>0</v>
      </c>
      <c r="H86" s="288">
        <v>0</v>
      </c>
      <c r="I86" s="285">
        <v>0</v>
      </c>
      <c r="J86" s="285">
        <v>83</v>
      </c>
      <c r="K86" s="284">
        <v>0</v>
      </c>
      <c r="L86" s="284">
        <v>0</v>
      </c>
      <c r="M86" s="284">
        <v>0</v>
      </c>
      <c r="N86" s="289">
        <v>90</v>
      </c>
      <c r="O86" s="284">
        <v>0</v>
      </c>
      <c r="P86" s="284">
        <v>242</v>
      </c>
      <c r="Q86" s="286">
        <v>31</v>
      </c>
      <c r="R86" s="274">
        <v>557</v>
      </c>
      <c r="S86" s="274">
        <v>31</v>
      </c>
      <c r="T86" s="287">
        <f t="shared" si="1"/>
        <v>2016</v>
      </c>
      <c r="U86" s="274">
        <f>VLOOKUP(A86,'[1]SB35 Determination Data'!$B$4:$F$542,5,FALSE)</f>
        <v>2014</v>
      </c>
    </row>
    <row r="87" spans="1:21" s="274" customFormat="1" ht="12.75" x14ac:dyDescent="0.2">
      <c r="A87" s="282" t="s">
        <v>222</v>
      </c>
      <c r="B87" s="282" t="s">
        <v>262</v>
      </c>
      <c r="C87" s="282" t="s">
        <v>649</v>
      </c>
      <c r="D87" s="283">
        <v>2017</v>
      </c>
      <c r="E87" s="282" t="s">
        <v>650</v>
      </c>
      <c r="F87" s="284">
        <v>142</v>
      </c>
      <c r="G87" s="285">
        <v>0</v>
      </c>
      <c r="H87" s="288">
        <v>0</v>
      </c>
      <c r="I87" s="285">
        <v>0</v>
      </c>
      <c r="J87" s="285">
        <v>83</v>
      </c>
      <c r="K87" s="284">
        <v>0</v>
      </c>
      <c r="L87" s="284">
        <v>0</v>
      </c>
      <c r="M87" s="284">
        <v>0</v>
      </c>
      <c r="N87" s="284">
        <v>90</v>
      </c>
      <c r="O87" s="284">
        <v>1</v>
      </c>
      <c r="P87" s="284">
        <v>242</v>
      </c>
      <c r="Q87" s="286">
        <v>56</v>
      </c>
      <c r="R87" s="274">
        <v>557</v>
      </c>
      <c r="S87" s="274">
        <v>57</v>
      </c>
      <c r="T87" s="287">
        <f t="shared" si="1"/>
        <v>2017</v>
      </c>
      <c r="U87" s="274">
        <f>VLOOKUP(A87,'[1]SB35 Determination Data'!$B$4:$F$542,5,FALSE)</f>
        <v>2014</v>
      </c>
    </row>
    <row r="88" spans="1:21" s="274" customFormat="1" ht="12.75" x14ac:dyDescent="0.2">
      <c r="A88" s="282" t="s">
        <v>224</v>
      </c>
      <c r="B88" s="282" t="s">
        <v>481</v>
      </c>
      <c r="C88" s="282" t="s">
        <v>649</v>
      </c>
      <c r="D88" s="283">
        <v>2014</v>
      </c>
      <c r="E88" s="282" t="s">
        <v>650</v>
      </c>
      <c r="F88" s="284">
        <v>872</v>
      </c>
      <c r="G88" s="285">
        <v>0</v>
      </c>
      <c r="H88" s="288">
        <v>0</v>
      </c>
      <c r="I88" s="285">
        <v>0</v>
      </c>
      <c r="J88" s="285">
        <v>593</v>
      </c>
      <c r="K88" s="284">
        <v>0</v>
      </c>
      <c r="L88" s="284">
        <v>0</v>
      </c>
      <c r="M88" s="284">
        <v>0</v>
      </c>
      <c r="N88" s="284">
        <v>685</v>
      </c>
      <c r="O88" s="284">
        <v>0</v>
      </c>
      <c r="P88" s="284">
        <v>1642</v>
      </c>
      <c r="Q88" s="286">
        <v>0</v>
      </c>
      <c r="R88" s="274">
        <v>3792</v>
      </c>
      <c r="S88" s="274">
        <v>0</v>
      </c>
      <c r="T88" s="287">
        <f t="shared" si="1"/>
        <v>2014</v>
      </c>
      <c r="U88" s="274">
        <f>VLOOKUP(A88,'[1]SB35 Determination Data'!$B$4:$F$542,5,FALSE)</f>
        <v>2014</v>
      </c>
    </row>
    <row r="89" spans="1:21" s="274" customFormat="1" ht="12.75" x14ac:dyDescent="0.2">
      <c r="A89" s="282" t="s">
        <v>224</v>
      </c>
      <c r="B89" s="282" t="s">
        <v>481</v>
      </c>
      <c r="C89" s="282" t="s">
        <v>649</v>
      </c>
      <c r="D89" s="283">
        <v>2015</v>
      </c>
      <c r="E89" s="282" t="s">
        <v>650</v>
      </c>
      <c r="F89" s="284">
        <v>872</v>
      </c>
      <c r="G89" s="285">
        <v>0</v>
      </c>
      <c r="H89" s="288">
        <v>0</v>
      </c>
      <c r="I89" s="285">
        <v>0</v>
      </c>
      <c r="J89" s="285">
        <v>593</v>
      </c>
      <c r="K89" s="284">
        <v>0</v>
      </c>
      <c r="L89" s="284">
        <v>0</v>
      </c>
      <c r="M89" s="284">
        <v>0</v>
      </c>
      <c r="N89" s="284">
        <v>685</v>
      </c>
      <c r="O89" s="284">
        <v>0</v>
      </c>
      <c r="P89" s="284">
        <v>1642</v>
      </c>
      <c r="Q89" s="286">
        <v>0</v>
      </c>
      <c r="R89" s="274">
        <v>3792</v>
      </c>
      <c r="S89" s="274">
        <v>0</v>
      </c>
      <c r="T89" s="287">
        <f t="shared" si="1"/>
        <v>2015</v>
      </c>
      <c r="U89" s="274">
        <f>VLOOKUP(A89,'[1]SB35 Determination Data'!$B$4:$F$542,5,FALSE)</f>
        <v>2014</v>
      </c>
    </row>
    <row r="90" spans="1:21" s="274" customFormat="1" ht="12.75" x14ac:dyDescent="0.2">
      <c r="A90" s="282" t="s">
        <v>224</v>
      </c>
      <c r="B90" s="282" t="s">
        <v>481</v>
      </c>
      <c r="C90" s="282" t="s">
        <v>649</v>
      </c>
      <c r="D90" s="283">
        <v>2016</v>
      </c>
      <c r="E90" s="282" t="s">
        <v>650</v>
      </c>
      <c r="F90" s="284">
        <v>872</v>
      </c>
      <c r="G90" s="285">
        <v>0</v>
      </c>
      <c r="H90" s="288">
        <v>0</v>
      </c>
      <c r="I90" s="285">
        <v>0</v>
      </c>
      <c r="J90" s="285">
        <v>593</v>
      </c>
      <c r="K90" s="284">
        <v>0</v>
      </c>
      <c r="L90" s="284">
        <v>0</v>
      </c>
      <c r="M90" s="284">
        <v>0</v>
      </c>
      <c r="N90" s="284">
        <v>685</v>
      </c>
      <c r="O90" s="284">
        <v>0</v>
      </c>
      <c r="P90" s="284">
        <v>1642</v>
      </c>
      <c r="Q90" s="286">
        <v>0</v>
      </c>
      <c r="R90" s="274">
        <v>3792</v>
      </c>
      <c r="S90" s="274">
        <v>0</v>
      </c>
      <c r="T90" s="287">
        <f t="shared" si="1"/>
        <v>2016</v>
      </c>
      <c r="U90" s="274">
        <f>VLOOKUP(A90,'[1]SB35 Determination Data'!$B$4:$F$542,5,FALSE)</f>
        <v>2014</v>
      </c>
    </row>
    <row r="91" spans="1:21" s="274" customFormat="1" ht="12.75" x14ac:dyDescent="0.2">
      <c r="A91" s="282" t="s">
        <v>224</v>
      </c>
      <c r="B91" s="282" t="s">
        <v>481</v>
      </c>
      <c r="C91" s="282" t="s">
        <v>649</v>
      </c>
      <c r="D91" s="283">
        <v>2017</v>
      </c>
      <c r="E91" s="282" t="s">
        <v>650</v>
      </c>
      <c r="F91" s="284">
        <v>872</v>
      </c>
      <c r="G91" s="285">
        <v>0</v>
      </c>
      <c r="H91" s="288">
        <v>0</v>
      </c>
      <c r="I91" s="285">
        <v>0</v>
      </c>
      <c r="J91" s="285">
        <v>593</v>
      </c>
      <c r="K91" s="284">
        <v>0</v>
      </c>
      <c r="L91" s="284">
        <v>0</v>
      </c>
      <c r="M91" s="284">
        <v>0</v>
      </c>
      <c r="N91" s="284">
        <v>685</v>
      </c>
      <c r="O91" s="284">
        <v>0</v>
      </c>
      <c r="P91" s="284">
        <v>1642</v>
      </c>
      <c r="Q91" s="286">
        <v>0</v>
      </c>
      <c r="R91" s="274">
        <v>3792</v>
      </c>
      <c r="S91" s="274">
        <v>0</v>
      </c>
      <c r="T91" s="287">
        <f t="shared" si="1"/>
        <v>2017</v>
      </c>
      <c r="U91" s="274">
        <f>VLOOKUP(A91,'[1]SB35 Determination Data'!$B$4:$F$542,5,FALSE)</f>
        <v>2014</v>
      </c>
    </row>
    <row r="92" spans="1:21" s="274" customFormat="1" ht="12.75" x14ac:dyDescent="0.2">
      <c r="A92" s="282" t="s">
        <v>226</v>
      </c>
      <c r="B92" s="282" t="s">
        <v>542</v>
      </c>
      <c r="C92" s="282" t="s">
        <v>649</v>
      </c>
      <c r="D92" s="283">
        <v>2016</v>
      </c>
      <c r="E92" s="282" t="s">
        <v>650</v>
      </c>
      <c r="F92" s="284">
        <v>188</v>
      </c>
      <c r="G92" s="285">
        <v>0</v>
      </c>
      <c r="H92" s="288">
        <v>0</v>
      </c>
      <c r="I92" s="285">
        <v>0</v>
      </c>
      <c r="J92" s="285">
        <v>138</v>
      </c>
      <c r="K92" s="284">
        <v>0</v>
      </c>
      <c r="L92" s="284">
        <v>0</v>
      </c>
      <c r="M92" s="284">
        <v>0</v>
      </c>
      <c r="N92" s="289">
        <v>154</v>
      </c>
      <c r="O92" s="284">
        <v>0</v>
      </c>
      <c r="P92" s="284">
        <v>363</v>
      </c>
      <c r="Q92" s="286">
        <v>0</v>
      </c>
      <c r="R92" s="274">
        <v>843</v>
      </c>
      <c r="S92" s="274">
        <v>0</v>
      </c>
      <c r="T92" s="287">
        <f t="shared" si="1"/>
        <v>2016</v>
      </c>
      <c r="U92" s="274">
        <f>VLOOKUP(A92,'[1]SB35 Determination Data'!$B$4:$F$542,5,FALSE)</f>
        <v>2014</v>
      </c>
    </row>
    <row r="93" spans="1:21" s="274" customFormat="1" ht="12.75" x14ac:dyDescent="0.2">
      <c r="A93" s="282" t="s">
        <v>226</v>
      </c>
      <c r="B93" s="282" t="s">
        <v>542</v>
      </c>
      <c r="C93" s="282" t="s">
        <v>649</v>
      </c>
      <c r="D93" s="283">
        <v>2017</v>
      </c>
      <c r="E93" s="282" t="s">
        <v>650</v>
      </c>
      <c r="F93" s="284">
        <v>188</v>
      </c>
      <c r="G93" s="285">
        <v>0</v>
      </c>
      <c r="H93" s="288">
        <v>0</v>
      </c>
      <c r="I93" s="285">
        <v>0</v>
      </c>
      <c r="J93" s="285">
        <v>138</v>
      </c>
      <c r="K93" s="284">
        <v>0</v>
      </c>
      <c r="L93" s="284">
        <v>0</v>
      </c>
      <c r="M93" s="284">
        <v>0</v>
      </c>
      <c r="N93" s="284">
        <v>154</v>
      </c>
      <c r="O93" s="284">
        <v>2</v>
      </c>
      <c r="P93" s="284">
        <v>363</v>
      </c>
      <c r="Q93" s="286">
        <v>1</v>
      </c>
      <c r="R93" s="274">
        <v>843</v>
      </c>
      <c r="S93" s="274">
        <v>3</v>
      </c>
      <c r="T93" s="287">
        <f t="shared" si="1"/>
        <v>2017</v>
      </c>
      <c r="U93" s="274">
        <f>VLOOKUP(A93,'[1]SB35 Determination Data'!$B$4:$F$542,5,FALSE)</f>
        <v>2014</v>
      </c>
    </row>
    <row r="94" spans="1:21" s="274" customFormat="1" ht="12.75" x14ac:dyDescent="0.2">
      <c r="A94" s="282" t="s">
        <v>227</v>
      </c>
      <c r="B94" s="282" t="s">
        <v>481</v>
      </c>
      <c r="C94" s="282" t="s">
        <v>649</v>
      </c>
      <c r="D94" s="283">
        <v>2017</v>
      </c>
      <c r="E94" s="282" t="s">
        <v>650</v>
      </c>
      <c r="F94" s="284">
        <v>1267</v>
      </c>
      <c r="G94" s="285">
        <v>0</v>
      </c>
      <c r="H94" s="288">
        <v>0</v>
      </c>
      <c r="I94" s="285">
        <v>0</v>
      </c>
      <c r="J94" s="285">
        <v>854</v>
      </c>
      <c r="K94" s="284">
        <v>0</v>
      </c>
      <c r="L94" s="284">
        <v>0</v>
      </c>
      <c r="M94" s="284">
        <v>0</v>
      </c>
      <c r="N94" s="284">
        <v>969</v>
      </c>
      <c r="O94" s="284">
        <v>323</v>
      </c>
      <c r="P94" s="284">
        <v>2160</v>
      </c>
      <c r="Q94" s="286">
        <v>423</v>
      </c>
      <c r="R94" s="274">
        <v>5250</v>
      </c>
      <c r="S94" s="274">
        <v>746</v>
      </c>
      <c r="T94" s="287">
        <f t="shared" si="1"/>
        <v>2017</v>
      </c>
      <c r="U94" s="274">
        <f>VLOOKUP(A94,'[1]SB35 Determination Data'!$B$4:$F$542,5,FALSE)</f>
        <v>2014</v>
      </c>
    </row>
    <row r="95" spans="1:21" s="274" customFormat="1" ht="12.75" x14ac:dyDescent="0.2">
      <c r="A95" s="282" t="s">
        <v>228</v>
      </c>
      <c r="B95" s="282" t="s">
        <v>262</v>
      </c>
      <c r="C95" s="282" t="s">
        <v>649</v>
      </c>
      <c r="D95" s="283">
        <v>2014</v>
      </c>
      <c r="E95" s="282" t="s">
        <v>650</v>
      </c>
      <c r="F95" s="284">
        <v>11</v>
      </c>
      <c r="G95" s="285">
        <v>0</v>
      </c>
      <c r="H95" s="288">
        <v>0</v>
      </c>
      <c r="I95" s="285">
        <v>0</v>
      </c>
      <c r="J95" s="285">
        <v>7</v>
      </c>
      <c r="K95" s="284">
        <v>0</v>
      </c>
      <c r="L95" s="284">
        <v>0</v>
      </c>
      <c r="M95" s="284">
        <v>0</v>
      </c>
      <c r="N95" s="284">
        <v>8</v>
      </c>
      <c r="O95" s="284">
        <v>0</v>
      </c>
      <c r="P95" s="284">
        <v>21</v>
      </c>
      <c r="Q95" s="286">
        <v>0</v>
      </c>
      <c r="R95" s="274">
        <v>47</v>
      </c>
      <c r="S95" s="274">
        <v>0</v>
      </c>
      <c r="T95" s="287">
        <f t="shared" si="1"/>
        <v>2014</v>
      </c>
      <c r="U95" s="274">
        <f>VLOOKUP(A95,'[1]SB35 Determination Data'!$B$4:$F$542,5,FALSE)</f>
        <v>2014</v>
      </c>
    </row>
    <row r="96" spans="1:21" s="274" customFormat="1" ht="12.75" x14ac:dyDescent="0.2">
      <c r="A96" s="282" t="s">
        <v>228</v>
      </c>
      <c r="B96" s="282" t="s">
        <v>262</v>
      </c>
      <c r="C96" s="282" t="s">
        <v>649</v>
      </c>
      <c r="D96" s="283">
        <v>2015</v>
      </c>
      <c r="E96" s="282" t="s">
        <v>650</v>
      </c>
      <c r="F96" s="284">
        <v>11</v>
      </c>
      <c r="G96" s="285">
        <v>0</v>
      </c>
      <c r="H96" s="288">
        <v>0</v>
      </c>
      <c r="I96" s="285">
        <v>0</v>
      </c>
      <c r="J96" s="285">
        <v>7</v>
      </c>
      <c r="K96" s="284">
        <v>0</v>
      </c>
      <c r="L96" s="284">
        <v>0</v>
      </c>
      <c r="M96" s="284">
        <v>0</v>
      </c>
      <c r="N96" s="284">
        <v>8</v>
      </c>
      <c r="O96" s="284">
        <v>3</v>
      </c>
      <c r="P96" s="284">
        <v>21</v>
      </c>
      <c r="Q96" s="286">
        <v>0</v>
      </c>
      <c r="R96" s="274">
        <v>47</v>
      </c>
      <c r="S96" s="274">
        <v>3</v>
      </c>
      <c r="T96" s="287">
        <f t="shared" si="1"/>
        <v>2015</v>
      </c>
      <c r="U96" s="274">
        <f>VLOOKUP(A96,'[1]SB35 Determination Data'!$B$4:$F$542,5,FALSE)</f>
        <v>2014</v>
      </c>
    </row>
    <row r="97" spans="1:21" s="274" customFormat="1" ht="12.75" x14ac:dyDescent="0.2">
      <c r="A97" s="282" t="s">
        <v>228</v>
      </c>
      <c r="B97" s="282" t="s">
        <v>262</v>
      </c>
      <c r="C97" s="282" t="s">
        <v>649</v>
      </c>
      <c r="D97" s="283">
        <v>2016</v>
      </c>
      <c r="E97" s="282" t="s">
        <v>650</v>
      </c>
      <c r="F97" s="284">
        <v>11</v>
      </c>
      <c r="G97" s="285">
        <v>0</v>
      </c>
      <c r="H97" s="288">
        <v>0</v>
      </c>
      <c r="I97" s="285">
        <v>0</v>
      </c>
      <c r="J97" s="285">
        <v>7</v>
      </c>
      <c r="K97" s="284">
        <v>0</v>
      </c>
      <c r="L97" s="284">
        <v>0</v>
      </c>
      <c r="M97" s="284">
        <v>0</v>
      </c>
      <c r="N97" s="284">
        <v>8</v>
      </c>
      <c r="O97" s="284">
        <v>0</v>
      </c>
      <c r="P97" s="284">
        <v>21</v>
      </c>
      <c r="Q97" s="286">
        <v>10</v>
      </c>
      <c r="R97" s="274">
        <v>47</v>
      </c>
      <c r="S97" s="274">
        <v>10</v>
      </c>
      <c r="T97" s="287">
        <f t="shared" si="1"/>
        <v>2016</v>
      </c>
      <c r="U97" s="274">
        <f>VLOOKUP(A97,'[1]SB35 Determination Data'!$B$4:$F$542,5,FALSE)</f>
        <v>2014</v>
      </c>
    </row>
    <row r="98" spans="1:21" s="274" customFormat="1" ht="12.75" x14ac:dyDescent="0.2">
      <c r="A98" s="282" t="s">
        <v>228</v>
      </c>
      <c r="B98" s="282" t="s">
        <v>262</v>
      </c>
      <c r="C98" s="282" t="s">
        <v>649</v>
      </c>
      <c r="D98" s="283">
        <v>2017</v>
      </c>
      <c r="E98" s="282" t="s">
        <v>650</v>
      </c>
      <c r="F98" s="284">
        <v>11</v>
      </c>
      <c r="G98" s="285">
        <v>65</v>
      </c>
      <c r="H98" s="288">
        <v>65</v>
      </c>
      <c r="I98" s="285">
        <v>0</v>
      </c>
      <c r="J98" s="285">
        <v>7</v>
      </c>
      <c r="K98" s="284">
        <v>0</v>
      </c>
      <c r="L98" s="284">
        <v>0</v>
      </c>
      <c r="M98" s="284">
        <v>0</v>
      </c>
      <c r="N98" s="289">
        <v>8</v>
      </c>
      <c r="O98" s="284">
        <v>0</v>
      </c>
      <c r="P98" s="284">
        <v>21</v>
      </c>
      <c r="Q98" s="286">
        <v>62</v>
      </c>
      <c r="R98" s="274">
        <v>47</v>
      </c>
      <c r="S98" s="274">
        <v>127</v>
      </c>
      <c r="T98" s="287">
        <f t="shared" si="1"/>
        <v>2017</v>
      </c>
      <c r="U98" s="274">
        <f>VLOOKUP(A98,'[1]SB35 Determination Data'!$B$4:$F$542,5,FALSE)</f>
        <v>2014</v>
      </c>
    </row>
    <row r="99" spans="1:21" s="274" customFormat="1" ht="12.75" x14ac:dyDescent="0.2">
      <c r="A99" s="282" t="s">
        <v>232</v>
      </c>
      <c r="B99" s="282" t="s">
        <v>262</v>
      </c>
      <c r="C99" s="282" t="s">
        <v>649</v>
      </c>
      <c r="D99" s="283">
        <v>2014</v>
      </c>
      <c r="E99" s="282" t="s">
        <v>650</v>
      </c>
      <c r="F99" s="284">
        <v>11</v>
      </c>
      <c r="G99" s="285">
        <v>0</v>
      </c>
      <c r="H99" s="288">
        <v>0</v>
      </c>
      <c r="I99" s="285">
        <v>0</v>
      </c>
      <c r="J99" s="285">
        <v>7</v>
      </c>
      <c r="K99" s="284">
        <v>0</v>
      </c>
      <c r="L99" s="284">
        <v>0</v>
      </c>
      <c r="M99" s="284">
        <v>0</v>
      </c>
      <c r="N99" s="284">
        <v>8</v>
      </c>
      <c r="O99" s="284">
        <v>4</v>
      </c>
      <c r="P99" s="284">
        <v>20</v>
      </c>
      <c r="Q99" s="286">
        <v>2</v>
      </c>
      <c r="R99" s="274">
        <v>46</v>
      </c>
      <c r="S99" s="274">
        <v>6</v>
      </c>
      <c r="T99" s="287">
        <f t="shared" si="1"/>
        <v>2014</v>
      </c>
      <c r="U99" s="274">
        <f>VLOOKUP(A99,'[1]SB35 Determination Data'!$B$4:$F$542,5,FALSE)</f>
        <v>2014</v>
      </c>
    </row>
    <row r="100" spans="1:21" s="274" customFormat="1" ht="12.75" x14ac:dyDescent="0.2">
      <c r="A100" s="282" t="s">
        <v>232</v>
      </c>
      <c r="B100" s="282" t="s">
        <v>262</v>
      </c>
      <c r="C100" s="282" t="s">
        <v>649</v>
      </c>
      <c r="D100" s="283">
        <v>2015</v>
      </c>
      <c r="E100" s="282" t="s">
        <v>650</v>
      </c>
      <c r="F100" s="284">
        <v>11</v>
      </c>
      <c r="G100" s="285">
        <v>0</v>
      </c>
      <c r="H100" s="288">
        <v>0</v>
      </c>
      <c r="I100" s="285">
        <v>0</v>
      </c>
      <c r="J100" s="285">
        <v>7</v>
      </c>
      <c r="K100" s="284">
        <v>0</v>
      </c>
      <c r="L100" s="284">
        <v>0</v>
      </c>
      <c r="M100" s="284">
        <v>0</v>
      </c>
      <c r="N100" s="284">
        <v>8</v>
      </c>
      <c r="O100" s="284">
        <v>1</v>
      </c>
      <c r="P100" s="284">
        <v>20</v>
      </c>
      <c r="Q100" s="286">
        <v>3</v>
      </c>
      <c r="R100" s="274">
        <v>46</v>
      </c>
      <c r="S100" s="274">
        <v>4</v>
      </c>
      <c r="T100" s="287">
        <f t="shared" si="1"/>
        <v>2015</v>
      </c>
      <c r="U100" s="274">
        <f>VLOOKUP(A100,'[1]SB35 Determination Data'!$B$4:$F$542,5,FALSE)</f>
        <v>2014</v>
      </c>
    </row>
    <row r="101" spans="1:21" s="274" customFormat="1" ht="12.75" x14ac:dyDescent="0.2">
      <c r="A101" s="282" t="s">
        <v>232</v>
      </c>
      <c r="B101" s="282" t="s">
        <v>262</v>
      </c>
      <c r="C101" s="282" t="s">
        <v>649</v>
      </c>
      <c r="D101" s="283">
        <v>2016</v>
      </c>
      <c r="E101" s="282" t="s">
        <v>650</v>
      </c>
      <c r="F101" s="284">
        <v>11</v>
      </c>
      <c r="G101" s="285">
        <v>0</v>
      </c>
      <c r="H101" s="288">
        <v>0</v>
      </c>
      <c r="I101" s="285">
        <v>0</v>
      </c>
      <c r="J101" s="285">
        <v>7</v>
      </c>
      <c r="K101" s="284">
        <v>0</v>
      </c>
      <c r="L101" s="284">
        <v>0</v>
      </c>
      <c r="M101" s="284">
        <v>0</v>
      </c>
      <c r="N101" s="284">
        <v>8</v>
      </c>
      <c r="O101" s="284">
        <v>0</v>
      </c>
      <c r="P101" s="284">
        <v>20</v>
      </c>
      <c r="Q101" s="286">
        <v>5</v>
      </c>
      <c r="R101" s="274">
        <v>46</v>
      </c>
      <c r="S101" s="274">
        <v>5</v>
      </c>
      <c r="T101" s="287">
        <f t="shared" si="1"/>
        <v>2016</v>
      </c>
      <c r="U101" s="274">
        <f>VLOOKUP(A101,'[1]SB35 Determination Data'!$B$4:$F$542,5,FALSE)</f>
        <v>2014</v>
      </c>
    </row>
    <row r="102" spans="1:21" s="274" customFormat="1" ht="12.75" x14ac:dyDescent="0.2">
      <c r="A102" s="282" t="s">
        <v>232</v>
      </c>
      <c r="B102" s="282" t="s">
        <v>262</v>
      </c>
      <c r="C102" s="282" t="s">
        <v>649</v>
      </c>
      <c r="D102" s="283">
        <v>2017</v>
      </c>
      <c r="E102" s="282" t="s">
        <v>650</v>
      </c>
      <c r="F102" s="284">
        <v>11</v>
      </c>
      <c r="G102" s="285">
        <v>0</v>
      </c>
      <c r="H102" s="288">
        <v>0</v>
      </c>
      <c r="I102" s="285">
        <v>0</v>
      </c>
      <c r="J102" s="285">
        <v>7</v>
      </c>
      <c r="K102" s="284">
        <v>0</v>
      </c>
      <c r="L102" s="284">
        <v>0</v>
      </c>
      <c r="M102" s="284">
        <v>0</v>
      </c>
      <c r="N102" s="284">
        <v>8</v>
      </c>
      <c r="O102" s="284">
        <v>5</v>
      </c>
      <c r="P102" s="284">
        <v>20</v>
      </c>
      <c r="Q102" s="286">
        <v>7</v>
      </c>
      <c r="R102" s="274">
        <v>46</v>
      </c>
      <c r="S102" s="274">
        <v>12</v>
      </c>
      <c r="T102" s="287">
        <f t="shared" si="1"/>
        <v>2017</v>
      </c>
      <c r="U102" s="274">
        <f>VLOOKUP(A102,'[1]SB35 Determination Data'!$B$4:$F$542,5,FALSE)</f>
        <v>2014</v>
      </c>
    </row>
    <row r="103" spans="1:21" s="274" customFormat="1" ht="12.75" x14ac:dyDescent="0.2">
      <c r="A103" s="282" t="s">
        <v>233</v>
      </c>
      <c r="B103" s="282" t="s">
        <v>262</v>
      </c>
      <c r="C103" s="282" t="s">
        <v>649</v>
      </c>
      <c r="D103" s="283">
        <v>2014</v>
      </c>
      <c r="E103" s="282" t="s">
        <v>650</v>
      </c>
      <c r="F103" s="284">
        <v>1</v>
      </c>
      <c r="G103" s="285">
        <v>0</v>
      </c>
      <c r="H103" s="288">
        <v>0</v>
      </c>
      <c r="I103" s="285">
        <v>0</v>
      </c>
      <c r="J103" s="285">
        <v>1</v>
      </c>
      <c r="K103" s="284">
        <v>0</v>
      </c>
      <c r="L103" s="284">
        <v>0</v>
      </c>
      <c r="M103" s="284">
        <v>0</v>
      </c>
      <c r="N103" s="289">
        <v>0</v>
      </c>
      <c r="O103" s="284">
        <v>0</v>
      </c>
      <c r="P103" s="284">
        <v>0</v>
      </c>
      <c r="Q103" s="286">
        <v>67</v>
      </c>
      <c r="R103" s="274">
        <v>2</v>
      </c>
      <c r="S103" s="274">
        <v>67</v>
      </c>
      <c r="T103" s="287">
        <f t="shared" si="1"/>
        <v>2014</v>
      </c>
      <c r="U103" s="274">
        <f>VLOOKUP(A103,'[1]SB35 Determination Data'!$B$4:$F$542,5,FALSE)</f>
        <v>2014</v>
      </c>
    </row>
    <row r="104" spans="1:21" s="274" customFormat="1" ht="12.75" x14ac:dyDescent="0.2">
      <c r="A104" s="282" t="s">
        <v>233</v>
      </c>
      <c r="B104" s="282" t="s">
        <v>262</v>
      </c>
      <c r="C104" s="282" t="s">
        <v>649</v>
      </c>
      <c r="D104" s="283">
        <v>2015</v>
      </c>
      <c r="E104" s="282" t="s">
        <v>650</v>
      </c>
      <c r="F104" s="284">
        <v>1</v>
      </c>
      <c r="G104" s="285">
        <v>0</v>
      </c>
      <c r="H104" s="288">
        <v>0</v>
      </c>
      <c r="I104" s="285">
        <v>0</v>
      </c>
      <c r="J104" s="285">
        <v>1</v>
      </c>
      <c r="K104" s="284">
        <v>0</v>
      </c>
      <c r="L104" s="284">
        <v>0</v>
      </c>
      <c r="M104" s="284">
        <v>0</v>
      </c>
      <c r="N104" s="284">
        <v>0</v>
      </c>
      <c r="O104" s="284">
        <v>0</v>
      </c>
      <c r="P104" s="284">
        <v>0</v>
      </c>
      <c r="Q104" s="286">
        <v>3</v>
      </c>
      <c r="R104" s="274">
        <v>2</v>
      </c>
      <c r="S104" s="274">
        <v>3</v>
      </c>
      <c r="T104" s="287">
        <f t="shared" si="1"/>
        <v>2015</v>
      </c>
      <c r="U104" s="274">
        <f>VLOOKUP(A104,'[1]SB35 Determination Data'!$B$4:$F$542,5,FALSE)</f>
        <v>2014</v>
      </c>
    </row>
    <row r="105" spans="1:21" s="274" customFormat="1" ht="12.75" x14ac:dyDescent="0.2">
      <c r="A105" s="282" t="s">
        <v>233</v>
      </c>
      <c r="B105" s="282" t="s">
        <v>262</v>
      </c>
      <c r="C105" s="282" t="s">
        <v>649</v>
      </c>
      <c r="D105" s="283">
        <v>2016</v>
      </c>
      <c r="E105" s="282" t="s">
        <v>650</v>
      </c>
      <c r="F105" s="284">
        <v>1</v>
      </c>
      <c r="G105" s="285">
        <v>0</v>
      </c>
      <c r="H105" s="288">
        <v>0</v>
      </c>
      <c r="I105" s="285">
        <v>0</v>
      </c>
      <c r="J105" s="285">
        <v>1</v>
      </c>
      <c r="K105" s="284">
        <v>6</v>
      </c>
      <c r="L105" s="284">
        <v>6</v>
      </c>
      <c r="M105" s="284">
        <v>0</v>
      </c>
      <c r="N105" s="289">
        <v>0</v>
      </c>
      <c r="O105" s="284">
        <v>6</v>
      </c>
      <c r="P105" s="284">
        <v>0</v>
      </c>
      <c r="Q105" s="286">
        <v>108</v>
      </c>
      <c r="R105" s="274">
        <v>2</v>
      </c>
      <c r="S105" s="274">
        <v>120</v>
      </c>
      <c r="T105" s="287">
        <f t="shared" si="1"/>
        <v>2016</v>
      </c>
      <c r="U105" s="274">
        <f>VLOOKUP(A105,'[1]SB35 Determination Data'!$B$4:$F$542,5,FALSE)</f>
        <v>2014</v>
      </c>
    </row>
    <row r="106" spans="1:21" s="274" customFormat="1" ht="12.75" x14ac:dyDescent="0.2">
      <c r="A106" s="282" t="s">
        <v>233</v>
      </c>
      <c r="B106" s="282" t="s">
        <v>262</v>
      </c>
      <c r="C106" s="282" t="s">
        <v>649</v>
      </c>
      <c r="D106" s="283">
        <v>2017</v>
      </c>
      <c r="E106" s="282" t="s">
        <v>650</v>
      </c>
      <c r="F106" s="284">
        <v>1</v>
      </c>
      <c r="G106" s="285">
        <v>0</v>
      </c>
      <c r="H106" s="288">
        <v>0</v>
      </c>
      <c r="I106" s="285">
        <v>0</v>
      </c>
      <c r="J106" s="285">
        <v>1</v>
      </c>
      <c r="K106" s="284">
        <v>0</v>
      </c>
      <c r="L106" s="284">
        <v>0</v>
      </c>
      <c r="M106" s="284">
        <v>0</v>
      </c>
      <c r="N106" s="284">
        <v>0</v>
      </c>
      <c r="O106" s="284">
        <v>0</v>
      </c>
      <c r="P106" s="284">
        <v>0</v>
      </c>
      <c r="Q106" s="286">
        <v>64</v>
      </c>
      <c r="R106" s="274">
        <v>2</v>
      </c>
      <c r="S106" s="274">
        <v>64</v>
      </c>
      <c r="T106" s="287">
        <f t="shared" si="1"/>
        <v>2017</v>
      </c>
      <c r="U106" s="274">
        <f>VLOOKUP(A106,'[1]SB35 Determination Data'!$B$4:$F$542,5,FALSE)</f>
        <v>2014</v>
      </c>
    </row>
    <row r="107" spans="1:21" s="274" customFormat="1" ht="12.75" x14ac:dyDescent="0.2">
      <c r="A107" s="282" t="s">
        <v>235</v>
      </c>
      <c r="B107" s="282" t="s">
        <v>595</v>
      </c>
      <c r="C107" s="282" t="s">
        <v>654</v>
      </c>
      <c r="D107" s="283">
        <v>2014</v>
      </c>
      <c r="E107" s="282" t="s">
        <v>650</v>
      </c>
      <c r="F107" s="284">
        <v>116</v>
      </c>
      <c r="G107" s="285">
        <v>0</v>
      </c>
      <c r="H107" s="288">
        <v>0</v>
      </c>
      <c r="I107" s="285">
        <v>0</v>
      </c>
      <c r="J107" s="285">
        <v>63</v>
      </c>
      <c r="K107" s="284">
        <v>0</v>
      </c>
      <c r="L107" s="284">
        <v>0</v>
      </c>
      <c r="M107" s="284">
        <v>0</v>
      </c>
      <c r="N107" s="284">
        <v>67</v>
      </c>
      <c r="O107" s="284">
        <v>0</v>
      </c>
      <c r="P107" s="284">
        <v>222</v>
      </c>
      <c r="Q107" s="286">
        <v>18</v>
      </c>
      <c r="R107" s="274">
        <v>468</v>
      </c>
      <c r="S107" s="274">
        <v>18</v>
      </c>
      <c r="T107" s="287">
        <f t="shared" si="1"/>
        <v>2015</v>
      </c>
      <c r="U107" s="274">
        <f>VLOOKUP(A107,'[1]SB35 Determination Data'!$B$4:$F$542,5,FALSE)</f>
        <v>2015</v>
      </c>
    </row>
    <row r="108" spans="1:21" s="274" customFormat="1" ht="12.75" x14ac:dyDescent="0.2">
      <c r="A108" s="282" t="s">
        <v>235</v>
      </c>
      <c r="B108" s="282" t="s">
        <v>595</v>
      </c>
      <c r="C108" s="282" t="s">
        <v>654</v>
      </c>
      <c r="D108" s="283">
        <v>2015</v>
      </c>
      <c r="E108" s="282" t="s">
        <v>650</v>
      </c>
      <c r="F108" s="284">
        <v>116</v>
      </c>
      <c r="G108" s="285">
        <v>0</v>
      </c>
      <c r="H108" s="288">
        <v>0</v>
      </c>
      <c r="I108" s="285">
        <v>0</v>
      </c>
      <c r="J108" s="285">
        <v>63</v>
      </c>
      <c r="K108" s="284">
        <v>0</v>
      </c>
      <c r="L108" s="284">
        <v>0</v>
      </c>
      <c r="M108" s="284">
        <v>0</v>
      </c>
      <c r="N108" s="284">
        <v>67</v>
      </c>
      <c r="O108" s="284">
        <v>0</v>
      </c>
      <c r="P108" s="284">
        <v>222</v>
      </c>
      <c r="Q108" s="286">
        <v>7</v>
      </c>
      <c r="R108" s="274">
        <v>468</v>
      </c>
      <c r="S108" s="274">
        <v>7</v>
      </c>
      <c r="T108" s="287">
        <f t="shared" si="1"/>
        <v>2015</v>
      </c>
      <c r="U108" s="274">
        <f>VLOOKUP(A108,'[1]SB35 Determination Data'!$B$4:$F$542,5,FALSE)</f>
        <v>2015</v>
      </c>
    </row>
    <row r="109" spans="1:21" s="274" customFormat="1" ht="12.75" x14ac:dyDescent="0.2">
      <c r="A109" s="282" t="s">
        <v>235</v>
      </c>
      <c r="B109" s="282" t="s">
        <v>595</v>
      </c>
      <c r="C109" s="282" t="s">
        <v>654</v>
      </c>
      <c r="D109" s="283">
        <v>2016</v>
      </c>
      <c r="E109" s="282" t="s">
        <v>650</v>
      </c>
      <c r="F109" s="284">
        <v>116</v>
      </c>
      <c r="G109" s="285">
        <v>0</v>
      </c>
      <c r="H109" s="288">
        <v>0</v>
      </c>
      <c r="I109" s="285">
        <v>0</v>
      </c>
      <c r="J109" s="285">
        <v>63</v>
      </c>
      <c r="K109" s="284">
        <v>0</v>
      </c>
      <c r="L109" s="284">
        <v>0</v>
      </c>
      <c r="M109" s="284">
        <v>0</v>
      </c>
      <c r="N109" s="284">
        <v>67</v>
      </c>
      <c r="O109" s="284">
        <v>0</v>
      </c>
      <c r="P109" s="284">
        <v>222</v>
      </c>
      <c r="Q109" s="286">
        <v>7</v>
      </c>
      <c r="R109" s="274">
        <v>468</v>
      </c>
      <c r="S109" s="274">
        <v>7</v>
      </c>
      <c r="T109" s="287">
        <f t="shared" si="1"/>
        <v>2016</v>
      </c>
      <c r="U109" s="274">
        <f>VLOOKUP(A109,'[1]SB35 Determination Data'!$B$4:$F$542,5,FALSE)</f>
        <v>2015</v>
      </c>
    </row>
    <row r="110" spans="1:21" s="274" customFormat="1" ht="12.75" x14ac:dyDescent="0.2">
      <c r="A110" s="282" t="s">
        <v>235</v>
      </c>
      <c r="B110" s="282" t="s">
        <v>595</v>
      </c>
      <c r="C110" s="282" t="s">
        <v>654</v>
      </c>
      <c r="D110" s="283">
        <v>2017</v>
      </c>
      <c r="E110" s="282" t="s">
        <v>650</v>
      </c>
      <c r="F110" s="284">
        <v>116</v>
      </c>
      <c r="G110" s="285">
        <v>0</v>
      </c>
      <c r="H110" s="288">
        <v>0</v>
      </c>
      <c r="I110" s="285">
        <v>0</v>
      </c>
      <c r="J110" s="285">
        <v>63</v>
      </c>
      <c r="K110" s="284">
        <v>0</v>
      </c>
      <c r="L110" s="284">
        <v>0</v>
      </c>
      <c r="M110" s="284">
        <v>0</v>
      </c>
      <c r="N110" s="284">
        <v>67</v>
      </c>
      <c r="O110" s="284">
        <v>4</v>
      </c>
      <c r="P110" s="284">
        <v>222</v>
      </c>
      <c r="Q110" s="286">
        <v>109</v>
      </c>
      <c r="R110" s="274">
        <v>468</v>
      </c>
      <c r="S110" s="274">
        <v>113</v>
      </c>
      <c r="T110" s="287">
        <f t="shared" si="1"/>
        <v>2017</v>
      </c>
      <c r="U110" s="274">
        <f>VLOOKUP(A110,'[1]SB35 Determination Data'!$B$4:$F$542,5,FALSE)</f>
        <v>2015</v>
      </c>
    </row>
    <row r="111" spans="1:21" s="274" customFormat="1" ht="12.75" x14ac:dyDescent="0.2">
      <c r="A111" s="282" t="s">
        <v>237</v>
      </c>
      <c r="B111" s="282" t="s">
        <v>301</v>
      </c>
      <c r="C111" s="282" t="s">
        <v>654</v>
      </c>
      <c r="D111" s="283">
        <v>2015</v>
      </c>
      <c r="E111" s="282" t="s">
        <v>650</v>
      </c>
      <c r="F111" s="284">
        <v>4</v>
      </c>
      <c r="G111" s="285">
        <v>0</v>
      </c>
      <c r="H111" s="288">
        <v>0</v>
      </c>
      <c r="I111" s="285">
        <v>0</v>
      </c>
      <c r="J111" s="285">
        <v>3</v>
      </c>
      <c r="K111" s="284">
        <v>0</v>
      </c>
      <c r="L111" s="284">
        <v>0</v>
      </c>
      <c r="M111" s="284">
        <v>0</v>
      </c>
      <c r="N111" s="284">
        <v>4</v>
      </c>
      <c r="O111" s="284">
        <v>0</v>
      </c>
      <c r="P111" s="284">
        <v>5</v>
      </c>
      <c r="Q111" s="286">
        <v>0</v>
      </c>
      <c r="R111" s="274">
        <v>16</v>
      </c>
      <c r="S111" s="274">
        <v>0</v>
      </c>
      <c r="T111" s="287">
        <f t="shared" si="1"/>
        <v>2015</v>
      </c>
      <c r="U111" s="274">
        <f>VLOOKUP(A111,'[1]SB35 Determination Data'!$B$4:$F$542,5,FALSE)</f>
        <v>2015</v>
      </c>
    </row>
    <row r="112" spans="1:21" s="274" customFormat="1" ht="12.75" x14ac:dyDescent="0.2">
      <c r="A112" s="282" t="s">
        <v>237</v>
      </c>
      <c r="B112" s="282" t="s">
        <v>301</v>
      </c>
      <c r="C112" s="282" t="s">
        <v>654</v>
      </c>
      <c r="D112" s="283">
        <v>2016</v>
      </c>
      <c r="E112" s="282" t="s">
        <v>650</v>
      </c>
      <c r="F112" s="284">
        <v>4</v>
      </c>
      <c r="G112" s="285">
        <v>0</v>
      </c>
      <c r="H112" s="288">
        <v>0</v>
      </c>
      <c r="I112" s="285">
        <v>0</v>
      </c>
      <c r="J112" s="285">
        <v>3</v>
      </c>
      <c r="K112" s="284">
        <v>0</v>
      </c>
      <c r="L112" s="284">
        <v>0</v>
      </c>
      <c r="M112" s="284">
        <v>0</v>
      </c>
      <c r="N112" s="284">
        <v>4</v>
      </c>
      <c r="O112" s="284">
        <v>0</v>
      </c>
      <c r="P112" s="284">
        <v>5</v>
      </c>
      <c r="Q112" s="286">
        <v>0</v>
      </c>
      <c r="R112" s="274">
        <v>16</v>
      </c>
      <c r="S112" s="274">
        <v>0</v>
      </c>
      <c r="T112" s="287">
        <f t="shared" si="1"/>
        <v>2016</v>
      </c>
      <c r="U112" s="274">
        <f>VLOOKUP(A112,'[1]SB35 Determination Data'!$B$4:$F$542,5,FALSE)</f>
        <v>2015</v>
      </c>
    </row>
    <row r="113" spans="1:21" s="274" customFormat="1" ht="12.75" x14ac:dyDescent="0.2">
      <c r="A113" s="282" t="s">
        <v>237</v>
      </c>
      <c r="B113" s="282" t="s">
        <v>301</v>
      </c>
      <c r="C113" s="282" t="s">
        <v>654</v>
      </c>
      <c r="D113" s="283">
        <v>2017</v>
      </c>
      <c r="E113" s="282" t="s">
        <v>650</v>
      </c>
      <c r="F113" s="284">
        <v>4</v>
      </c>
      <c r="G113" s="285">
        <v>0</v>
      </c>
      <c r="H113" s="288">
        <v>0</v>
      </c>
      <c r="I113" s="285">
        <v>0</v>
      </c>
      <c r="J113" s="285">
        <v>3</v>
      </c>
      <c r="K113" s="284">
        <v>0</v>
      </c>
      <c r="L113" s="284">
        <v>0</v>
      </c>
      <c r="M113" s="284">
        <v>0</v>
      </c>
      <c r="N113" s="284">
        <v>4</v>
      </c>
      <c r="O113" s="284">
        <v>2</v>
      </c>
      <c r="P113" s="284">
        <v>5</v>
      </c>
      <c r="Q113" s="286">
        <v>0</v>
      </c>
      <c r="R113" s="274">
        <v>16</v>
      </c>
      <c r="S113" s="274">
        <v>2</v>
      </c>
      <c r="T113" s="287">
        <f t="shared" si="1"/>
        <v>2017</v>
      </c>
      <c r="U113" s="274">
        <f>VLOOKUP(A113,'[1]SB35 Determination Data'!$B$4:$F$542,5,FALSE)</f>
        <v>2015</v>
      </c>
    </row>
    <row r="114" spans="1:21" s="274" customFormat="1" ht="12.75" x14ac:dyDescent="0.2">
      <c r="A114" s="282" t="s">
        <v>238</v>
      </c>
      <c r="B114" s="282" t="s">
        <v>663</v>
      </c>
      <c r="C114" s="282" t="s">
        <v>654</v>
      </c>
      <c r="D114" s="283">
        <v>2014</v>
      </c>
      <c r="E114" s="282" t="s">
        <v>650</v>
      </c>
      <c r="F114" s="284">
        <v>94</v>
      </c>
      <c r="G114" s="285">
        <v>0</v>
      </c>
      <c r="H114" s="288">
        <v>0</v>
      </c>
      <c r="I114" s="285">
        <v>0</v>
      </c>
      <c r="J114" s="285">
        <v>54</v>
      </c>
      <c r="K114" s="284">
        <v>0</v>
      </c>
      <c r="L114" s="284">
        <v>0</v>
      </c>
      <c r="M114" s="284">
        <v>0</v>
      </c>
      <c r="N114" s="289">
        <v>56</v>
      </c>
      <c r="O114" s="284">
        <v>0</v>
      </c>
      <c r="P114" s="284">
        <v>123</v>
      </c>
      <c r="Q114" s="286">
        <v>4</v>
      </c>
      <c r="R114" s="274">
        <v>327</v>
      </c>
      <c r="S114" s="274">
        <v>4</v>
      </c>
      <c r="T114" s="287">
        <f t="shared" si="1"/>
        <v>2015</v>
      </c>
      <c r="U114" s="274">
        <f>VLOOKUP(A114,'[1]SB35 Determination Data'!$B$4:$F$542,5,FALSE)</f>
        <v>2015</v>
      </c>
    </row>
    <row r="115" spans="1:21" s="274" customFormat="1" ht="12.75" x14ac:dyDescent="0.2">
      <c r="A115" s="282" t="s">
        <v>238</v>
      </c>
      <c r="B115" s="282" t="s">
        <v>663</v>
      </c>
      <c r="C115" s="282" t="s">
        <v>654</v>
      </c>
      <c r="D115" s="283">
        <v>2015</v>
      </c>
      <c r="E115" s="282" t="s">
        <v>650</v>
      </c>
      <c r="F115" s="284">
        <v>94</v>
      </c>
      <c r="G115" s="285">
        <v>0</v>
      </c>
      <c r="H115" s="288">
        <v>0</v>
      </c>
      <c r="I115" s="285">
        <v>0</v>
      </c>
      <c r="J115" s="285">
        <v>54</v>
      </c>
      <c r="K115" s="284">
        <v>1</v>
      </c>
      <c r="L115" s="284">
        <v>1</v>
      </c>
      <c r="M115" s="284">
        <v>0</v>
      </c>
      <c r="N115" s="284">
        <v>56</v>
      </c>
      <c r="O115" s="284">
        <v>0</v>
      </c>
      <c r="P115" s="284">
        <v>123</v>
      </c>
      <c r="Q115" s="286">
        <v>2</v>
      </c>
      <c r="R115" s="274">
        <v>327</v>
      </c>
      <c r="S115" s="274">
        <v>3</v>
      </c>
      <c r="T115" s="287">
        <f t="shared" si="1"/>
        <v>2015</v>
      </c>
      <c r="U115" s="274">
        <f>VLOOKUP(A115,'[1]SB35 Determination Data'!$B$4:$F$542,5,FALSE)</f>
        <v>2015</v>
      </c>
    </row>
    <row r="116" spans="1:21" s="274" customFormat="1" ht="12.75" x14ac:dyDescent="0.2">
      <c r="A116" s="282" t="s">
        <v>238</v>
      </c>
      <c r="B116" s="282" t="s">
        <v>663</v>
      </c>
      <c r="C116" s="282" t="s">
        <v>654</v>
      </c>
      <c r="D116" s="283">
        <v>2016</v>
      </c>
      <c r="E116" s="282" t="s">
        <v>650</v>
      </c>
      <c r="F116" s="284">
        <v>94</v>
      </c>
      <c r="G116" s="285">
        <v>0</v>
      </c>
      <c r="H116" s="288">
        <v>0</v>
      </c>
      <c r="I116" s="285">
        <v>0</v>
      </c>
      <c r="J116" s="285">
        <v>54</v>
      </c>
      <c r="K116" s="284">
        <v>2</v>
      </c>
      <c r="L116" s="284">
        <v>2</v>
      </c>
      <c r="M116" s="284">
        <v>0</v>
      </c>
      <c r="N116" s="284">
        <v>56</v>
      </c>
      <c r="O116" s="284">
        <v>0</v>
      </c>
      <c r="P116" s="284">
        <v>123</v>
      </c>
      <c r="Q116" s="286">
        <v>1</v>
      </c>
      <c r="R116" s="274">
        <v>327</v>
      </c>
      <c r="S116" s="274">
        <v>3</v>
      </c>
      <c r="T116" s="287">
        <f t="shared" si="1"/>
        <v>2016</v>
      </c>
      <c r="U116" s="274">
        <f>VLOOKUP(A116,'[1]SB35 Determination Data'!$B$4:$F$542,5,FALSE)</f>
        <v>2015</v>
      </c>
    </row>
    <row r="117" spans="1:21" s="274" customFormat="1" ht="12.75" x14ac:dyDescent="0.2">
      <c r="A117" s="282" t="s">
        <v>238</v>
      </c>
      <c r="B117" s="282" t="s">
        <v>663</v>
      </c>
      <c r="C117" s="282" t="s">
        <v>654</v>
      </c>
      <c r="D117" s="283">
        <v>2017</v>
      </c>
      <c r="E117" s="282" t="s">
        <v>650</v>
      </c>
      <c r="F117" s="284">
        <v>94</v>
      </c>
      <c r="G117" s="285">
        <v>1</v>
      </c>
      <c r="H117" s="288">
        <v>1</v>
      </c>
      <c r="I117" s="285">
        <v>0</v>
      </c>
      <c r="J117" s="285">
        <v>54</v>
      </c>
      <c r="K117" s="284">
        <v>0</v>
      </c>
      <c r="L117" s="284">
        <v>0</v>
      </c>
      <c r="M117" s="284">
        <v>0</v>
      </c>
      <c r="N117" s="284">
        <v>56</v>
      </c>
      <c r="O117" s="284">
        <v>0</v>
      </c>
      <c r="P117" s="284">
        <v>123</v>
      </c>
      <c r="Q117" s="286">
        <v>8</v>
      </c>
      <c r="R117" s="274">
        <v>327</v>
      </c>
      <c r="S117" s="274">
        <v>9</v>
      </c>
      <c r="T117" s="287">
        <f t="shared" si="1"/>
        <v>2017</v>
      </c>
      <c r="U117" s="274">
        <f>VLOOKUP(A117,'[1]SB35 Determination Data'!$B$4:$F$542,5,FALSE)</f>
        <v>2015</v>
      </c>
    </row>
    <row r="118" spans="1:21" s="274" customFormat="1" ht="12.75" x14ac:dyDescent="0.2">
      <c r="A118" s="282" t="s">
        <v>146</v>
      </c>
      <c r="B118" s="282" t="s">
        <v>40</v>
      </c>
      <c r="C118" s="282" t="s">
        <v>654</v>
      </c>
      <c r="D118" s="283">
        <v>2015</v>
      </c>
      <c r="E118" s="282" t="s">
        <v>650</v>
      </c>
      <c r="F118" s="284">
        <v>532</v>
      </c>
      <c r="G118" s="285">
        <v>59</v>
      </c>
      <c r="H118" s="288">
        <v>59</v>
      </c>
      <c r="I118" s="285">
        <v>0</v>
      </c>
      <c r="J118" s="285">
        <v>442</v>
      </c>
      <c r="K118" s="284">
        <v>17</v>
      </c>
      <c r="L118" s="284">
        <v>17</v>
      </c>
      <c r="M118" s="284">
        <v>0</v>
      </c>
      <c r="N118" s="284">
        <v>584</v>
      </c>
      <c r="O118" s="284">
        <v>132</v>
      </c>
      <c r="P118" s="284">
        <v>1401</v>
      </c>
      <c r="Q118" s="286">
        <v>326</v>
      </c>
      <c r="R118" s="274">
        <v>2959</v>
      </c>
      <c r="S118" s="274">
        <v>534</v>
      </c>
      <c r="T118" s="287">
        <f t="shared" si="1"/>
        <v>2015</v>
      </c>
      <c r="U118" s="274">
        <f>VLOOKUP(A118,'[1]SB35 Determination Data'!$B$4:$F$542,5,FALSE)</f>
        <v>2015</v>
      </c>
    </row>
    <row r="119" spans="1:21" s="274" customFormat="1" ht="12.75" x14ac:dyDescent="0.2">
      <c r="A119" s="282" t="s">
        <v>146</v>
      </c>
      <c r="B119" s="282" t="s">
        <v>40</v>
      </c>
      <c r="C119" s="282" t="s">
        <v>654</v>
      </c>
      <c r="D119" s="283">
        <v>2016</v>
      </c>
      <c r="E119" s="282" t="s">
        <v>650</v>
      </c>
      <c r="F119" s="284">
        <v>532</v>
      </c>
      <c r="G119" s="285">
        <v>16</v>
      </c>
      <c r="H119" s="288">
        <v>16</v>
      </c>
      <c r="I119" s="285">
        <v>0</v>
      </c>
      <c r="J119" s="285">
        <v>442</v>
      </c>
      <c r="K119" s="284">
        <v>0</v>
      </c>
      <c r="L119" s="284">
        <v>0</v>
      </c>
      <c r="M119" s="284">
        <v>0</v>
      </c>
      <c r="N119" s="284">
        <v>584</v>
      </c>
      <c r="O119" s="284">
        <v>0</v>
      </c>
      <c r="P119" s="284">
        <v>1401</v>
      </c>
      <c r="Q119" s="286">
        <v>212</v>
      </c>
      <c r="R119" s="274">
        <v>2959</v>
      </c>
      <c r="S119" s="274">
        <v>228</v>
      </c>
      <c r="T119" s="287">
        <f t="shared" si="1"/>
        <v>2016</v>
      </c>
      <c r="U119" s="274">
        <f>VLOOKUP(A119,'[1]SB35 Determination Data'!$B$4:$F$542,5,FALSE)</f>
        <v>2015</v>
      </c>
    </row>
    <row r="120" spans="1:21" s="274" customFormat="1" ht="12.75" x14ac:dyDescent="0.2">
      <c r="A120" s="282" t="s">
        <v>146</v>
      </c>
      <c r="B120" s="282" t="s">
        <v>40</v>
      </c>
      <c r="C120" s="282" t="s">
        <v>654</v>
      </c>
      <c r="D120" s="283">
        <v>2017</v>
      </c>
      <c r="E120" s="282" t="s">
        <v>650</v>
      </c>
      <c r="F120" s="284">
        <v>532</v>
      </c>
      <c r="G120" s="285">
        <v>10</v>
      </c>
      <c r="H120" s="288">
        <v>10</v>
      </c>
      <c r="I120" s="285">
        <v>0</v>
      </c>
      <c r="J120" s="285">
        <v>442</v>
      </c>
      <c r="K120" s="284">
        <v>0</v>
      </c>
      <c r="L120" s="284">
        <v>0</v>
      </c>
      <c r="M120" s="284">
        <v>0</v>
      </c>
      <c r="N120" s="284">
        <v>584</v>
      </c>
      <c r="O120" s="284">
        <v>0</v>
      </c>
      <c r="P120" s="284">
        <v>1401</v>
      </c>
      <c r="Q120" s="286">
        <v>262</v>
      </c>
      <c r="R120" s="274">
        <v>2959</v>
      </c>
      <c r="S120" s="274">
        <v>272</v>
      </c>
      <c r="T120" s="287">
        <f t="shared" si="1"/>
        <v>2017</v>
      </c>
      <c r="U120" s="274">
        <f>VLOOKUP(A120,'[1]SB35 Determination Data'!$B$4:$F$542,5,FALSE)</f>
        <v>2015</v>
      </c>
    </row>
    <row r="121" spans="1:21" s="274" customFormat="1" ht="12.75" x14ac:dyDescent="0.2">
      <c r="A121" s="282" t="s">
        <v>241</v>
      </c>
      <c r="B121" s="282" t="s">
        <v>262</v>
      </c>
      <c r="C121" s="282" t="s">
        <v>649</v>
      </c>
      <c r="D121" s="283">
        <v>2014</v>
      </c>
      <c r="E121" s="282" t="s">
        <v>650</v>
      </c>
      <c r="F121" s="284">
        <v>1</v>
      </c>
      <c r="G121" s="285">
        <v>2</v>
      </c>
      <c r="H121" s="288">
        <v>0</v>
      </c>
      <c r="I121" s="285">
        <v>2</v>
      </c>
      <c r="J121" s="285">
        <v>1</v>
      </c>
      <c r="K121" s="284">
        <v>3</v>
      </c>
      <c r="L121" s="284">
        <v>3</v>
      </c>
      <c r="M121" s="284">
        <v>0</v>
      </c>
      <c r="N121" s="284">
        <v>1</v>
      </c>
      <c r="O121" s="284">
        <v>0</v>
      </c>
      <c r="P121" s="284">
        <v>0</v>
      </c>
      <c r="Q121" s="286">
        <v>38</v>
      </c>
      <c r="R121" s="274">
        <v>3</v>
      </c>
      <c r="S121" s="274">
        <v>43</v>
      </c>
      <c r="T121" s="287">
        <f t="shared" si="1"/>
        <v>2014</v>
      </c>
      <c r="U121" s="274">
        <f>VLOOKUP(A121,'[1]SB35 Determination Data'!$B$4:$F$542,5,FALSE)</f>
        <v>2014</v>
      </c>
    </row>
    <row r="122" spans="1:21" s="274" customFormat="1" ht="12.75" x14ac:dyDescent="0.2">
      <c r="A122" s="282" t="s">
        <v>241</v>
      </c>
      <c r="B122" s="282" t="s">
        <v>262</v>
      </c>
      <c r="C122" s="282" t="s">
        <v>649</v>
      </c>
      <c r="D122" s="283">
        <v>2015</v>
      </c>
      <c r="E122" s="282" t="s">
        <v>650</v>
      </c>
      <c r="F122" s="284">
        <v>1</v>
      </c>
      <c r="G122" s="285">
        <v>2</v>
      </c>
      <c r="H122" s="288">
        <v>2</v>
      </c>
      <c r="I122" s="285">
        <v>0</v>
      </c>
      <c r="J122" s="285">
        <v>1</v>
      </c>
      <c r="K122" s="284">
        <v>0</v>
      </c>
      <c r="L122" s="284">
        <v>0</v>
      </c>
      <c r="M122" s="284">
        <v>0</v>
      </c>
      <c r="N122" s="284">
        <v>1</v>
      </c>
      <c r="O122" s="284">
        <v>0</v>
      </c>
      <c r="P122" s="284">
        <v>0</v>
      </c>
      <c r="Q122" s="286">
        <v>21</v>
      </c>
      <c r="R122" s="274">
        <v>3</v>
      </c>
      <c r="S122" s="274">
        <v>23</v>
      </c>
      <c r="T122" s="287">
        <f t="shared" si="1"/>
        <v>2015</v>
      </c>
      <c r="U122" s="274">
        <f>VLOOKUP(A122,'[1]SB35 Determination Data'!$B$4:$F$542,5,FALSE)</f>
        <v>2014</v>
      </c>
    </row>
    <row r="123" spans="1:21" s="274" customFormat="1" ht="12.75" x14ac:dyDescent="0.2">
      <c r="A123" s="282" t="s">
        <v>241</v>
      </c>
      <c r="B123" s="282" t="s">
        <v>262</v>
      </c>
      <c r="C123" s="282" t="s">
        <v>649</v>
      </c>
      <c r="D123" s="283">
        <v>2016</v>
      </c>
      <c r="E123" s="282" t="s">
        <v>650</v>
      </c>
      <c r="F123" s="284">
        <v>1</v>
      </c>
      <c r="G123" s="285">
        <v>0</v>
      </c>
      <c r="H123" s="288">
        <v>0</v>
      </c>
      <c r="I123" s="285">
        <v>0</v>
      </c>
      <c r="J123" s="285">
        <v>1</v>
      </c>
      <c r="K123" s="284">
        <v>0</v>
      </c>
      <c r="L123" s="284">
        <v>0</v>
      </c>
      <c r="M123" s="284">
        <v>0</v>
      </c>
      <c r="N123" s="284">
        <v>1</v>
      </c>
      <c r="O123" s="284">
        <v>2</v>
      </c>
      <c r="P123" s="284">
        <v>0</v>
      </c>
      <c r="Q123" s="286">
        <v>16</v>
      </c>
      <c r="R123" s="274">
        <v>3</v>
      </c>
      <c r="S123" s="274">
        <v>18</v>
      </c>
      <c r="T123" s="287">
        <f t="shared" si="1"/>
        <v>2016</v>
      </c>
      <c r="U123" s="274">
        <f>VLOOKUP(A123,'[1]SB35 Determination Data'!$B$4:$F$542,5,FALSE)</f>
        <v>2014</v>
      </c>
    </row>
    <row r="124" spans="1:21" s="274" customFormat="1" ht="12.75" x14ac:dyDescent="0.2">
      <c r="A124" s="282" t="s">
        <v>241</v>
      </c>
      <c r="B124" s="282" t="s">
        <v>262</v>
      </c>
      <c r="C124" s="282" t="s">
        <v>649</v>
      </c>
      <c r="D124" s="283">
        <v>2017</v>
      </c>
      <c r="E124" s="282" t="s">
        <v>650</v>
      </c>
      <c r="F124" s="284">
        <v>1</v>
      </c>
      <c r="G124" s="285">
        <v>0</v>
      </c>
      <c r="H124" s="288">
        <v>0</v>
      </c>
      <c r="I124" s="285">
        <v>0</v>
      </c>
      <c r="J124" s="285">
        <v>1</v>
      </c>
      <c r="K124" s="284">
        <v>0</v>
      </c>
      <c r="L124" s="284">
        <v>0</v>
      </c>
      <c r="M124" s="284">
        <v>0</v>
      </c>
      <c r="N124" s="284">
        <v>1</v>
      </c>
      <c r="O124" s="284">
        <v>0</v>
      </c>
      <c r="P124" s="284">
        <v>0</v>
      </c>
      <c r="Q124" s="286">
        <v>16</v>
      </c>
      <c r="R124" s="274">
        <v>3</v>
      </c>
      <c r="S124" s="274">
        <v>16</v>
      </c>
      <c r="T124" s="287">
        <f t="shared" si="1"/>
        <v>2017</v>
      </c>
      <c r="U124" s="274">
        <f>VLOOKUP(A124,'[1]SB35 Determination Data'!$B$4:$F$542,5,FALSE)</f>
        <v>2014</v>
      </c>
    </row>
    <row r="125" spans="1:21" s="274" customFormat="1" ht="12.75" x14ac:dyDescent="0.2">
      <c r="A125" s="282" t="s">
        <v>243</v>
      </c>
      <c r="B125" s="282" t="s">
        <v>542</v>
      </c>
      <c r="C125" s="282" t="s">
        <v>649</v>
      </c>
      <c r="D125" s="283">
        <v>2017</v>
      </c>
      <c r="E125" s="282" t="s">
        <v>650</v>
      </c>
      <c r="F125" s="284">
        <v>1</v>
      </c>
      <c r="G125" s="285">
        <v>0</v>
      </c>
      <c r="H125" s="288">
        <v>0</v>
      </c>
      <c r="I125" s="285">
        <v>0</v>
      </c>
      <c r="J125" s="285">
        <v>1</v>
      </c>
      <c r="K125" s="284">
        <v>0</v>
      </c>
      <c r="L125" s="284">
        <v>0</v>
      </c>
      <c r="M125" s="284">
        <v>0</v>
      </c>
      <c r="N125" s="284">
        <v>0</v>
      </c>
      <c r="O125" s="284">
        <v>4</v>
      </c>
      <c r="P125" s="284">
        <v>0</v>
      </c>
      <c r="Q125" s="286">
        <v>23</v>
      </c>
      <c r="R125" s="274">
        <v>2</v>
      </c>
      <c r="S125" s="274">
        <v>27</v>
      </c>
      <c r="T125" s="287">
        <f t="shared" si="1"/>
        <v>2017</v>
      </c>
      <c r="U125" s="274">
        <f>VLOOKUP(A125,'[1]SB35 Determination Data'!$B$4:$F$542,5,FALSE)</f>
        <v>2014</v>
      </c>
    </row>
    <row r="126" spans="1:21" s="274" customFormat="1" ht="12.75" x14ac:dyDescent="0.2">
      <c r="A126" s="282" t="s">
        <v>231</v>
      </c>
      <c r="B126" s="282" t="s">
        <v>109</v>
      </c>
      <c r="C126" s="282" t="s">
        <v>717</v>
      </c>
      <c r="D126" s="283">
        <v>2014</v>
      </c>
      <c r="E126" s="282" t="s">
        <v>650</v>
      </c>
      <c r="F126" s="284">
        <v>48</v>
      </c>
      <c r="G126" s="285">
        <v>0</v>
      </c>
      <c r="H126" s="288">
        <v>0</v>
      </c>
      <c r="I126" s="285">
        <v>0</v>
      </c>
      <c r="J126" s="285">
        <v>30</v>
      </c>
      <c r="K126" s="284">
        <v>0</v>
      </c>
      <c r="L126" s="284">
        <v>0</v>
      </c>
      <c r="M126" s="284">
        <v>0</v>
      </c>
      <c r="N126" s="284">
        <v>24</v>
      </c>
      <c r="O126" s="284">
        <v>0</v>
      </c>
      <c r="P126" s="284">
        <v>82</v>
      </c>
      <c r="Q126" s="286">
        <v>0</v>
      </c>
      <c r="R126" s="274">
        <v>184</v>
      </c>
      <c r="S126" s="274">
        <v>0</v>
      </c>
      <c r="T126" s="287">
        <f t="shared" si="1"/>
        <v>2014</v>
      </c>
      <c r="U126" s="274">
        <f>VLOOKUP(A126,'[1]SB35 Determination Data'!$B$4:$F$542,5,FALSE)</f>
        <v>2014</v>
      </c>
    </row>
    <row r="127" spans="1:21" s="274" customFormat="1" ht="12.75" x14ac:dyDescent="0.2">
      <c r="A127" s="282" t="s">
        <v>231</v>
      </c>
      <c r="B127" s="282" t="s">
        <v>109</v>
      </c>
      <c r="C127" s="282" t="s">
        <v>717</v>
      </c>
      <c r="D127" s="283">
        <v>2015</v>
      </c>
      <c r="E127" s="282" t="s">
        <v>650</v>
      </c>
      <c r="F127" s="284">
        <v>48</v>
      </c>
      <c r="G127" s="285">
        <v>26</v>
      </c>
      <c r="H127" s="288">
        <v>26</v>
      </c>
      <c r="I127" s="285">
        <v>0</v>
      </c>
      <c r="J127" s="285">
        <v>30</v>
      </c>
      <c r="K127" s="284">
        <v>30</v>
      </c>
      <c r="L127" s="284">
        <v>30</v>
      </c>
      <c r="M127" s="284">
        <v>0</v>
      </c>
      <c r="N127" s="284">
        <v>24</v>
      </c>
      <c r="O127" s="284">
        <v>0</v>
      </c>
      <c r="P127" s="284">
        <v>82</v>
      </c>
      <c r="Q127" s="286">
        <v>0</v>
      </c>
      <c r="R127" s="274">
        <v>184</v>
      </c>
      <c r="S127" s="274">
        <v>56</v>
      </c>
      <c r="T127" s="287">
        <f t="shared" si="1"/>
        <v>2015</v>
      </c>
      <c r="U127" s="274">
        <f>VLOOKUP(A127,'[1]SB35 Determination Data'!$B$4:$F$542,5,FALSE)</f>
        <v>2014</v>
      </c>
    </row>
    <row r="128" spans="1:21" s="274" customFormat="1" ht="12.75" x14ac:dyDescent="0.2">
      <c r="A128" s="282" t="s">
        <v>231</v>
      </c>
      <c r="B128" s="282" t="s">
        <v>109</v>
      </c>
      <c r="C128" s="282" t="s">
        <v>717</v>
      </c>
      <c r="D128" s="283">
        <v>2017</v>
      </c>
      <c r="E128" s="282" t="s">
        <v>650</v>
      </c>
      <c r="F128" s="284">
        <v>48</v>
      </c>
      <c r="G128" s="285">
        <v>0</v>
      </c>
      <c r="H128" s="288">
        <v>0</v>
      </c>
      <c r="I128" s="285">
        <v>0</v>
      </c>
      <c r="J128" s="285">
        <v>30</v>
      </c>
      <c r="K128" s="284">
        <v>0</v>
      </c>
      <c r="L128" s="284">
        <v>0</v>
      </c>
      <c r="M128" s="284">
        <v>0</v>
      </c>
      <c r="N128" s="284">
        <v>24</v>
      </c>
      <c r="O128" s="284">
        <v>1</v>
      </c>
      <c r="P128" s="284">
        <v>82</v>
      </c>
      <c r="Q128" s="286">
        <v>0</v>
      </c>
      <c r="R128" s="274">
        <v>184</v>
      </c>
      <c r="S128" s="274">
        <v>1</v>
      </c>
      <c r="T128" s="287">
        <f t="shared" si="1"/>
        <v>2017</v>
      </c>
      <c r="U128" s="274">
        <f>VLOOKUP(A128,'[1]SB35 Determination Data'!$B$4:$F$542,5,FALSE)</f>
        <v>2014</v>
      </c>
    </row>
    <row r="129" spans="1:21" s="274" customFormat="1" ht="12.75" x14ac:dyDescent="0.2">
      <c r="A129" s="282" t="s">
        <v>245</v>
      </c>
      <c r="B129" s="282" t="s">
        <v>204</v>
      </c>
      <c r="C129" s="282" t="s">
        <v>660</v>
      </c>
      <c r="D129" s="283">
        <v>2014</v>
      </c>
      <c r="E129" s="282" t="s">
        <v>650</v>
      </c>
      <c r="F129" s="284">
        <v>15</v>
      </c>
      <c r="G129" s="285">
        <v>0</v>
      </c>
      <c r="H129" s="288">
        <v>0</v>
      </c>
      <c r="I129" s="285">
        <v>0</v>
      </c>
      <c r="J129" s="285">
        <v>10</v>
      </c>
      <c r="K129" s="284">
        <v>0</v>
      </c>
      <c r="L129" s="284">
        <v>0</v>
      </c>
      <c r="M129" s="284">
        <v>0</v>
      </c>
      <c r="N129" s="284">
        <v>12</v>
      </c>
      <c r="O129" s="284">
        <v>0</v>
      </c>
      <c r="P129" s="284">
        <v>28</v>
      </c>
      <c r="Q129" s="286">
        <v>0</v>
      </c>
      <c r="R129" s="274">
        <v>65</v>
      </c>
      <c r="S129" s="274">
        <v>0</v>
      </c>
      <c r="T129" s="287">
        <f t="shared" si="1"/>
        <v>2014</v>
      </c>
      <c r="U129" s="274">
        <f>VLOOKUP(A129,'[1]SB35 Determination Data'!$B$4:$F$542,5,FALSE)</f>
        <v>2014</v>
      </c>
    </row>
    <row r="130" spans="1:21" s="274" customFormat="1" ht="12.75" x14ac:dyDescent="0.2">
      <c r="A130" s="282" t="s">
        <v>245</v>
      </c>
      <c r="B130" s="282" t="s">
        <v>204</v>
      </c>
      <c r="C130" s="282" t="s">
        <v>660</v>
      </c>
      <c r="D130" s="283">
        <v>2015</v>
      </c>
      <c r="E130" s="282" t="s">
        <v>650</v>
      </c>
      <c r="F130" s="284">
        <v>15</v>
      </c>
      <c r="G130" s="285">
        <v>0</v>
      </c>
      <c r="H130" s="288">
        <v>0</v>
      </c>
      <c r="I130" s="285">
        <v>0</v>
      </c>
      <c r="J130" s="285">
        <v>10</v>
      </c>
      <c r="K130" s="284">
        <v>1</v>
      </c>
      <c r="L130" s="284">
        <v>1</v>
      </c>
      <c r="M130" s="284">
        <v>0</v>
      </c>
      <c r="N130" s="289">
        <v>12</v>
      </c>
      <c r="O130" s="284">
        <v>2</v>
      </c>
      <c r="P130" s="284">
        <v>28</v>
      </c>
      <c r="Q130" s="286">
        <v>0</v>
      </c>
      <c r="R130" s="274">
        <v>65</v>
      </c>
      <c r="S130" s="274">
        <v>3</v>
      </c>
      <c r="T130" s="287">
        <f t="shared" si="1"/>
        <v>2015</v>
      </c>
      <c r="U130" s="274">
        <f>VLOOKUP(A130,'[1]SB35 Determination Data'!$B$4:$F$542,5,FALSE)</f>
        <v>2014</v>
      </c>
    </row>
    <row r="131" spans="1:21" s="274" customFormat="1" ht="12.75" x14ac:dyDescent="0.2">
      <c r="A131" s="282" t="s">
        <v>245</v>
      </c>
      <c r="B131" s="282" t="s">
        <v>204</v>
      </c>
      <c r="C131" s="282" t="s">
        <v>660</v>
      </c>
      <c r="D131" s="283">
        <v>2016</v>
      </c>
      <c r="E131" s="282" t="s">
        <v>650</v>
      </c>
      <c r="F131" s="284">
        <v>15</v>
      </c>
      <c r="G131" s="285">
        <v>0</v>
      </c>
      <c r="H131" s="288">
        <v>0</v>
      </c>
      <c r="I131" s="285">
        <v>0</v>
      </c>
      <c r="J131" s="285">
        <v>10</v>
      </c>
      <c r="K131" s="284">
        <v>0</v>
      </c>
      <c r="L131" s="284">
        <v>0</v>
      </c>
      <c r="M131" s="284">
        <v>0</v>
      </c>
      <c r="N131" s="284">
        <v>12</v>
      </c>
      <c r="O131" s="284">
        <v>6</v>
      </c>
      <c r="P131" s="284">
        <v>28</v>
      </c>
      <c r="Q131" s="286">
        <v>0</v>
      </c>
      <c r="R131" s="274">
        <v>65</v>
      </c>
      <c r="S131" s="274">
        <v>6</v>
      </c>
      <c r="T131" s="287">
        <f t="shared" si="1"/>
        <v>2016</v>
      </c>
      <c r="U131" s="274">
        <f>VLOOKUP(A131,'[1]SB35 Determination Data'!$B$4:$F$542,5,FALSE)</f>
        <v>2014</v>
      </c>
    </row>
    <row r="132" spans="1:21" s="274" customFormat="1" ht="12.75" x14ac:dyDescent="0.2">
      <c r="A132" s="282" t="s">
        <v>245</v>
      </c>
      <c r="B132" s="282" t="s">
        <v>204</v>
      </c>
      <c r="C132" s="282" t="s">
        <v>660</v>
      </c>
      <c r="D132" s="283">
        <v>2017</v>
      </c>
      <c r="E132" s="282" t="s">
        <v>650</v>
      </c>
      <c r="F132" s="284">
        <v>15</v>
      </c>
      <c r="G132" s="285">
        <v>0</v>
      </c>
      <c r="H132" s="288">
        <v>0</v>
      </c>
      <c r="I132" s="285">
        <v>0</v>
      </c>
      <c r="J132" s="285">
        <v>10</v>
      </c>
      <c r="K132" s="284">
        <v>0</v>
      </c>
      <c r="L132" s="284">
        <v>0</v>
      </c>
      <c r="M132" s="284">
        <v>0</v>
      </c>
      <c r="N132" s="284">
        <v>12</v>
      </c>
      <c r="O132" s="284">
        <v>0</v>
      </c>
      <c r="P132" s="284">
        <v>28</v>
      </c>
      <c r="Q132" s="286">
        <v>0</v>
      </c>
      <c r="R132" s="274">
        <v>65</v>
      </c>
      <c r="S132" s="274">
        <v>0</v>
      </c>
      <c r="T132" s="287">
        <f t="shared" ref="T132:T195" si="2">IF(D132&gt;U132,D132,U132)</f>
        <v>2017</v>
      </c>
      <c r="U132" s="274">
        <f>VLOOKUP(A132,'[1]SB35 Determination Data'!$B$4:$F$542,5,FALSE)</f>
        <v>2014</v>
      </c>
    </row>
    <row r="133" spans="1:21" s="274" customFormat="1" ht="12.75" x14ac:dyDescent="0.2">
      <c r="A133" s="282" t="s">
        <v>249</v>
      </c>
      <c r="B133" s="282" t="s">
        <v>189</v>
      </c>
      <c r="C133" s="282" t="s">
        <v>649</v>
      </c>
      <c r="D133" s="283">
        <v>2014</v>
      </c>
      <c r="E133" s="282" t="s">
        <v>650</v>
      </c>
      <c r="F133" s="284">
        <v>760</v>
      </c>
      <c r="G133" s="285">
        <v>8</v>
      </c>
      <c r="H133" s="288">
        <v>8</v>
      </c>
      <c r="I133" s="285">
        <v>0</v>
      </c>
      <c r="J133" s="285">
        <v>470</v>
      </c>
      <c r="K133" s="284">
        <v>5</v>
      </c>
      <c r="L133" s="284">
        <v>5</v>
      </c>
      <c r="M133" s="284">
        <v>0</v>
      </c>
      <c r="N133" s="284">
        <v>466</v>
      </c>
      <c r="O133" s="284">
        <v>0</v>
      </c>
      <c r="P133" s="284">
        <v>1338</v>
      </c>
      <c r="Q133" s="286">
        <v>6</v>
      </c>
      <c r="R133" s="274">
        <v>3034</v>
      </c>
      <c r="S133" s="274">
        <v>19</v>
      </c>
      <c r="T133" s="287">
        <f t="shared" si="2"/>
        <v>2014</v>
      </c>
      <c r="U133" s="274">
        <f>VLOOKUP(A133,'[1]SB35 Determination Data'!$B$4:$F$542,5,FALSE)</f>
        <v>2014</v>
      </c>
    </row>
    <row r="134" spans="1:21" s="274" customFormat="1" ht="12.75" x14ac:dyDescent="0.2">
      <c r="A134" s="282" t="s">
        <v>249</v>
      </c>
      <c r="B134" s="282" t="s">
        <v>189</v>
      </c>
      <c r="C134" s="282" t="s">
        <v>649</v>
      </c>
      <c r="D134" s="283">
        <v>2015</v>
      </c>
      <c r="E134" s="282" t="s">
        <v>650</v>
      </c>
      <c r="F134" s="284">
        <v>760</v>
      </c>
      <c r="G134" s="285">
        <v>20</v>
      </c>
      <c r="H134" s="288">
        <v>20</v>
      </c>
      <c r="I134" s="285">
        <v>0</v>
      </c>
      <c r="J134" s="285">
        <v>470</v>
      </c>
      <c r="K134" s="284">
        <v>27</v>
      </c>
      <c r="L134" s="284">
        <v>27</v>
      </c>
      <c r="M134" s="284">
        <v>0</v>
      </c>
      <c r="N134" s="284">
        <v>466</v>
      </c>
      <c r="O134" s="284">
        <v>0</v>
      </c>
      <c r="P134" s="284">
        <v>1338</v>
      </c>
      <c r="Q134" s="286">
        <v>0</v>
      </c>
      <c r="R134" s="274">
        <v>3034</v>
      </c>
      <c r="S134" s="274">
        <v>47</v>
      </c>
      <c r="T134" s="287">
        <f t="shared" si="2"/>
        <v>2015</v>
      </c>
      <c r="U134" s="274">
        <f>VLOOKUP(A134,'[1]SB35 Determination Data'!$B$4:$F$542,5,FALSE)</f>
        <v>2014</v>
      </c>
    </row>
    <row r="135" spans="1:21" s="274" customFormat="1" ht="12.75" x14ac:dyDescent="0.2">
      <c r="A135" s="282" t="s">
        <v>249</v>
      </c>
      <c r="B135" s="282" t="s">
        <v>189</v>
      </c>
      <c r="C135" s="282" t="s">
        <v>649</v>
      </c>
      <c r="D135" s="283">
        <v>2016</v>
      </c>
      <c r="E135" s="282" t="s">
        <v>650</v>
      </c>
      <c r="F135" s="284">
        <v>760</v>
      </c>
      <c r="G135" s="285">
        <v>5</v>
      </c>
      <c r="H135" s="288">
        <v>5</v>
      </c>
      <c r="I135" s="285">
        <v>0</v>
      </c>
      <c r="J135" s="285">
        <v>470</v>
      </c>
      <c r="K135" s="284">
        <v>7</v>
      </c>
      <c r="L135" s="284">
        <v>7</v>
      </c>
      <c r="M135" s="284">
        <v>0</v>
      </c>
      <c r="N135" s="289">
        <v>466</v>
      </c>
      <c r="O135" s="284">
        <v>54</v>
      </c>
      <c r="P135" s="284">
        <v>1338</v>
      </c>
      <c r="Q135" s="286">
        <v>0</v>
      </c>
      <c r="R135" s="274">
        <v>3034</v>
      </c>
      <c r="S135" s="274">
        <v>66</v>
      </c>
      <c r="T135" s="287">
        <f t="shared" si="2"/>
        <v>2016</v>
      </c>
      <c r="U135" s="274">
        <f>VLOOKUP(A135,'[1]SB35 Determination Data'!$B$4:$F$542,5,FALSE)</f>
        <v>2014</v>
      </c>
    </row>
    <row r="136" spans="1:21" s="274" customFormat="1" ht="12.75" x14ac:dyDescent="0.2">
      <c r="A136" s="282" t="s">
        <v>249</v>
      </c>
      <c r="B136" s="282" t="s">
        <v>189</v>
      </c>
      <c r="C136" s="282" t="s">
        <v>649</v>
      </c>
      <c r="D136" s="283">
        <v>2017</v>
      </c>
      <c r="E136" s="282" t="s">
        <v>650</v>
      </c>
      <c r="F136" s="284">
        <v>760</v>
      </c>
      <c r="G136" s="285">
        <v>6</v>
      </c>
      <c r="H136" s="288">
        <v>4</v>
      </c>
      <c r="I136" s="285">
        <v>2</v>
      </c>
      <c r="J136" s="285">
        <v>470</v>
      </c>
      <c r="K136" s="284">
        <v>14</v>
      </c>
      <c r="L136" s="284">
        <v>12</v>
      </c>
      <c r="M136" s="284">
        <v>2</v>
      </c>
      <c r="N136" s="284">
        <v>466</v>
      </c>
      <c r="O136" s="284">
        <v>40</v>
      </c>
      <c r="P136" s="284">
        <v>1338</v>
      </c>
      <c r="Q136" s="286">
        <v>3</v>
      </c>
      <c r="R136" s="274">
        <v>3034</v>
      </c>
      <c r="S136" s="274">
        <v>63</v>
      </c>
      <c r="T136" s="287">
        <f t="shared" si="2"/>
        <v>2017</v>
      </c>
      <c r="U136" s="274">
        <f>VLOOKUP(A136,'[1]SB35 Determination Data'!$B$4:$F$542,5,FALSE)</f>
        <v>2014</v>
      </c>
    </row>
    <row r="137" spans="1:21" s="274" customFormat="1" ht="12.75" x14ac:dyDescent="0.2">
      <c r="A137" s="282" t="s">
        <v>250</v>
      </c>
      <c r="B137" s="282" t="s">
        <v>436</v>
      </c>
      <c r="C137" s="282" t="s">
        <v>649</v>
      </c>
      <c r="D137" s="283">
        <v>2014</v>
      </c>
      <c r="E137" s="282" t="s">
        <v>650</v>
      </c>
      <c r="F137" s="284">
        <v>426</v>
      </c>
      <c r="G137" s="285">
        <v>0</v>
      </c>
      <c r="H137" s="288">
        <v>0</v>
      </c>
      <c r="I137" s="285">
        <v>0</v>
      </c>
      <c r="J137" s="285">
        <v>305</v>
      </c>
      <c r="K137" s="284">
        <v>0</v>
      </c>
      <c r="L137" s="284">
        <v>0</v>
      </c>
      <c r="M137" s="284">
        <v>0</v>
      </c>
      <c r="N137" s="284">
        <v>335</v>
      </c>
      <c r="O137" s="284">
        <v>0</v>
      </c>
      <c r="P137" s="284">
        <v>785</v>
      </c>
      <c r="Q137" s="286">
        <v>321</v>
      </c>
      <c r="R137" s="274">
        <v>1851</v>
      </c>
      <c r="S137" s="274">
        <v>321</v>
      </c>
      <c r="T137" s="287">
        <f t="shared" si="2"/>
        <v>2014</v>
      </c>
      <c r="U137" s="274">
        <f>VLOOKUP(A137,'[1]SB35 Determination Data'!$B$4:$F$542,5,FALSE)</f>
        <v>2014</v>
      </c>
    </row>
    <row r="138" spans="1:21" s="274" customFormat="1" ht="12.75" x14ac:dyDescent="0.2">
      <c r="A138" s="282" t="s">
        <v>250</v>
      </c>
      <c r="B138" s="282" t="s">
        <v>436</v>
      </c>
      <c r="C138" s="282" t="s">
        <v>649</v>
      </c>
      <c r="D138" s="283">
        <v>2015</v>
      </c>
      <c r="E138" s="282" t="s">
        <v>650</v>
      </c>
      <c r="F138" s="284">
        <v>426</v>
      </c>
      <c r="G138" s="285">
        <v>0</v>
      </c>
      <c r="H138" s="288">
        <v>0</v>
      </c>
      <c r="I138" s="285">
        <v>0</v>
      </c>
      <c r="J138" s="285">
        <v>305</v>
      </c>
      <c r="K138" s="284">
        <v>0</v>
      </c>
      <c r="L138" s="284">
        <v>0</v>
      </c>
      <c r="M138" s="284">
        <v>0</v>
      </c>
      <c r="N138" s="284">
        <v>335</v>
      </c>
      <c r="O138" s="284">
        <v>0</v>
      </c>
      <c r="P138" s="284">
        <v>785</v>
      </c>
      <c r="Q138" s="286">
        <v>461</v>
      </c>
      <c r="R138" s="274">
        <v>1851</v>
      </c>
      <c r="S138" s="274">
        <v>461</v>
      </c>
      <c r="T138" s="287">
        <f t="shared" si="2"/>
        <v>2015</v>
      </c>
      <c r="U138" s="274">
        <f>VLOOKUP(A138,'[1]SB35 Determination Data'!$B$4:$F$542,5,FALSE)</f>
        <v>2014</v>
      </c>
    </row>
    <row r="139" spans="1:21" s="274" customFormat="1" ht="12.75" x14ac:dyDescent="0.2">
      <c r="A139" s="282" t="s">
        <v>250</v>
      </c>
      <c r="B139" s="282" t="s">
        <v>436</v>
      </c>
      <c r="C139" s="282" t="s">
        <v>649</v>
      </c>
      <c r="D139" s="283">
        <v>2016</v>
      </c>
      <c r="E139" s="282" t="s">
        <v>650</v>
      </c>
      <c r="F139" s="284">
        <v>426</v>
      </c>
      <c r="G139" s="285">
        <v>0</v>
      </c>
      <c r="H139" s="288">
        <v>0</v>
      </c>
      <c r="I139" s="285">
        <v>0</v>
      </c>
      <c r="J139" s="285">
        <v>305</v>
      </c>
      <c r="K139" s="284">
        <v>0</v>
      </c>
      <c r="L139" s="284">
        <v>0</v>
      </c>
      <c r="M139" s="284">
        <v>0</v>
      </c>
      <c r="N139" s="284">
        <v>335</v>
      </c>
      <c r="O139" s="284">
        <v>0</v>
      </c>
      <c r="P139" s="284">
        <v>785</v>
      </c>
      <c r="Q139" s="286">
        <v>194</v>
      </c>
      <c r="R139" s="274">
        <v>1851</v>
      </c>
      <c r="S139" s="274">
        <v>194</v>
      </c>
      <c r="T139" s="287">
        <f t="shared" si="2"/>
        <v>2016</v>
      </c>
      <c r="U139" s="274">
        <f>VLOOKUP(A139,'[1]SB35 Determination Data'!$B$4:$F$542,5,FALSE)</f>
        <v>2014</v>
      </c>
    </row>
    <row r="140" spans="1:21" s="274" customFormat="1" ht="12.75" x14ac:dyDescent="0.2">
      <c r="A140" s="282" t="s">
        <v>250</v>
      </c>
      <c r="B140" s="282" t="s">
        <v>436</v>
      </c>
      <c r="C140" s="282" t="s">
        <v>649</v>
      </c>
      <c r="D140" s="283">
        <v>2017</v>
      </c>
      <c r="E140" s="282" t="s">
        <v>650</v>
      </c>
      <c r="F140" s="284">
        <v>426</v>
      </c>
      <c r="G140" s="285">
        <v>0</v>
      </c>
      <c r="H140" s="288">
        <v>0</v>
      </c>
      <c r="I140" s="285">
        <v>0</v>
      </c>
      <c r="J140" s="285">
        <v>305</v>
      </c>
      <c r="K140" s="284">
        <v>0</v>
      </c>
      <c r="L140" s="284">
        <v>0</v>
      </c>
      <c r="M140" s="284">
        <v>0</v>
      </c>
      <c r="N140" s="284">
        <v>335</v>
      </c>
      <c r="O140" s="284">
        <v>21</v>
      </c>
      <c r="P140" s="284">
        <v>785</v>
      </c>
      <c r="Q140" s="286">
        <v>435</v>
      </c>
      <c r="R140" s="274">
        <v>1851</v>
      </c>
      <c r="S140" s="274">
        <v>456</v>
      </c>
      <c r="T140" s="287">
        <f t="shared" si="2"/>
        <v>2017</v>
      </c>
      <c r="U140" s="274">
        <f>VLOOKUP(A140,'[1]SB35 Determination Data'!$B$4:$F$542,5,FALSE)</f>
        <v>2014</v>
      </c>
    </row>
    <row r="141" spans="1:21" s="274" customFormat="1" ht="12.75" x14ac:dyDescent="0.2">
      <c r="A141" s="282" t="s">
        <v>252</v>
      </c>
      <c r="B141" s="282" t="s">
        <v>120</v>
      </c>
      <c r="C141" s="282" t="s">
        <v>654</v>
      </c>
      <c r="D141" s="283">
        <v>2014</v>
      </c>
      <c r="E141" s="282" t="s">
        <v>650</v>
      </c>
      <c r="F141" s="284">
        <v>234</v>
      </c>
      <c r="G141" s="285">
        <v>1</v>
      </c>
      <c r="H141" s="288">
        <v>1</v>
      </c>
      <c r="I141" s="285">
        <v>0</v>
      </c>
      <c r="J141" s="285">
        <v>124</v>
      </c>
      <c r="K141" s="284">
        <v>2</v>
      </c>
      <c r="L141" s="284">
        <v>2</v>
      </c>
      <c r="M141" s="284">
        <v>0</v>
      </c>
      <c r="N141" s="284">
        <v>123</v>
      </c>
      <c r="O141" s="284">
        <v>5</v>
      </c>
      <c r="P141" s="284">
        <v>279</v>
      </c>
      <c r="Q141" s="286">
        <v>415</v>
      </c>
      <c r="R141" s="274">
        <v>760</v>
      </c>
      <c r="S141" s="274">
        <v>423</v>
      </c>
      <c r="T141" s="287">
        <f t="shared" si="2"/>
        <v>2015</v>
      </c>
      <c r="U141" s="274">
        <f>VLOOKUP(A141,'[1]SB35 Determination Data'!$B$4:$F$542,5,FALSE)</f>
        <v>2015</v>
      </c>
    </row>
    <row r="142" spans="1:21" s="274" customFormat="1" ht="12.75" x14ac:dyDescent="0.2">
      <c r="A142" s="282" t="s">
        <v>252</v>
      </c>
      <c r="B142" s="282" t="s">
        <v>120</v>
      </c>
      <c r="C142" s="282" t="s">
        <v>654</v>
      </c>
      <c r="D142" s="283">
        <v>2015</v>
      </c>
      <c r="E142" s="282" t="s">
        <v>650</v>
      </c>
      <c r="F142" s="284">
        <v>234</v>
      </c>
      <c r="G142" s="285">
        <v>0</v>
      </c>
      <c r="H142" s="288">
        <v>0</v>
      </c>
      <c r="I142" s="285">
        <v>0</v>
      </c>
      <c r="J142" s="285">
        <v>124</v>
      </c>
      <c r="K142" s="284">
        <v>5</v>
      </c>
      <c r="L142" s="284">
        <v>5</v>
      </c>
      <c r="M142" s="284">
        <v>0</v>
      </c>
      <c r="N142" s="284">
        <v>123</v>
      </c>
      <c r="O142" s="284">
        <v>0</v>
      </c>
      <c r="P142" s="284">
        <v>279</v>
      </c>
      <c r="Q142" s="286">
        <v>449</v>
      </c>
      <c r="R142" s="274">
        <v>760</v>
      </c>
      <c r="S142" s="274">
        <v>454</v>
      </c>
      <c r="T142" s="287">
        <f t="shared" si="2"/>
        <v>2015</v>
      </c>
      <c r="U142" s="274">
        <f>VLOOKUP(A142,'[1]SB35 Determination Data'!$B$4:$F$542,5,FALSE)</f>
        <v>2015</v>
      </c>
    </row>
    <row r="143" spans="1:21" s="274" customFormat="1" ht="12.75" x14ac:dyDescent="0.2">
      <c r="A143" s="282" t="s">
        <v>252</v>
      </c>
      <c r="B143" s="282" t="s">
        <v>120</v>
      </c>
      <c r="C143" s="282" t="s">
        <v>654</v>
      </c>
      <c r="D143" s="283">
        <v>2016</v>
      </c>
      <c r="E143" s="282" t="s">
        <v>650</v>
      </c>
      <c r="F143" s="284">
        <v>234</v>
      </c>
      <c r="G143" s="285">
        <v>0</v>
      </c>
      <c r="H143" s="288">
        <v>0</v>
      </c>
      <c r="I143" s="285">
        <v>0</v>
      </c>
      <c r="J143" s="285">
        <v>124</v>
      </c>
      <c r="K143" s="284">
        <v>3</v>
      </c>
      <c r="L143" s="284">
        <v>3</v>
      </c>
      <c r="M143" s="284">
        <v>0</v>
      </c>
      <c r="N143" s="289">
        <v>123</v>
      </c>
      <c r="O143" s="284">
        <v>0</v>
      </c>
      <c r="P143" s="284">
        <v>279</v>
      </c>
      <c r="Q143" s="286">
        <v>540</v>
      </c>
      <c r="R143" s="274">
        <v>760</v>
      </c>
      <c r="S143" s="274">
        <v>543</v>
      </c>
      <c r="T143" s="287">
        <f t="shared" si="2"/>
        <v>2016</v>
      </c>
      <c r="U143" s="274">
        <f>VLOOKUP(A143,'[1]SB35 Determination Data'!$B$4:$F$542,5,FALSE)</f>
        <v>2015</v>
      </c>
    </row>
    <row r="144" spans="1:21" s="274" customFormat="1" ht="12.75" x14ac:dyDescent="0.2">
      <c r="A144" s="282" t="s">
        <v>252</v>
      </c>
      <c r="B144" s="282" t="s">
        <v>120</v>
      </c>
      <c r="C144" s="282" t="s">
        <v>654</v>
      </c>
      <c r="D144" s="283">
        <v>2017</v>
      </c>
      <c r="E144" s="282" t="s">
        <v>650</v>
      </c>
      <c r="F144" s="284">
        <v>234</v>
      </c>
      <c r="G144" s="285">
        <v>2</v>
      </c>
      <c r="H144" s="288">
        <v>2</v>
      </c>
      <c r="I144" s="285">
        <v>0</v>
      </c>
      <c r="J144" s="285">
        <v>124</v>
      </c>
      <c r="K144" s="284">
        <v>0</v>
      </c>
      <c r="L144" s="284">
        <v>0</v>
      </c>
      <c r="M144" s="284">
        <v>0</v>
      </c>
      <c r="N144" s="284">
        <v>123</v>
      </c>
      <c r="O144" s="284">
        <v>1</v>
      </c>
      <c r="P144" s="284">
        <v>279</v>
      </c>
      <c r="Q144" s="286">
        <v>503</v>
      </c>
      <c r="R144" s="274">
        <v>760</v>
      </c>
      <c r="S144" s="274">
        <v>506</v>
      </c>
      <c r="T144" s="287">
        <f t="shared" si="2"/>
        <v>2017</v>
      </c>
      <c r="U144" s="274">
        <f>VLOOKUP(A144,'[1]SB35 Determination Data'!$B$4:$F$542,5,FALSE)</f>
        <v>2015</v>
      </c>
    </row>
    <row r="145" spans="1:21" s="274" customFormat="1" ht="12.75" x14ac:dyDescent="0.2">
      <c r="A145" s="282" t="s">
        <v>254</v>
      </c>
      <c r="B145" s="282" t="s">
        <v>595</v>
      </c>
      <c r="C145" s="282" t="s">
        <v>654</v>
      </c>
      <c r="D145" s="283">
        <v>2014</v>
      </c>
      <c r="E145" s="282" t="s">
        <v>650</v>
      </c>
      <c r="F145" s="284">
        <v>25</v>
      </c>
      <c r="G145" s="285">
        <v>0</v>
      </c>
      <c r="H145" s="288">
        <v>0</v>
      </c>
      <c r="I145" s="285">
        <v>0</v>
      </c>
      <c r="J145" s="285">
        <v>13</v>
      </c>
      <c r="K145" s="284">
        <v>0</v>
      </c>
      <c r="L145" s="284">
        <v>0</v>
      </c>
      <c r="M145" s="284">
        <v>0</v>
      </c>
      <c r="N145" s="284">
        <v>15</v>
      </c>
      <c r="O145" s="284">
        <v>1</v>
      </c>
      <c r="P145" s="284">
        <v>30</v>
      </c>
      <c r="Q145" s="286">
        <v>38</v>
      </c>
      <c r="R145" s="274">
        <v>83</v>
      </c>
      <c r="S145" s="274">
        <v>39</v>
      </c>
      <c r="T145" s="287">
        <f t="shared" si="2"/>
        <v>2015</v>
      </c>
      <c r="U145" s="274">
        <f>VLOOKUP(A145,'[1]SB35 Determination Data'!$B$4:$F$542,5,FALSE)</f>
        <v>2015</v>
      </c>
    </row>
    <row r="146" spans="1:21" s="274" customFormat="1" ht="12.75" x14ac:dyDescent="0.2">
      <c r="A146" s="282" t="s">
        <v>254</v>
      </c>
      <c r="B146" s="282" t="s">
        <v>595</v>
      </c>
      <c r="C146" s="282" t="s">
        <v>654</v>
      </c>
      <c r="D146" s="283">
        <v>2015</v>
      </c>
      <c r="E146" s="282" t="s">
        <v>650</v>
      </c>
      <c r="F146" s="284">
        <v>25</v>
      </c>
      <c r="G146" s="285">
        <v>0</v>
      </c>
      <c r="H146" s="288">
        <v>0</v>
      </c>
      <c r="I146" s="285">
        <v>0</v>
      </c>
      <c r="J146" s="285">
        <v>13</v>
      </c>
      <c r="K146" s="284">
        <v>0</v>
      </c>
      <c r="L146" s="284">
        <v>0</v>
      </c>
      <c r="M146" s="284">
        <v>0</v>
      </c>
      <c r="N146" s="284">
        <v>15</v>
      </c>
      <c r="O146" s="284">
        <v>1</v>
      </c>
      <c r="P146" s="284">
        <v>30</v>
      </c>
      <c r="Q146" s="286">
        <v>2</v>
      </c>
      <c r="R146" s="274">
        <v>83</v>
      </c>
      <c r="S146" s="274">
        <v>3</v>
      </c>
      <c r="T146" s="287">
        <f t="shared" si="2"/>
        <v>2015</v>
      </c>
      <c r="U146" s="274">
        <f>VLOOKUP(A146,'[1]SB35 Determination Data'!$B$4:$F$542,5,FALSE)</f>
        <v>2015</v>
      </c>
    </row>
    <row r="147" spans="1:21" s="274" customFormat="1" ht="12.75" x14ac:dyDescent="0.2">
      <c r="A147" s="282" t="s">
        <v>254</v>
      </c>
      <c r="B147" s="282" t="s">
        <v>595</v>
      </c>
      <c r="C147" s="282" t="s">
        <v>654</v>
      </c>
      <c r="D147" s="283">
        <v>2016</v>
      </c>
      <c r="E147" s="282" t="s">
        <v>650</v>
      </c>
      <c r="F147" s="284">
        <v>25</v>
      </c>
      <c r="G147" s="285">
        <v>0</v>
      </c>
      <c r="H147" s="288">
        <v>0</v>
      </c>
      <c r="I147" s="285">
        <v>0</v>
      </c>
      <c r="J147" s="285">
        <v>13</v>
      </c>
      <c r="K147" s="284">
        <v>0</v>
      </c>
      <c r="L147" s="284">
        <v>0</v>
      </c>
      <c r="M147" s="284">
        <v>0</v>
      </c>
      <c r="N147" s="289">
        <v>15</v>
      </c>
      <c r="O147" s="284">
        <v>3</v>
      </c>
      <c r="P147" s="284">
        <v>30</v>
      </c>
      <c r="Q147" s="286">
        <v>4</v>
      </c>
      <c r="R147" s="274">
        <v>83</v>
      </c>
      <c r="S147" s="274">
        <v>7</v>
      </c>
      <c r="T147" s="287">
        <f t="shared" si="2"/>
        <v>2016</v>
      </c>
      <c r="U147" s="274">
        <f>VLOOKUP(A147,'[1]SB35 Determination Data'!$B$4:$F$542,5,FALSE)</f>
        <v>2015</v>
      </c>
    </row>
    <row r="148" spans="1:21" s="274" customFormat="1" ht="12.75" x14ac:dyDescent="0.2">
      <c r="A148" s="282" t="s">
        <v>254</v>
      </c>
      <c r="B148" s="282" t="s">
        <v>595</v>
      </c>
      <c r="C148" s="282" t="s">
        <v>654</v>
      </c>
      <c r="D148" s="283">
        <v>2017</v>
      </c>
      <c r="E148" s="282" t="s">
        <v>650</v>
      </c>
      <c r="F148" s="284">
        <v>25</v>
      </c>
      <c r="G148" s="285">
        <v>0</v>
      </c>
      <c r="H148" s="288">
        <v>0</v>
      </c>
      <c r="I148" s="285">
        <v>0</v>
      </c>
      <c r="J148" s="285">
        <v>13</v>
      </c>
      <c r="K148" s="284">
        <v>0</v>
      </c>
      <c r="L148" s="284">
        <v>0</v>
      </c>
      <c r="M148" s="284">
        <v>0</v>
      </c>
      <c r="N148" s="284">
        <v>15</v>
      </c>
      <c r="O148" s="284">
        <v>3</v>
      </c>
      <c r="P148" s="284">
        <v>30</v>
      </c>
      <c r="Q148" s="286">
        <v>4</v>
      </c>
      <c r="R148" s="274">
        <v>83</v>
      </c>
      <c r="S148" s="274">
        <v>7</v>
      </c>
      <c r="T148" s="287">
        <f t="shared" si="2"/>
        <v>2017</v>
      </c>
      <c r="U148" s="274">
        <f>VLOOKUP(A148,'[1]SB35 Determination Data'!$B$4:$F$542,5,FALSE)</f>
        <v>2015</v>
      </c>
    </row>
    <row r="149" spans="1:21" s="274" customFormat="1" ht="12.75" x14ac:dyDescent="0.2">
      <c r="A149" s="282" t="s">
        <v>255</v>
      </c>
      <c r="B149" s="282" t="s">
        <v>602</v>
      </c>
      <c r="C149" s="282" t="s">
        <v>732</v>
      </c>
      <c r="D149" s="283">
        <v>2014</v>
      </c>
      <c r="E149" s="282" t="s">
        <v>650</v>
      </c>
      <c r="F149" s="284">
        <v>66</v>
      </c>
      <c r="G149" s="285">
        <v>0</v>
      </c>
      <c r="H149" s="288">
        <v>0</v>
      </c>
      <c r="I149" s="285">
        <v>0</v>
      </c>
      <c r="J149" s="285">
        <v>44</v>
      </c>
      <c r="K149" s="284">
        <v>0</v>
      </c>
      <c r="L149" s="284">
        <v>0</v>
      </c>
      <c r="M149" s="284">
        <v>0</v>
      </c>
      <c r="N149" s="284">
        <v>41</v>
      </c>
      <c r="O149" s="284">
        <v>0</v>
      </c>
      <c r="P149" s="284">
        <v>124</v>
      </c>
      <c r="Q149" s="286">
        <v>0</v>
      </c>
      <c r="R149" s="274">
        <v>275</v>
      </c>
      <c r="S149" s="274">
        <v>0</v>
      </c>
      <c r="T149" s="287">
        <f t="shared" si="2"/>
        <v>2015</v>
      </c>
      <c r="U149" s="274">
        <f>VLOOKUP(A149,'[1]SB35 Determination Data'!$B$4:$F$542,5,FALSE)</f>
        <v>2015</v>
      </c>
    </row>
    <row r="150" spans="1:21" s="274" customFormat="1" ht="12.75" x14ac:dyDescent="0.2">
      <c r="A150" s="282" t="s">
        <v>255</v>
      </c>
      <c r="B150" s="282" t="s">
        <v>602</v>
      </c>
      <c r="C150" s="282" t="s">
        <v>732</v>
      </c>
      <c r="D150" s="283">
        <v>2015</v>
      </c>
      <c r="E150" s="282" t="s">
        <v>650</v>
      </c>
      <c r="F150" s="284">
        <v>66</v>
      </c>
      <c r="G150" s="285">
        <v>5</v>
      </c>
      <c r="H150" s="288">
        <v>5</v>
      </c>
      <c r="I150" s="285">
        <v>0</v>
      </c>
      <c r="J150" s="285">
        <v>44</v>
      </c>
      <c r="K150" s="284">
        <v>4</v>
      </c>
      <c r="L150" s="284">
        <v>4</v>
      </c>
      <c r="M150" s="284">
        <v>0</v>
      </c>
      <c r="N150" s="284">
        <v>41</v>
      </c>
      <c r="O150" s="284">
        <v>60</v>
      </c>
      <c r="P150" s="284">
        <v>124</v>
      </c>
      <c r="Q150" s="286">
        <v>0</v>
      </c>
      <c r="R150" s="274">
        <v>275</v>
      </c>
      <c r="S150" s="274">
        <v>69</v>
      </c>
      <c r="T150" s="287">
        <f t="shared" si="2"/>
        <v>2015</v>
      </c>
      <c r="U150" s="274">
        <f>VLOOKUP(A150,'[1]SB35 Determination Data'!$B$4:$F$542,5,FALSE)</f>
        <v>2015</v>
      </c>
    </row>
    <row r="151" spans="1:21" s="274" customFormat="1" ht="12.75" x14ac:dyDescent="0.2">
      <c r="A151" s="282" t="s">
        <v>255</v>
      </c>
      <c r="B151" s="282" t="s">
        <v>602</v>
      </c>
      <c r="C151" s="282" t="s">
        <v>732</v>
      </c>
      <c r="D151" s="283">
        <v>2016</v>
      </c>
      <c r="E151" s="282" t="s">
        <v>650</v>
      </c>
      <c r="F151" s="284">
        <v>66</v>
      </c>
      <c r="G151" s="285">
        <v>0</v>
      </c>
      <c r="H151" s="288">
        <v>0</v>
      </c>
      <c r="I151" s="285">
        <v>0</v>
      </c>
      <c r="J151" s="285">
        <v>44</v>
      </c>
      <c r="K151" s="284">
        <v>0</v>
      </c>
      <c r="L151" s="284">
        <v>0</v>
      </c>
      <c r="M151" s="284">
        <v>0</v>
      </c>
      <c r="N151" s="284">
        <v>41</v>
      </c>
      <c r="O151" s="284">
        <v>0</v>
      </c>
      <c r="P151" s="284">
        <v>124</v>
      </c>
      <c r="Q151" s="286">
        <v>51</v>
      </c>
      <c r="R151" s="274">
        <v>275</v>
      </c>
      <c r="S151" s="274">
        <v>51</v>
      </c>
      <c r="T151" s="287">
        <f t="shared" si="2"/>
        <v>2016</v>
      </c>
      <c r="U151" s="274">
        <f>VLOOKUP(A151,'[1]SB35 Determination Data'!$B$4:$F$542,5,FALSE)</f>
        <v>2015</v>
      </c>
    </row>
    <row r="152" spans="1:21" s="274" customFormat="1" ht="12.75" x14ac:dyDescent="0.2">
      <c r="A152" s="282" t="s">
        <v>255</v>
      </c>
      <c r="B152" s="282" t="s">
        <v>602</v>
      </c>
      <c r="C152" s="282" t="s">
        <v>732</v>
      </c>
      <c r="D152" s="283">
        <v>2017</v>
      </c>
      <c r="E152" s="282" t="s">
        <v>650</v>
      </c>
      <c r="F152" s="284">
        <v>66</v>
      </c>
      <c r="G152" s="285">
        <v>0</v>
      </c>
      <c r="H152" s="288">
        <v>0</v>
      </c>
      <c r="I152" s="285">
        <v>0</v>
      </c>
      <c r="J152" s="285">
        <v>44</v>
      </c>
      <c r="K152" s="284">
        <v>0</v>
      </c>
      <c r="L152" s="284">
        <v>0</v>
      </c>
      <c r="M152" s="284">
        <v>0</v>
      </c>
      <c r="N152" s="289">
        <v>41</v>
      </c>
      <c r="O152" s="284">
        <v>1</v>
      </c>
      <c r="P152" s="284">
        <v>124</v>
      </c>
      <c r="Q152" s="286">
        <v>38</v>
      </c>
      <c r="R152" s="274">
        <v>275</v>
      </c>
      <c r="S152" s="274">
        <v>39</v>
      </c>
      <c r="T152" s="287">
        <f t="shared" si="2"/>
        <v>2017</v>
      </c>
      <c r="U152" s="274">
        <f>VLOOKUP(A152,'[1]SB35 Determination Data'!$B$4:$F$542,5,FALSE)</f>
        <v>2015</v>
      </c>
    </row>
    <row r="153" spans="1:21" s="274" customFormat="1" ht="12.75" x14ac:dyDescent="0.2">
      <c r="A153" s="282" t="s">
        <v>256</v>
      </c>
      <c r="B153" s="282" t="s">
        <v>436</v>
      </c>
      <c r="C153" s="282" t="s">
        <v>649</v>
      </c>
      <c r="D153" s="283">
        <v>2014</v>
      </c>
      <c r="E153" s="282" t="s">
        <v>650</v>
      </c>
      <c r="F153" s="284">
        <v>76</v>
      </c>
      <c r="G153" s="285">
        <v>21</v>
      </c>
      <c r="H153" s="288">
        <v>21</v>
      </c>
      <c r="I153" s="285">
        <v>0</v>
      </c>
      <c r="J153" s="285">
        <v>53</v>
      </c>
      <c r="K153" s="284">
        <v>49</v>
      </c>
      <c r="L153" s="284">
        <v>49</v>
      </c>
      <c r="M153" s="284">
        <v>0</v>
      </c>
      <c r="N153" s="284">
        <v>62</v>
      </c>
      <c r="O153" s="284">
        <v>0</v>
      </c>
      <c r="P153" s="284">
        <v>148</v>
      </c>
      <c r="Q153" s="286">
        <v>0</v>
      </c>
      <c r="R153" s="274">
        <v>339</v>
      </c>
      <c r="S153" s="274">
        <v>70</v>
      </c>
      <c r="T153" s="287">
        <f t="shared" si="2"/>
        <v>2014</v>
      </c>
      <c r="U153" s="274">
        <f>VLOOKUP(A153,'[1]SB35 Determination Data'!$B$4:$F$542,5,FALSE)</f>
        <v>2014</v>
      </c>
    </row>
    <row r="154" spans="1:21" s="274" customFormat="1" ht="12.75" x14ac:dyDescent="0.2">
      <c r="A154" s="282" t="s">
        <v>256</v>
      </c>
      <c r="B154" s="282" t="s">
        <v>436</v>
      </c>
      <c r="C154" s="282" t="s">
        <v>649</v>
      </c>
      <c r="D154" s="283">
        <v>2015</v>
      </c>
      <c r="E154" s="282" t="s">
        <v>650</v>
      </c>
      <c r="F154" s="284">
        <v>76</v>
      </c>
      <c r="G154" s="285">
        <v>0</v>
      </c>
      <c r="H154" s="288">
        <v>0</v>
      </c>
      <c r="I154" s="285">
        <v>0</v>
      </c>
      <c r="J154" s="285">
        <v>53</v>
      </c>
      <c r="K154" s="284">
        <v>0</v>
      </c>
      <c r="L154" s="284">
        <v>0</v>
      </c>
      <c r="M154" s="284">
        <v>0</v>
      </c>
      <c r="N154" s="284">
        <v>62</v>
      </c>
      <c r="O154" s="284">
        <v>72</v>
      </c>
      <c r="P154" s="284">
        <v>148</v>
      </c>
      <c r="Q154" s="286">
        <v>65</v>
      </c>
      <c r="R154" s="274">
        <v>339</v>
      </c>
      <c r="S154" s="274">
        <v>137</v>
      </c>
      <c r="T154" s="287">
        <f t="shared" si="2"/>
        <v>2015</v>
      </c>
      <c r="U154" s="274">
        <f>VLOOKUP(A154,'[1]SB35 Determination Data'!$B$4:$F$542,5,FALSE)</f>
        <v>2014</v>
      </c>
    </row>
    <row r="155" spans="1:21" s="274" customFormat="1" ht="12.75" x14ac:dyDescent="0.2">
      <c r="A155" s="282" t="s">
        <v>256</v>
      </c>
      <c r="B155" s="282" t="s">
        <v>436</v>
      </c>
      <c r="C155" s="282" t="s">
        <v>649</v>
      </c>
      <c r="D155" s="283">
        <v>2016</v>
      </c>
      <c r="E155" s="282" t="s">
        <v>650</v>
      </c>
      <c r="F155" s="284">
        <v>76</v>
      </c>
      <c r="G155" s="285">
        <v>0</v>
      </c>
      <c r="H155" s="288">
        <v>0</v>
      </c>
      <c r="I155" s="285">
        <v>0</v>
      </c>
      <c r="J155" s="285">
        <v>53</v>
      </c>
      <c r="K155" s="284">
        <v>0</v>
      </c>
      <c r="L155" s="284">
        <v>0</v>
      </c>
      <c r="M155" s="284">
        <v>0</v>
      </c>
      <c r="N155" s="284">
        <v>62</v>
      </c>
      <c r="O155" s="284">
        <v>26</v>
      </c>
      <c r="P155" s="284">
        <v>148</v>
      </c>
      <c r="Q155" s="286">
        <v>116</v>
      </c>
      <c r="R155" s="274">
        <v>339</v>
      </c>
      <c r="S155" s="274">
        <v>142</v>
      </c>
      <c r="T155" s="287">
        <f t="shared" si="2"/>
        <v>2016</v>
      </c>
      <c r="U155" s="274">
        <f>VLOOKUP(A155,'[1]SB35 Determination Data'!$B$4:$F$542,5,FALSE)</f>
        <v>2014</v>
      </c>
    </row>
    <row r="156" spans="1:21" s="274" customFormat="1" ht="12.75" x14ac:dyDescent="0.2">
      <c r="A156" s="282" t="s">
        <v>256</v>
      </c>
      <c r="B156" s="282" t="s">
        <v>436</v>
      </c>
      <c r="C156" s="282" t="s">
        <v>649</v>
      </c>
      <c r="D156" s="283">
        <v>2017</v>
      </c>
      <c r="E156" s="282" t="s">
        <v>650</v>
      </c>
      <c r="F156" s="284">
        <v>76</v>
      </c>
      <c r="G156" s="285">
        <v>0</v>
      </c>
      <c r="H156" s="288">
        <v>0</v>
      </c>
      <c r="I156" s="285">
        <v>0</v>
      </c>
      <c r="J156" s="285">
        <v>53</v>
      </c>
      <c r="K156" s="284">
        <v>0</v>
      </c>
      <c r="L156" s="284">
        <v>0</v>
      </c>
      <c r="M156" s="284">
        <v>0</v>
      </c>
      <c r="N156" s="284">
        <v>62</v>
      </c>
      <c r="O156" s="284">
        <v>83</v>
      </c>
      <c r="P156" s="284">
        <v>148</v>
      </c>
      <c r="Q156" s="286">
        <v>0</v>
      </c>
      <c r="R156" s="274">
        <v>339</v>
      </c>
      <c r="S156" s="274">
        <v>83</v>
      </c>
      <c r="T156" s="287">
        <f t="shared" si="2"/>
        <v>2017</v>
      </c>
      <c r="U156" s="274">
        <f>VLOOKUP(A156,'[1]SB35 Determination Data'!$B$4:$F$542,5,FALSE)</f>
        <v>2014</v>
      </c>
    </row>
    <row r="157" spans="1:21" s="274" customFormat="1" ht="12.75" x14ac:dyDescent="0.2">
      <c r="A157" s="282" t="s">
        <v>257</v>
      </c>
      <c r="B157" s="282" t="s">
        <v>262</v>
      </c>
      <c r="C157" s="282" t="s">
        <v>649</v>
      </c>
      <c r="D157" s="283">
        <v>2014</v>
      </c>
      <c r="E157" s="282" t="s">
        <v>650</v>
      </c>
      <c r="F157" s="284">
        <v>694</v>
      </c>
      <c r="G157" s="285">
        <v>0</v>
      </c>
      <c r="H157" s="288">
        <v>0</v>
      </c>
      <c r="I157" s="285">
        <v>0</v>
      </c>
      <c r="J157" s="285">
        <v>413</v>
      </c>
      <c r="K157" s="284">
        <v>0</v>
      </c>
      <c r="L157" s="284">
        <v>0</v>
      </c>
      <c r="M157" s="284">
        <v>0</v>
      </c>
      <c r="N157" s="289">
        <v>443</v>
      </c>
      <c r="O157" s="284">
        <v>0</v>
      </c>
      <c r="P157" s="284">
        <v>1134</v>
      </c>
      <c r="Q157" s="286">
        <v>19</v>
      </c>
      <c r="R157" s="274">
        <v>2684</v>
      </c>
      <c r="S157" s="274">
        <v>19</v>
      </c>
      <c r="T157" s="287">
        <f t="shared" si="2"/>
        <v>2014</v>
      </c>
      <c r="U157" s="274">
        <f>VLOOKUP(A157,'[1]SB35 Determination Data'!$B$4:$F$542,5,FALSE)</f>
        <v>2014</v>
      </c>
    </row>
    <row r="158" spans="1:21" s="274" customFormat="1" ht="12.75" x14ac:dyDescent="0.2">
      <c r="A158" s="282" t="s">
        <v>257</v>
      </c>
      <c r="B158" s="282" t="s">
        <v>262</v>
      </c>
      <c r="C158" s="282" t="s">
        <v>649</v>
      </c>
      <c r="D158" s="283">
        <v>2015</v>
      </c>
      <c r="E158" s="282" t="s">
        <v>650</v>
      </c>
      <c r="F158" s="284">
        <v>694</v>
      </c>
      <c r="G158" s="285">
        <v>11</v>
      </c>
      <c r="H158" s="288">
        <v>11</v>
      </c>
      <c r="I158" s="285">
        <v>0</v>
      </c>
      <c r="J158" s="285">
        <v>413</v>
      </c>
      <c r="K158" s="284">
        <v>0</v>
      </c>
      <c r="L158" s="284">
        <v>0</v>
      </c>
      <c r="M158" s="284">
        <v>0</v>
      </c>
      <c r="N158" s="284">
        <v>443</v>
      </c>
      <c r="O158" s="284">
        <v>0</v>
      </c>
      <c r="P158" s="284">
        <v>1134</v>
      </c>
      <c r="Q158" s="286">
        <v>14</v>
      </c>
      <c r="R158" s="274">
        <v>2684</v>
      </c>
      <c r="S158" s="274">
        <v>25</v>
      </c>
      <c r="T158" s="287">
        <f t="shared" si="2"/>
        <v>2015</v>
      </c>
      <c r="U158" s="274">
        <f>VLOOKUP(A158,'[1]SB35 Determination Data'!$B$4:$F$542,5,FALSE)</f>
        <v>2014</v>
      </c>
    </row>
    <row r="159" spans="1:21" s="274" customFormat="1" ht="12.75" x14ac:dyDescent="0.2">
      <c r="A159" s="282" t="s">
        <v>257</v>
      </c>
      <c r="B159" s="282" t="s">
        <v>262</v>
      </c>
      <c r="C159" s="282" t="s">
        <v>649</v>
      </c>
      <c r="D159" s="283">
        <v>2016</v>
      </c>
      <c r="E159" s="282" t="s">
        <v>650</v>
      </c>
      <c r="F159" s="284">
        <v>694</v>
      </c>
      <c r="G159" s="285">
        <v>0</v>
      </c>
      <c r="H159" s="288">
        <v>0</v>
      </c>
      <c r="I159" s="285">
        <v>0</v>
      </c>
      <c r="J159" s="285">
        <v>413</v>
      </c>
      <c r="K159" s="284">
        <v>0</v>
      </c>
      <c r="L159" s="284">
        <v>0</v>
      </c>
      <c r="M159" s="284">
        <v>0</v>
      </c>
      <c r="N159" s="284">
        <v>443</v>
      </c>
      <c r="O159" s="284">
        <v>0</v>
      </c>
      <c r="P159" s="284">
        <v>1134</v>
      </c>
      <c r="Q159" s="286">
        <v>275</v>
      </c>
      <c r="R159" s="274">
        <v>2684</v>
      </c>
      <c r="S159" s="274">
        <v>275</v>
      </c>
      <c r="T159" s="287">
        <f t="shared" si="2"/>
        <v>2016</v>
      </c>
      <c r="U159" s="274">
        <f>VLOOKUP(A159,'[1]SB35 Determination Data'!$B$4:$F$542,5,FALSE)</f>
        <v>2014</v>
      </c>
    </row>
    <row r="160" spans="1:21" s="274" customFormat="1" ht="12.75" x14ac:dyDescent="0.2">
      <c r="A160" s="282" t="s">
        <v>257</v>
      </c>
      <c r="B160" s="282" t="s">
        <v>262</v>
      </c>
      <c r="C160" s="282" t="s">
        <v>649</v>
      </c>
      <c r="D160" s="283">
        <v>2017</v>
      </c>
      <c r="E160" s="282" t="s">
        <v>650</v>
      </c>
      <c r="F160" s="284">
        <v>694</v>
      </c>
      <c r="G160" s="285">
        <v>0</v>
      </c>
      <c r="H160" s="288">
        <v>0</v>
      </c>
      <c r="I160" s="285">
        <v>0</v>
      </c>
      <c r="J160" s="285">
        <v>413</v>
      </c>
      <c r="K160" s="284">
        <v>0</v>
      </c>
      <c r="L160" s="284">
        <v>0</v>
      </c>
      <c r="M160" s="284">
        <v>0</v>
      </c>
      <c r="N160" s="284">
        <v>443</v>
      </c>
      <c r="O160" s="284">
        <v>0</v>
      </c>
      <c r="P160" s="284">
        <v>1134</v>
      </c>
      <c r="Q160" s="286">
        <v>17</v>
      </c>
      <c r="R160" s="274">
        <v>2684</v>
      </c>
      <c r="S160" s="274">
        <v>17</v>
      </c>
      <c r="T160" s="287">
        <f t="shared" si="2"/>
        <v>2017</v>
      </c>
      <c r="U160" s="274">
        <f>VLOOKUP(A160,'[1]SB35 Determination Data'!$B$4:$F$542,5,FALSE)</f>
        <v>2014</v>
      </c>
    </row>
    <row r="161" spans="1:21" s="274" customFormat="1" ht="12.75" x14ac:dyDescent="0.2">
      <c r="A161" s="282" t="s">
        <v>259</v>
      </c>
      <c r="B161" s="282" t="s">
        <v>595</v>
      </c>
      <c r="C161" s="282" t="s">
        <v>654</v>
      </c>
      <c r="D161" s="283">
        <v>2014</v>
      </c>
      <c r="E161" s="282" t="s">
        <v>650</v>
      </c>
      <c r="F161" s="284">
        <v>276</v>
      </c>
      <c r="G161" s="285">
        <v>0</v>
      </c>
      <c r="H161" s="288">
        <v>0</v>
      </c>
      <c r="I161" s="285">
        <v>0</v>
      </c>
      <c r="J161" s="285">
        <v>144</v>
      </c>
      <c r="K161" s="284">
        <v>0</v>
      </c>
      <c r="L161" s="284">
        <v>0</v>
      </c>
      <c r="M161" s="284">
        <v>0</v>
      </c>
      <c r="N161" s="284">
        <v>155</v>
      </c>
      <c r="O161" s="284">
        <v>3</v>
      </c>
      <c r="P161" s="284">
        <v>288</v>
      </c>
      <c r="Q161" s="286">
        <v>0</v>
      </c>
      <c r="R161" s="274">
        <v>863</v>
      </c>
      <c r="S161" s="274">
        <v>3</v>
      </c>
      <c r="T161" s="287">
        <f t="shared" si="2"/>
        <v>2015</v>
      </c>
      <c r="U161" s="274">
        <f>VLOOKUP(A161,'[1]SB35 Determination Data'!$B$4:$F$542,5,FALSE)</f>
        <v>2015</v>
      </c>
    </row>
    <row r="162" spans="1:21" s="274" customFormat="1" ht="12.75" x14ac:dyDescent="0.2">
      <c r="A162" s="282" t="s">
        <v>259</v>
      </c>
      <c r="B162" s="282" t="s">
        <v>595</v>
      </c>
      <c r="C162" s="282" t="s">
        <v>654</v>
      </c>
      <c r="D162" s="283">
        <v>2015</v>
      </c>
      <c r="E162" s="282" t="s">
        <v>650</v>
      </c>
      <c r="F162" s="284">
        <v>276</v>
      </c>
      <c r="G162" s="285">
        <v>0</v>
      </c>
      <c r="H162" s="288">
        <v>0</v>
      </c>
      <c r="I162" s="285">
        <v>0</v>
      </c>
      <c r="J162" s="285">
        <v>144</v>
      </c>
      <c r="K162" s="284">
        <v>0</v>
      </c>
      <c r="L162" s="284">
        <v>0</v>
      </c>
      <c r="M162" s="284">
        <v>0</v>
      </c>
      <c r="N162" s="289">
        <v>155</v>
      </c>
      <c r="O162" s="284">
        <v>0</v>
      </c>
      <c r="P162" s="284">
        <v>288</v>
      </c>
      <c r="Q162" s="286">
        <v>5</v>
      </c>
      <c r="R162" s="274">
        <v>863</v>
      </c>
      <c r="S162" s="274">
        <v>5</v>
      </c>
      <c r="T162" s="287">
        <f t="shared" si="2"/>
        <v>2015</v>
      </c>
      <c r="U162" s="274">
        <f>VLOOKUP(A162,'[1]SB35 Determination Data'!$B$4:$F$542,5,FALSE)</f>
        <v>2015</v>
      </c>
    </row>
    <row r="163" spans="1:21" s="274" customFormat="1" ht="12.75" x14ac:dyDescent="0.2">
      <c r="A163" s="282" t="s">
        <v>259</v>
      </c>
      <c r="B163" s="282" t="s">
        <v>595</v>
      </c>
      <c r="C163" s="282" t="s">
        <v>654</v>
      </c>
      <c r="D163" s="283">
        <v>2016</v>
      </c>
      <c r="E163" s="282" t="s">
        <v>650</v>
      </c>
      <c r="F163" s="284">
        <v>276</v>
      </c>
      <c r="G163" s="285">
        <v>0</v>
      </c>
      <c r="H163" s="288">
        <v>0</v>
      </c>
      <c r="I163" s="285">
        <v>0</v>
      </c>
      <c r="J163" s="285">
        <v>144</v>
      </c>
      <c r="K163" s="284">
        <v>0</v>
      </c>
      <c r="L163" s="284">
        <v>0</v>
      </c>
      <c r="M163" s="284">
        <v>0</v>
      </c>
      <c r="N163" s="284">
        <v>155</v>
      </c>
      <c r="O163" s="284">
        <v>0</v>
      </c>
      <c r="P163" s="284">
        <v>288</v>
      </c>
      <c r="Q163" s="286">
        <v>133</v>
      </c>
      <c r="R163" s="274">
        <v>863</v>
      </c>
      <c r="S163" s="274">
        <v>133</v>
      </c>
      <c r="T163" s="287">
        <f t="shared" si="2"/>
        <v>2016</v>
      </c>
      <c r="U163" s="274">
        <f>VLOOKUP(A163,'[1]SB35 Determination Data'!$B$4:$F$542,5,FALSE)</f>
        <v>2015</v>
      </c>
    </row>
    <row r="164" spans="1:21" s="274" customFormat="1" ht="12.75" x14ac:dyDescent="0.2">
      <c r="A164" s="282" t="s">
        <v>259</v>
      </c>
      <c r="B164" s="282" t="s">
        <v>595</v>
      </c>
      <c r="C164" s="282" t="s">
        <v>654</v>
      </c>
      <c r="D164" s="283">
        <v>2017</v>
      </c>
      <c r="E164" s="282" t="s">
        <v>650</v>
      </c>
      <c r="F164" s="284">
        <v>276</v>
      </c>
      <c r="G164" s="285">
        <v>0</v>
      </c>
      <c r="H164" s="288">
        <v>0</v>
      </c>
      <c r="I164" s="285">
        <v>0</v>
      </c>
      <c r="J164" s="285">
        <v>144</v>
      </c>
      <c r="K164" s="284">
        <v>0</v>
      </c>
      <c r="L164" s="284">
        <v>0</v>
      </c>
      <c r="M164" s="284">
        <v>0</v>
      </c>
      <c r="N164" s="284">
        <v>155</v>
      </c>
      <c r="O164" s="284">
        <v>0</v>
      </c>
      <c r="P164" s="284">
        <v>288</v>
      </c>
      <c r="Q164" s="286">
        <v>13</v>
      </c>
      <c r="R164" s="274">
        <v>863</v>
      </c>
      <c r="S164" s="274">
        <v>13</v>
      </c>
      <c r="T164" s="287">
        <f t="shared" si="2"/>
        <v>2017</v>
      </c>
      <c r="U164" s="274">
        <f>VLOOKUP(A164,'[1]SB35 Determination Data'!$B$4:$F$542,5,FALSE)</f>
        <v>2015</v>
      </c>
    </row>
    <row r="165" spans="1:21" s="274" customFormat="1" ht="12.75" x14ac:dyDescent="0.2">
      <c r="A165" s="282" t="s">
        <v>234</v>
      </c>
      <c r="B165" s="282" t="s">
        <v>109</v>
      </c>
      <c r="C165" s="282" t="s">
        <v>717</v>
      </c>
      <c r="D165" s="283">
        <v>2016</v>
      </c>
      <c r="E165" s="282" t="s">
        <v>650</v>
      </c>
      <c r="F165" s="284">
        <v>682</v>
      </c>
      <c r="G165" s="285">
        <v>0</v>
      </c>
      <c r="H165" s="288">
        <v>0</v>
      </c>
      <c r="I165" s="285">
        <v>0</v>
      </c>
      <c r="J165" s="285">
        <v>545</v>
      </c>
      <c r="K165" s="284">
        <v>0</v>
      </c>
      <c r="L165" s="284">
        <v>0</v>
      </c>
      <c r="M165" s="284">
        <v>0</v>
      </c>
      <c r="N165" s="284">
        <v>480</v>
      </c>
      <c r="O165" s="284">
        <v>8</v>
      </c>
      <c r="P165" s="284">
        <v>1267</v>
      </c>
      <c r="Q165" s="286">
        <v>90</v>
      </c>
      <c r="R165" s="274">
        <v>2974</v>
      </c>
      <c r="S165" s="274">
        <v>98</v>
      </c>
      <c r="T165" s="287">
        <f t="shared" si="2"/>
        <v>2016</v>
      </c>
      <c r="U165" s="274">
        <f>VLOOKUP(A165,'[1]SB35 Determination Data'!$B$4:$F$542,5,FALSE)</f>
        <v>2014</v>
      </c>
    </row>
    <row r="166" spans="1:21" s="274" customFormat="1" ht="12.75" x14ac:dyDescent="0.2">
      <c r="A166" s="282" t="s">
        <v>234</v>
      </c>
      <c r="B166" s="282" t="s">
        <v>109</v>
      </c>
      <c r="C166" s="282" t="s">
        <v>717</v>
      </c>
      <c r="D166" s="283">
        <v>2017</v>
      </c>
      <c r="E166" s="282" t="s">
        <v>650</v>
      </c>
      <c r="F166" s="284">
        <v>682</v>
      </c>
      <c r="G166" s="285">
        <v>0</v>
      </c>
      <c r="H166" s="288">
        <v>0</v>
      </c>
      <c r="I166" s="285">
        <v>0</v>
      </c>
      <c r="J166" s="285">
        <v>545</v>
      </c>
      <c r="K166" s="284">
        <v>8</v>
      </c>
      <c r="L166" s="284">
        <v>8</v>
      </c>
      <c r="M166" s="284">
        <v>0</v>
      </c>
      <c r="N166" s="284">
        <v>480</v>
      </c>
      <c r="O166" s="284">
        <v>25</v>
      </c>
      <c r="P166" s="284">
        <v>1267</v>
      </c>
      <c r="Q166" s="286">
        <v>117</v>
      </c>
      <c r="R166" s="274">
        <v>2974</v>
      </c>
      <c r="S166" s="274">
        <v>150</v>
      </c>
      <c r="T166" s="287">
        <f t="shared" si="2"/>
        <v>2017</v>
      </c>
      <c r="U166" s="274">
        <f>VLOOKUP(A166,'[1]SB35 Determination Data'!$B$4:$F$542,5,FALSE)</f>
        <v>2014</v>
      </c>
    </row>
    <row r="167" spans="1:21" s="274" customFormat="1" ht="12.75" x14ac:dyDescent="0.2">
      <c r="A167" s="282" t="s">
        <v>260</v>
      </c>
      <c r="B167" s="282" t="s">
        <v>262</v>
      </c>
      <c r="C167" s="282" t="s">
        <v>649</v>
      </c>
      <c r="D167" s="283">
        <v>2014</v>
      </c>
      <c r="E167" s="282" t="s">
        <v>650</v>
      </c>
      <c r="F167" s="284">
        <v>88</v>
      </c>
      <c r="G167" s="285">
        <v>0</v>
      </c>
      <c r="H167" s="288">
        <v>0</v>
      </c>
      <c r="I167" s="285">
        <v>0</v>
      </c>
      <c r="J167" s="285">
        <v>54</v>
      </c>
      <c r="K167" s="284">
        <v>0</v>
      </c>
      <c r="L167" s="284">
        <v>0</v>
      </c>
      <c r="M167" s="284">
        <v>0</v>
      </c>
      <c r="N167" s="289">
        <v>57</v>
      </c>
      <c r="O167" s="284">
        <v>0</v>
      </c>
      <c r="P167" s="284">
        <v>131</v>
      </c>
      <c r="Q167" s="286">
        <v>15</v>
      </c>
      <c r="R167" s="274">
        <v>330</v>
      </c>
      <c r="S167" s="274">
        <v>15</v>
      </c>
      <c r="T167" s="287">
        <f t="shared" si="2"/>
        <v>2014</v>
      </c>
      <c r="U167" s="274">
        <f>VLOOKUP(A167,'[1]SB35 Determination Data'!$B$4:$F$542,5,FALSE)</f>
        <v>2014</v>
      </c>
    </row>
    <row r="168" spans="1:21" s="274" customFormat="1" ht="12.75" x14ac:dyDescent="0.2">
      <c r="A168" s="282" t="s">
        <v>260</v>
      </c>
      <c r="B168" s="282" t="s">
        <v>262</v>
      </c>
      <c r="C168" s="282" t="s">
        <v>649</v>
      </c>
      <c r="D168" s="283">
        <v>2015</v>
      </c>
      <c r="E168" s="282" t="s">
        <v>650</v>
      </c>
      <c r="F168" s="284">
        <v>88</v>
      </c>
      <c r="G168" s="285">
        <v>8</v>
      </c>
      <c r="H168" s="288">
        <v>8</v>
      </c>
      <c r="I168" s="285">
        <v>0</v>
      </c>
      <c r="J168" s="285">
        <v>54</v>
      </c>
      <c r="K168" s="284">
        <v>0</v>
      </c>
      <c r="L168" s="284">
        <v>0</v>
      </c>
      <c r="M168" s="284">
        <v>0</v>
      </c>
      <c r="N168" s="284">
        <v>57</v>
      </c>
      <c r="O168" s="284">
        <v>1</v>
      </c>
      <c r="P168" s="284">
        <v>131</v>
      </c>
      <c r="Q168" s="286">
        <v>15</v>
      </c>
      <c r="R168" s="274">
        <v>330</v>
      </c>
      <c r="S168" s="274">
        <v>24</v>
      </c>
      <c r="T168" s="287">
        <f t="shared" si="2"/>
        <v>2015</v>
      </c>
      <c r="U168" s="274">
        <f>VLOOKUP(A168,'[1]SB35 Determination Data'!$B$4:$F$542,5,FALSE)</f>
        <v>2014</v>
      </c>
    </row>
    <row r="169" spans="1:21" s="274" customFormat="1" ht="12.75" x14ac:dyDescent="0.2">
      <c r="A169" s="282" t="s">
        <v>260</v>
      </c>
      <c r="B169" s="282" t="s">
        <v>262</v>
      </c>
      <c r="C169" s="282" t="s">
        <v>649</v>
      </c>
      <c r="D169" s="283">
        <v>2016</v>
      </c>
      <c r="E169" s="282" t="s">
        <v>650</v>
      </c>
      <c r="F169" s="284">
        <v>88</v>
      </c>
      <c r="G169" s="285">
        <v>0</v>
      </c>
      <c r="H169" s="288">
        <v>0</v>
      </c>
      <c r="I169" s="285">
        <v>0</v>
      </c>
      <c r="J169" s="285">
        <v>54</v>
      </c>
      <c r="K169" s="284">
        <v>0</v>
      </c>
      <c r="L169" s="284">
        <v>0</v>
      </c>
      <c r="M169" s="284">
        <v>0</v>
      </c>
      <c r="N169" s="284">
        <v>57</v>
      </c>
      <c r="O169" s="284">
        <v>2</v>
      </c>
      <c r="P169" s="284">
        <v>131</v>
      </c>
      <c r="Q169" s="286">
        <v>43</v>
      </c>
      <c r="R169" s="274">
        <v>330</v>
      </c>
      <c r="S169" s="274">
        <v>45</v>
      </c>
      <c r="T169" s="287">
        <f t="shared" si="2"/>
        <v>2016</v>
      </c>
      <c r="U169" s="274">
        <f>VLOOKUP(A169,'[1]SB35 Determination Data'!$B$4:$F$542,5,FALSE)</f>
        <v>2014</v>
      </c>
    </row>
    <row r="170" spans="1:21" s="274" customFormat="1" ht="12.75" x14ac:dyDescent="0.2">
      <c r="A170" s="282" t="s">
        <v>260</v>
      </c>
      <c r="B170" s="282" t="s">
        <v>262</v>
      </c>
      <c r="C170" s="282" t="s">
        <v>649</v>
      </c>
      <c r="D170" s="283">
        <v>2017</v>
      </c>
      <c r="E170" s="282" t="s">
        <v>650</v>
      </c>
      <c r="F170" s="284">
        <v>88</v>
      </c>
      <c r="G170" s="285">
        <v>0</v>
      </c>
      <c r="H170" s="288">
        <v>0</v>
      </c>
      <c r="I170" s="285">
        <v>0</v>
      </c>
      <c r="J170" s="285">
        <v>54</v>
      </c>
      <c r="K170" s="284">
        <v>0</v>
      </c>
      <c r="L170" s="284">
        <v>0</v>
      </c>
      <c r="M170" s="284">
        <v>0</v>
      </c>
      <c r="N170" s="284">
        <v>57</v>
      </c>
      <c r="O170" s="284">
        <v>4</v>
      </c>
      <c r="P170" s="284">
        <v>131</v>
      </c>
      <c r="Q170" s="286">
        <v>18</v>
      </c>
      <c r="R170" s="274">
        <v>330</v>
      </c>
      <c r="S170" s="274">
        <v>22</v>
      </c>
      <c r="T170" s="287">
        <f t="shared" si="2"/>
        <v>2017</v>
      </c>
      <c r="U170" s="274">
        <f>VLOOKUP(A170,'[1]SB35 Determination Data'!$B$4:$F$542,5,FALSE)</f>
        <v>2014</v>
      </c>
    </row>
    <row r="171" spans="1:21" s="274" customFormat="1" ht="12.75" x14ac:dyDescent="0.2">
      <c r="A171" s="282" t="s">
        <v>253</v>
      </c>
      <c r="B171" s="282" t="s">
        <v>118</v>
      </c>
      <c r="C171" s="282" t="s">
        <v>660</v>
      </c>
      <c r="D171" s="283">
        <v>2014</v>
      </c>
      <c r="E171" s="282" t="s">
        <v>650</v>
      </c>
      <c r="F171" s="284">
        <v>241</v>
      </c>
      <c r="G171" s="285">
        <v>6</v>
      </c>
      <c r="H171" s="288">
        <v>0</v>
      </c>
      <c r="I171" s="285">
        <v>6</v>
      </c>
      <c r="J171" s="285">
        <v>175</v>
      </c>
      <c r="K171" s="284">
        <v>13</v>
      </c>
      <c r="L171" s="284">
        <v>0</v>
      </c>
      <c r="M171" s="284">
        <v>13</v>
      </c>
      <c r="N171" s="284">
        <v>192</v>
      </c>
      <c r="O171" s="284">
        <v>17</v>
      </c>
      <c r="P171" s="284">
        <v>471</v>
      </c>
      <c r="Q171" s="286">
        <v>38</v>
      </c>
      <c r="R171" s="274">
        <v>1079</v>
      </c>
      <c r="S171" s="274">
        <v>74</v>
      </c>
      <c r="T171" s="287">
        <f t="shared" si="2"/>
        <v>2014</v>
      </c>
      <c r="U171" s="274">
        <f>VLOOKUP(A171,'[1]SB35 Determination Data'!$B$4:$F$542,5,FALSE)</f>
        <v>2014</v>
      </c>
    </row>
    <row r="172" spans="1:21" s="274" customFormat="1" ht="12.75" x14ac:dyDescent="0.2">
      <c r="A172" s="282" t="s">
        <v>253</v>
      </c>
      <c r="B172" s="282" t="s">
        <v>118</v>
      </c>
      <c r="C172" s="282" t="s">
        <v>660</v>
      </c>
      <c r="D172" s="283">
        <v>2015</v>
      </c>
      <c r="E172" s="282" t="s">
        <v>650</v>
      </c>
      <c r="F172" s="284">
        <v>241</v>
      </c>
      <c r="G172" s="285">
        <v>8</v>
      </c>
      <c r="H172" s="288">
        <v>0</v>
      </c>
      <c r="I172" s="285">
        <v>8</v>
      </c>
      <c r="J172" s="285">
        <v>175</v>
      </c>
      <c r="K172" s="284">
        <v>15</v>
      </c>
      <c r="L172" s="284">
        <v>0</v>
      </c>
      <c r="M172" s="284">
        <v>15</v>
      </c>
      <c r="N172" s="284">
        <v>192</v>
      </c>
      <c r="O172" s="284">
        <v>45</v>
      </c>
      <c r="P172" s="284">
        <v>471</v>
      </c>
      <c r="Q172" s="286">
        <v>49</v>
      </c>
      <c r="R172" s="274">
        <v>1079</v>
      </c>
      <c r="S172" s="274">
        <v>117</v>
      </c>
      <c r="T172" s="287">
        <f t="shared" si="2"/>
        <v>2015</v>
      </c>
      <c r="U172" s="274">
        <f>VLOOKUP(A172,'[1]SB35 Determination Data'!$B$4:$F$542,5,FALSE)</f>
        <v>2014</v>
      </c>
    </row>
    <row r="173" spans="1:21" s="274" customFormat="1" ht="12.75" x14ac:dyDescent="0.2">
      <c r="A173" s="282" t="s">
        <v>253</v>
      </c>
      <c r="B173" s="282" t="s">
        <v>118</v>
      </c>
      <c r="C173" s="282" t="s">
        <v>660</v>
      </c>
      <c r="D173" s="283">
        <v>2016</v>
      </c>
      <c r="E173" s="282" t="s">
        <v>650</v>
      </c>
      <c r="F173" s="284">
        <v>241</v>
      </c>
      <c r="G173" s="285">
        <v>60</v>
      </c>
      <c r="H173" s="288">
        <v>0</v>
      </c>
      <c r="I173" s="285">
        <v>60</v>
      </c>
      <c r="J173" s="285">
        <v>175</v>
      </c>
      <c r="K173" s="284">
        <v>36</v>
      </c>
      <c r="L173" s="284">
        <v>0</v>
      </c>
      <c r="M173" s="284">
        <v>36</v>
      </c>
      <c r="N173" s="284">
        <v>192</v>
      </c>
      <c r="O173" s="284">
        <v>104</v>
      </c>
      <c r="P173" s="284">
        <v>471</v>
      </c>
      <c r="Q173" s="286">
        <v>48</v>
      </c>
      <c r="R173" s="274">
        <v>1079</v>
      </c>
      <c r="S173" s="274">
        <v>248</v>
      </c>
      <c r="T173" s="287">
        <f t="shared" si="2"/>
        <v>2016</v>
      </c>
      <c r="U173" s="274">
        <f>VLOOKUP(A173,'[1]SB35 Determination Data'!$B$4:$F$542,5,FALSE)</f>
        <v>2014</v>
      </c>
    </row>
    <row r="174" spans="1:21" s="274" customFormat="1" ht="12.75" x14ac:dyDescent="0.2">
      <c r="A174" s="282" t="s">
        <v>253</v>
      </c>
      <c r="B174" s="282" t="s">
        <v>118</v>
      </c>
      <c r="C174" s="282" t="s">
        <v>660</v>
      </c>
      <c r="D174" s="283">
        <v>2017</v>
      </c>
      <c r="E174" s="282" t="s">
        <v>650</v>
      </c>
      <c r="F174" s="284">
        <v>241</v>
      </c>
      <c r="G174" s="285">
        <v>25</v>
      </c>
      <c r="H174" s="288">
        <v>0</v>
      </c>
      <c r="I174" s="285">
        <v>25</v>
      </c>
      <c r="J174" s="285">
        <v>175</v>
      </c>
      <c r="K174" s="284">
        <v>27</v>
      </c>
      <c r="L174" s="284">
        <v>0</v>
      </c>
      <c r="M174" s="284">
        <v>27</v>
      </c>
      <c r="N174" s="284">
        <v>192</v>
      </c>
      <c r="O174" s="284">
        <v>29</v>
      </c>
      <c r="P174" s="284">
        <v>471</v>
      </c>
      <c r="Q174" s="286">
        <v>77</v>
      </c>
      <c r="R174" s="274">
        <v>1079</v>
      </c>
      <c r="S174" s="274">
        <v>158</v>
      </c>
      <c r="T174" s="287">
        <f t="shared" si="2"/>
        <v>2017</v>
      </c>
      <c r="U174" s="274">
        <f>VLOOKUP(A174,'[1]SB35 Determination Data'!$B$4:$F$542,5,FALSE)</f>
        <v>2014</v>
      </c>
    </row>
    <row r="175" spans="1:21" s="274" customFormat="1" ht="12.75" x14ac:dyDescent="0.2">
      <c r="A175" s="282" t="s">
        <v>261</v>
      </c>
      <c r="B175" s="282" t="s">
        <v>189</v>
      </c>
      <c r="C175" s="282" t="s">
        <v>649</v>
      </c>
      <c r="D175" s="283">
        <v>2014</v>
      </c>
      <c r="E175" s="282" t="s">
        <v>650</v>
      </c>
      <c r="F175" s="284">
        <v>817</v>
      </c>
      <c r="G175" s="285">
        <v>66</v>
      </c>
      <c r="H175" s="288">
        <v>23</v>
      </c>
      <c r="I175" s="285">
        <v>43</v>
      </c>
      <c r="J175" s="285">
        <v>489</v>
      </c>
      <c r="K175" s="284">
        <v>10</v>
      </c>
      <c r="L175" s="284">
        <v>0</v>
      </c>
      <c r="M175" s="284">
        <v>10</v>
      </c>
      <c r="N175" s="284">
        <v>490</v>
      </c>
      <c r="O175" s="284">
        <v>42</v>
      </c>
      <c r="P175" s="284">
        <v>1428</v>
      </c>
      <c r="Q175" s="286">
        <v>0</v>
      </c>
      <c r="R175" s="274">
        <v>3224</v>
      </c>
      <c r="S175" s="274">
        <v>118</v>
      </c>
      <c r="T175" s="287">
        <f t="shared" si="2"/>
        <v>2014</v>
      </c>
      <c r="U175" s="274">
        <f>VLOOKUP(A175,'[1]SB35 Determination Data'!$B$4:$F$542,5,FALSE)</f>
        <v>2014</v>
      </c>
    </row>
    <row r="176" spans="1:21" s="274" customFormat="1" ht="12.75" x14ac:dyDescent="0.2">
      <c r="A176" s="282" t="s">
        <v>261</v>
      </c>
      <c r="B176" s="282" t="s">
        <v>189</v>
      </c>
      <c r="C176" s="282" t="s">
        <v>649</v>
      </c>
      <c r="D176" s="283">
        <v>2015</v>
      </c>
      <c r="E176" s="282" t="s">
        <v>650</v>
      </c>
      <c r="F176" s="284">
        <v>817</v>
      </c>
      <c r="G176" s="285">
        <v>0</v>
      </c>
      <c r="H176" s="288">
        <v>0</v>
      </c>
      <c r="I176" s="285">
        <v>0</v>
      </c>
      <c r="J176" s="285">
        <v>489</v>
      </c>
      <c r="K176" s="284">
        <v>0</v>
      </c>
      <c r="L176" s="284">
        <v>0</v>
      </c>
      <c r="M176" s="284">
        <v>0</v>
      </c>
      <c r="N176" s="289">
        <v>490</v>
      </c>
      <c r="O176" s="284">
        <v>10</v>
      </c>
      <c r="P176" s="284">
        <v>1428</v>
      </c>
      <c r="Q176" s="286">
        <v>0</v>
      </c>
      <c r="R176" s="274">
        <v>3224</v>
      </c>
      <c r="S176" s="274">
        <v>10</v>
      </c>
      <c r="T176" s="287">
        <f t="shared" si="2"/>
        <v>2015</v>
      </c>
      <c r="U176" s="274">
        <f>VLOOKUP(A176,'[1]SB35 Determination Data'!$B$4:$F$542,5,FALSE)</f>
        <v>2014</v>
      </c>
    </row>
    <row r="177" spans="1:21" s="274" customFormat="1" ht="12.75" x14ac:dyDescent="0.2">
      <c r="A177" s="282" t="s">
        <v>261</v>
      </c>
      <c r="B177" s="282" t="s">
        <v>189</v>
      </c>
      <c r="C177" s="282" t="s">
        <v>649</v>
      </c>
      <c r="D177" s="283">
        <v>2016</v>
      </c>
      <c r="E177" s="282" t="s">
        <v>650</v>
      </c>
      <c r="F177" s="284">
        <v>817</v>
      </c>
      <c r="G177" s="285">
        <v>0</v>
      </c>
      <c r="H177" s="288">
        <v>0</v>
      </c>
      <c r="I177" s="285">
        <v>0</v>
      </c>
      <c r="J177" s="285">
        <v>489</v>
      </c>
      <c r="K177" s="284">
        <v>0</v>
      </c>
      <c r="L177" s="284">
        <v>0</v>
      </c>
      <c r="M177" s="284">
        <v>0</v>
      </c>
      <c r="N177" s="284">
        <v>490</v>
      </c>
      <c r="O177" s="284">
        <v>2</v>
      </c>
      <c r="P177" s="284">
        <v>1428</v>
      </c>
      <c r="Q177" s="286">
        <v>0</v>
      </c>
      <c r="R177" s="274">
        <v>3224</v>
      </c>
      <c r="S177" s="274">
        <v>2</v>
      </c>
      <c r="T177" s="287">
        <f t="shared" si="2"/>
        <v>2016</v>
      </c>
      <c r="U177" s="274">
        <f>VLOOKUP(A177,'[1]SB35 Determination Data'!$B$4:$F$542,5,FALSE)</f>
        <v>2014</v>
      </c>
    </row>
    <row r="178" spans="1:21" s="274" customFormat="1" ht="12.75" x14ac:dyDescent="0.2">
      <c r="A178" s="282" t="s">
        <v>261</v>
      </c>
      <c r="B178" s="282" t="s">
        <v>189</v>
      </c>
      <c r="C178" s="282" t="s">
        <v>649</v>
      </c>
      <c r="D178" s="283">
        <v>2017</v>
      </c>
      <c r="E178" s="282" t="s">
        <v>650</v>
      </c>
      <c r="F178" s="284">
        <v>817</v>
      </c>
      <c r="G178" s="285">
        <v>0</v>
      </c>
      <c r="H178" s="288">
        <v>0</v>
      </c>
      <c r="I178" s="285">
        <v>0</v>
      </c>
      <c r="J178" s="285">
        <v>489</v>
      </c>
      <c r="K178" s="284">
        <v>0</v>
      </c>
      <c r="L178" s="284">
        <v>0</v>
      </c>
      <c r="M178" s="284">
        <v>0</v>
      </c>
      <c r="N178" s="284">
        <v>490</v>
      </c>
      <c r="O178" s="284">
        <v>10</v>
      </c>
      <c r="P178" s="284">
        <v>1428</v>
      </c>
      <c r="Q178" s="286">
        <v>0</v>
      </c>
      <c r="R178" s="274">
        <v>3224</v>
      </c>
      <c r="S178" s="274">
        <v>10</v>
      </c>
      <c r="T178" s="287">
        <f t="shared" si="2"/>
        <v>2017</v>
      </c>
      <c r="U178" s="274">
        <f>VLOOKUP(A178,'[1]SB35 Determination Data'!$B$4:$F$542,5,FALSE)</f>
        <v>2014</v>
      </c>
    </row>
    <row r="179" spans="1:21" s="274" customFormat="1" ht="12.75" x14ac:dyDescent="0.2">
      <c r="A179" s="282" t="s">
        <v>265</v>
      </c>
      <c r="B179" s="282" t="s">
        <v>481</v>
      </c>
      <c r="C179" s="282" t="s">
        <v>649</v>
      </c>
      <c r="D179" s="283">
        <v>2014</v>
      </c>
      <c r="E179" s="282" t="s">
        <v>650</v>
      </c>
      <c r="F179" s="284">
        <v>543</v>
      </c>
      <c r="G179" s="285">
        <v>0</v>
      </c>
      <c r="H179" s="288">
        <v>0</v>
      </c>
      <c r="I179" s="285">
        <v>0</v>
      </c>
      <c r="J179" s="285">
        <v>383</v>
      </c>
      <c r="K179" s="284">
        <v>0</v>
      </c>
      <c r="L179" s="284">
        <v>0</v>
      </c>
      <c r="M179" s="284">
        <v>0</v>
      </c>
      <c r="N179" s="284">
        <v>433</v>
      </c>
      <c r="O179" s="284">
        <v>0</v>
      </c>
      <c r="P179" s="284">
        <v>982</v>
      </c>
      <c r="Q179" s="286">
        <v>37</v>
      </c>
      <c r="R179" s="274">
        <v>2341</v>
      </c>
      <c r="S179" s="274">
        <v>37</v>
      </c>
      <c r="T179" s="287">
        <f t="shared" si="2"/>
        <v>2014</v>
      </c>
      <c r="U179" s="274">
        <f>VLOOKUP(A179,'[1]SB35 Determination Data'!$B$4:$F$542,5,FALSE)</f>
        <v>2014</v>
      </c>
    </row>
    <row r="180" spans="1:21" s="274" customFormat="1" ht="12.75" x14ac:dyDescent="0.2">
      <c r="A180" s="282" t="s">
        <v>265</v>
      </c>
      <c r="B180" s="282" t="s">
        <v>481</v>
      </c>
      <c r="C180" s="282" t="s">
        <v>649</v>
      </c>
      <c r="D180" s="283">
        <v>2015</v>
      </c>
      <c r="E180" s="282" t="s">
        <v>650</v>
      </c>
      <c r="F180" s="284">
        <v>543</v>
      </c>
      <c r="G180" s="285">
        <v>0</v>
      </c>
      <c r="H180" s="288">
        <v>0</v>
      </c>
      <c r="I180" s="285">
        <v>0</v>
      </c>
      <c r="J180" s="285">
        <v>383</v>
      </c>
      <c r="K180" s="284">
        <v>0</v>
      </c>
      <c r="L180" s="284">
        <v>0</v>
      </c>
      <c r="M180" s="284">
        <v>0</v>
      </c>
      <c r="N180" s="284">
        <v>433</v>
      </c>
      <c r="O180" s="284">
        <v>0</v>
      </c>
      <c r="P180" s="284">
        <v>982</v>
      </c>
      <c r="Q180" s="286">
        <v>77</v>
      </c>
      <c r="R180" s="274">
        <v>2341</v>
      </c>
      <c r="S180" s="274">
        <v>77</v>
      </c>
      <c r="T180" s="287">
        <f t="shared" si="2"/>
        <v>2015</v>
      </c>
      <c r="U180" s="274">
        <f>VLOOKUP(A180,'[1]SB35 Determination Data'!$B$4:$F$542,5,FALSE)</f>
        <v>2014</v>
      </c>
    </row>
    <row r="181" spans="1:21" s="274" customFormat="1" ht="12.75" x14ac:dyDescent="0.2">
      <c r="A181" s="282" t="s">
        <v>265</v>
      </c>
      <c r="B181" s="282" t="s">
        <v>481</v>
      </c>
      <c r="C181" s="282" t="s">
        <v>649</v>
      </c>
      <c r="D181" s="283">
        <v>2016</v>
      </c>
      <c r="E181" s="282" t="s">
        <v>650</v>
      </c>
      <c r="F181" s="284">
        <v>543</v>
      </c>
      <c r="G181" s="285">
        <v>0</v>
      </c>
      <c r="H181" s="288">
        <v>0</v>
      </c>
      <c r="I181" s="285">
        <v>0</v>
      </c>
      <c r="J181" s="285">
        <v>383</v>
      </c>
      <c r="K181" s="284">
        <v>0</v>
      </c>
      <c r="L181" s="284">
        <v>0</v>
      </c>
      <c r="M181" s="284">
        <v>0</v>
      </c>
      <c r="N181" s="289">
        <v>433</v>
      </c>
      <c r="O181" s="284">
        <v>0</v>
      </c>
      <c r="P181" s="284">
        <v>982</v>
      </c>
      <c r="Q181" s="286">
        <v>116</v>
      </c>
      <c r="R181" s="274">
        <v>2341</v>
      </c>
      <c r="S181" s="274">
        <v>116</v>
      </c>
      <c r="T181" s="287">
        <f t="shared" si="2"/>
        <v>2016</v>
      </c>
      <c r="U181" s="274">
        <f>VLOOKUP(A181,'[1]SB35 Determination Data'!$B$4:$F$542,5,FALSE)</f>
        <v>2014</v>
      </c>
    </row>
    <row r="182" spans="1:21" s="274" customFormat="1" ht="12.75" x14ac:dyDescent="0.2">
      <c r="A182" s="282" t="s">
        <v>265</v>
      </c>
      <c r="B182" s="282" t="s">
        <v>481</v>
      </c>
      <c r="C182" s="282" t="s">
        <v>649</v>
      </c>
      <c r="D182" s="283">
        <v>2017</v>
      </c>
      <c r="E182" s="282" t="s">
        <v>650</v>
      </c>
      <c r="F182" s="284">
        <v>543</v>
      </c>
      <c r="G182" s="285">
        <v>0</v>
      </c>
      <c r="H182" s="288">
        <v>0</v>
      </c>
      <c r="I182" s="285">
        <v>0</v>
      </c>
      <c r="J182" s="285">
        <v>383</v>
      </c>
      <c r="K182" s="284">
        <v>0</v>
      </c>
      <c r="L182" s="284">
        <v>0</v>
      </c>
      <c r="M182" s="284">
        <v>0</v>
      </c>
      <c r="N182" s="284">
        <v>433</v>
      </c>
      <c r="O182" s="284">
        <v>0</v>
      </c>
      <c r="P182" s="284">
        <v>982</v>
      </c>
      <c r="Q182" s="286">
        <v>43</v>
      </c>
      <c r="R182" s="274">
        <v>2341</v>
      </c>
      <c r="S182" s="274">
        <v>43</v>
      </c>
      <c r="T182" s="287">
        <f t="shared" si="2"/>
        <v>2017</v>
      </c>
      <c r="U182" s="274">
        <f>VLOOKUP(A182,'[1]SB35 Determination Data'!$B$4:$F$542,5,FALSE)</f>
        <v>2014</v>
      </c>
    </row>
    <row r="183" spans="1:21" s="274" customFormat="1" ht="12.75" x14ac:dyDescent="0.2">
      <c r="A183" s="282" t="s">
        <v>267</v>
      </c>
      <c r="B183" s="282" t="s">
        <v>189</v>
      </c>
      <c r="C183" s="282" t="s">
        <v>649</v>
      </c>
      <c r="D183" s="283">
        <v>2017</v>
      </c>
      <c r="E183" s="282" t="s">
        <v>650</v>
      </c>
      <c r="F183" s="284">
        <v>37</v>
      </c>
      <c r="G183" s="285">
        <v>0</v>
      </c>
      <c r="H183" s="288">
        <v>0</v>
      </c>
      <c r="I183" s="285">
        <v>0</v>
      </c>
      <c r="J183" s="285">
        <v>22</v>
      </c>
      <c r="K183" s="284">
        <v>0</v>
      </c>
      <c r="L183" s="284">
        <v>0</v>
      </c>
      <c r="M183" s="284">
        <v>0</v>
      </c>
      <c r="N183" s="284">
        <v>22</v>
      </c>
      <c r="O183" s="284">
        <v>0</v>
      </c>
      <c r="P183" s="284">
        <v>63</v>
      </c>
      <c r="Q183" s="286">
        <v>0</v>
      </c>
      <c r="R183" s="274">
        <v>144</v>
      </c>
      <c r="S183" s="274">
        <v>0</v>
      </c>
      <c r="T183" s="287">
        <f t="shared" si="2"/>
        <v>2017</v>
      </c>
      <c r="U183" s="274">
        <f>VLOOKUP(A183,'[1]SB35 Determination Data'!$B$4:$F$542,5,FALSE)</f>
        <v>2014</v>
      </c>
    </row>
    <row r="184" spans="1:21" s="274" customFormat="1" ht="12.75" x14ac:dyDescent="0.2">
      <c r="A184" s="282" t="s">
        <v>268</v>
      </c>
      <c r="B184" s="282" t="s">
        <v>411</v>
      </c>
      <c r="C184" s="282" t="s">
        <v>654</v>
      </c>
      <c r="D184" s="283">
        <v>2015</v>
      </c>
      <c r="E184" s="282" t="s">
        <v>650</v>
      </c>
      <c r="F184" s="284">
        <v>6</v>
      </c>
      <c r="G184" s="285">
        <v>0</v>
      </c>
      <c r="H184" s="288">
        <v>0</v>
      </c>
      <c r="I184" s="285">
        <v>0</v>
      </c>
      <c r="J184" s="285">
        <v>2</v>
      </c>
      <c r="K184" s="284">
        <v>0</v>
      </c>
      <c r="L184" s="284">
        <v>0</v>
      </c>
      <c r="M184" s="284">
        <v>0</v>
      </c>
      <c r="N184" s="284">
        <v>4</v>
      </c>
      <c r="O184" s="284">
        <v>0</v>
      </c>
      <c r="P184" s="284">
        <v>15</v>
      </c>
      <c r="Q184" s="286">
        <v>4</v>
      </c>
      <c r="R184" s="274">
        <v>27</v>
      </c>
      <c r="S184" s="274">
        <v>4</v>
      </c>
      <c r="T184" s="287">
        <f t="shared" si="2"/>
        <v>2015</v>
      </c>
      <c r="U184" s="274">
        <f>VLOOKUP(A184,'[1]SB35 Determination Data'!$B$4:$F$542,5,FALSE)</f>
        <v>2015</v>
      </c>
    </row>
    <row r="185" spans="1:21" s="274" customFormat="1" ht="12.75" x14ac:dyDescent="0.2">
      <c r="A185" s="282" t="s">
        <v>268</v>
      </c>
      <c r="B185" s="282" t="s">
        <v>411</v>
      </c>
      <c r="C185" s="282" t="s">
        <v>654</v>
      </c>
      <c r="D185" s="283">
        <v>2016</v>
      </c>
      <c r="E185" s="282" t="s">
        <v>650</v>
      </c>
      <c r="F185" s="284">
        <v>6</v>
      </c>
      <c r="G185" s="285">
        <v>0</v>
      </c>
      <c r="H185" s="288">
        <v>0</v>
      </c>
      <c r="I185" s="285">
        <v>0</v>
      </c>
      <c r="J185" s="285">
        <v>2</v>
      </c>
      <c r="K185" s="284">
        <v>0</v>
      </c>
      <c r="L185" s="284">
        <v>0</v>
      </c>
      <c r="M185" s="284">
        <v>0</v>
      </c>
      <c r="N185" s="284">
        <v>4</v>
      </c>
      <c r="O185" s="284">
        <v>0</v>
      </c>
      <c r="P185" s="284">
        <v>15</v>
      </c>
      <c r="Q185" s="286">
        <v>4</v>
      </c>
      <c r="R185" s="274">
        <v>27</v>
      </c>
      <c r="S185" s="274">
        <v>4</v>
      </c>
      <c r="T185" s="287">
        <f t="shared" si="2"/>
        <v>2016</v>
      </c>
      <c r="U185" s="274">
        <f>VLOOKUP(A185,'[1]SB35 Determination Data'!$B$4:$F$542,5,FALSE)</f>
        <v>2015</v>
      </c>
    </row>
    <row r="186" spans="1:21" s="274" customFormat="1" ht="12.75" x14ac:dyDescent="0.2">
      <c r="A186" s="282" t="s">
        <v>268</v>
      </c>
      <c r="B186" s="282" t="s">
        <v>411</v>
      </c>
      <c r="C186" s="282" t="s">
        <v>654</v>
      </c>
      <c r="D186" s="283">
        <v>2017</v>
      </c>
      <c r="E186" s="282" t="s">
        <v>650</v>
      </c>
      <c r="F186" s="284">
        <v>6</v>
      </c>
      <c r="G186" s="285">
        <v>23</v>
      </c>
      <c r="H186" s="288">
        <v>23</v>
      </c>
      <c r="I186" s="285">
        <v>0</v>
      </c>
      <c r="J186" s="285">
        <v>2</v>
      </c>
      <c r="K186" s="284">
        <v>7</v>
      </c>
      <c r="L186" s="284">
        <v>6</v>
      </c>
      <c r="M186" s="284">
        <v>1</v>
      </c>
      <c r="N186" s="289">
        <v>4</v>
      </c>
      <c r="O186" s="284">
        <v>3</v>
      </c>
      <c r="P186" s="284">
        <v>15</v>
      </c>
      <c r="Q186" s="286">
        <v>22</v>
      </c>
      <c r="R186" s="274">
        <v>27</v>
      </c>
      <c r="S186" s="274">
        <v>55</v>
      </c>
      <c r="T186" s="287">
        <f t="shared" si="2"/>
        <v>2017</v>
      </c>
      <c r="U186" s="274">
        <f>VLOOKUP(A186,'[1]SB35 Determination Data'!$B$4:$F$542,5,FALSE)</f>
        <v>2015</v>
      </c>
    </row>
    <row r="187" spans="1:21" s="274" customFormat="1" ht="12.75" x14ac:dyDescent="0.2">
      <c r="A187" s="282" t="s">
        <v>269</v>
      </c>
      <c r="B187" s="282" t="s">
        <v>743</v>
      </c>
      <c r="C187" s="282" t="s">
        <v>649</v>
      </c>
      <c r="D187" s="283">
        <v>2014</v>
      </c>
      <c r="E187" s="282" t="s">
        <v>650</v>
      </c>
      <c r="F187" s="284">
        <v>539</v>
      </c>
      <c r="G187" s="285">
        <v>20</v>
      </c>
      <c r="H187" s="288">
        <v>20</v>
      </c>
      <c r="I187" s="285">
        <v>0</v>
      </c>
      <c r="J187" s="285">
        <v>366</v>
      </c>
      <c r="K187" s="284">
        <v>21</v>
      </c>
      <c r="L187" s="284">
        <v>21</v>
      </c>
      <c r="M187" s="284">
        <v>0</v>
      </c>
      <c r="N187" s="284">
        <v>411</v>
      </c>
      <c r="O187" s="284">
        <v>155</v>
      </c>
      <c r="P187" s="284">
        <v>908</v>
      </c>
      <c r="Q187" s="286">
        <v>102</v>
      </c>
      <c r="R187" s="274">
        <v>2224</v>
      </c>
      <c r="S187" s="274">
        <v>298</v>
      </c>
      <c r="T187" s="287">
        <f t="shared" si="2"/>
        <v>2014</v>
      </c>
      <c r="U187" s="274">
        <f>VLOOKUP(A187,'[1]SB35 Determination Data'!$B$4:$F$542,5,FALSE)</f>
        <v>2014</v>
      </c>
    </row>
    <row r="188" spans="1:21" s="274" customFormat="1" ht="12.75" x14ac:dyDescent="0.2">
      <c r="A188" s="282" t="s">
        <v>269</v>
      </c>
      <c r="B188" s="282" t="s">
        <v>743</v>
      </c>
      <c r="C188" s="282" t="s">
        <v>649</v>
      </c>
      <c r="D188" s="283">
        <v>2015</v>
      </c>
      <c r="E188" s="282" t="s">
        <v>650</v>
      </c>
      <c r="F188" s="284">
        <v>539</v>
      </c>
      <c r="G188" s="285">
        <v>0</v>
      </c>
      <c r="H188" s="288">
        <v>0</v>
      </c>
      <c r="I188" s="285">
        <v>0</v>
      </c>
      <c r="J188" s="285">
        <v>366</v>
      </c>
      <c r="K188" s="284">
        <v>0</v>
      </c>
      <c r="L188" s="284">
        <v>0</v>
      </c>
      <c r="M188" s="284">
        <v>0</v>
      </c>
      <c r="N188" s="284">
        <v>411</v>
      </c>
      <c r="O188" s="284">
        <v>2</v>
      </c>
      <c r="P188" s="284">
        <v>908</v>
      </c>
      <c r="Q188" s="286">
        <v>94</v>
      </c>
      <c r="R188" s="274">
        <v>2224</v>
      </c>
      <c r="S188" s="274">
        <v>96</v>
      </c>
      <c r="T188" s="287">
        <f t="shared" si="2"/>
        <v>2015</v>
      </c>
      <c r="U188" s="274">
        <f>VLOOKUP(A188,'[1]SB35 Determination Data'!$B$4:$F$542,5,FALSE)</f>
        <v>2014</v>
      </c>
    </row>
    <row r="189" spans="1:21" s="274" customFormat="1" ht="12.75" x14ac:dyDescent="0.2">
      <c r="A189" s="282" t="s">
        <v>269</v>
      </c>
      <c r="B189" s="282" t="s">
        <v>743</v>
      </c>
      <c r="C189" s="282" t="s">
        <v>649</v>
      </c>
      <c r="D189" s="283">
        <v>2016</v>
      </c>
      <c r="E189" s="282" t="s">
        <v>650</v>
      </c>
      <c r="F189" s="284">
        <v>539</v>
      </c>
      <c r="G189" s="285">
        <v>34</v>
      </c>
      <c r="H189" s="288">
        <v>34</v>
      </c>
      <c r="I189" s="285">
        <v>0</v>
      </c>
      <c r="J189" s="285">
        <v>366</v>
      </c>
      <c r="K189" s="284">
        <v>30</v>
      </c>
      <c r="L189" s="284">
        <v>30</v>
      </c>
      <c r="M189" s="284">
        <v>0</v>
      </c>
      <c r="N189" s="284">
        <v>411</v>
      </c>
      <c r="O189" s="284">
        <v>52</v>
      </c>
      <c r="P189" s="284">
        <v>908</v>
      </c>
      <c r="Q189" s="286">
        <v>121</v>
      </c>
      <c r="R189" s="274">
        <v>2224</v>
      </c>
      <c r="S189" s="274">
        <v>237</v>
      </c>
      <c r="T189" s="287">
        <f t="shared" si="2"/>
        <v>2016</v>
      </c>
      <c r="U189" s="274">
        <f>VLOOKUP(A189,'[1]SB35 Determination Data'!$B$4:$F$542,5,FALSE)</f>
        <v>2014</v>
      </c>
    </row>
    <row r="190" spans="1:21" s="274" customFormat="1" ht="12.75" x14ac:dyDescent="0.2">
      <c r="A190" s="282" t="s">
        <v>269</v>
      </c>
      <c r="B190" s="282" t="s">
        <v>743</v>
      </c>
      <c r="C190" s="282" t="s">
        <v>649</v>
      </c>
      <c r="D190" s="283">
        <v>2017</v>
      </c>
      <c r="E190" s="282" t="s">
        <v>650</v>
      </c>
      <c r="F190" s="284">
        <v>539</v>
      </c>
      <c r="G190" s="285">
        <v>72</v>
      </c>
      <c r="H190" s="288">
        <v>72</v>
      </c>
      <c r="I190" s="285">
        <v>0</v>
      </c>
      <c r="J190" s="285">
        <v>366</v>
      </c>
      <c r="K190" s="284">
        <v>54</v>
      </c>
      <c r="L190" s="284">
        <v>54</v>
      </c>
      <c r="M190" s="284">
        <v>0</v>
      </c>
      <c r="N190" s="284">
        <v>411</v>
      </c>
      <c r="O190" s="284">
        <v>407</v>
      </c>
      <c r="P190" s="284">
        <v>908</v>
      </c>
      <c r="Q190" s="286">
        <v>200</v>
      </c>
      <c r="R190" s="274">
        <v>2224</v>
      </c>
      <c r="S190" s="274">
        <v>733</v>
      </c>
      <c r="T190" s="287">
        <f t="shared" si="2"/>
        <v>2017</v>
      </c>
      <c r="U190" s="274">
        <f>VLOOKUP(A190,'[1]SB35 Determination Data'!$B$4:$F$542,5,FALSE)</f>
        <v>2014</v>
      </c>
    </row>
    <row r="191" spans="1:21" s="274" customFormat="1" ht="12.75" x14ac:dyDescent="0.2">
      <c r="A191" s="282" t="s">
        <v>271</v>
      </c>
      <c r="B191" s="282" t="s">
        <v>614</v>
      </c>
      <c r="C191" s="282" t="s">
        <v>654</v>
      </c>
      <c r="D191" s="283">
        <v>2015</v>
      </c>
      <c r="E191" s="282" t="s">
        <v>650</v>
      </c>
      <c r="F191" s="284">
        <v>253</v>
      </c>
      <c r="G191" s="285">
        <v>0</v>
      </c>
      <c r="H191" s="288">
        <v>0</v>
      </c>
      <c r="I191" s="285">
        <v>0</v>
      </c>
      <c r="J191" s="285">
        <v>138</v>
      </c>
      <c r="K191" s="284">
        <v>0</v>
      </c>
      <c r="L191" s="284">
        <v>0</v>
      </c>
      <c r="M191" s="284">
        <v>0</v>
      </c>
      <c r="N191" s="284">
        <v>151</v>
      </c>
      <c r="O191" s="284">
        <v>0</v>
      </c>
      <c r="P191" s="284">
        <v>391</v>
      </c>
      <c r="Q191" s="286">
        <v>52</v>
      </c>
      <c r="R191" s="274">
        <v>933</v>
      </c>
      <c r="S191" s="274">
        <v>52</v>
      </c>
      <c r="T191" s="287">
        <f t="shared" si="2"/>
        <v>2015</v>
      </c>
      <c r="U191" s="274">
        <f>VLOOKUP(A191,'[1]SB35 Determination Data'!$B$4:$F$542,5,FALSE)</f>
        <v>2015</v>
      </c>
    </row>
    <row r="192" spans="1:21" s="274" customFormat="1" ht="12.75" x14ac:dyDescent="0.2">
      <c r="A192" s="282" t="s">
        <v>271</v>
      </c>
      <c r="B192" s="282" t="s">
        <v>614</v>
      </c>
      <c r="C192" s="282" t="s">
        <v>654</v>
      </c>
      <c r="D192" s="283">
        <v>2016</v>
      </c>
      <c r="E192" s="282" t="s">
        <v>650</v>
      </c>
      <c r="F192" s="284">
        <v>253</v>
      </c>
      <c r="G192" s="285">
        <v>9</v>
      </c>
      <c r="H192" s="288">
        <v>9</v>
      </c>
      <c r="I192" s="285">
        <v>0</v>
      </c>
      <c r="J192" s="285">
        <v>138</v>
      </c>
      <c r="K192" s="284">
        <v>1</v>
      </c>
      <c r="L192" s="284">
        <v>1</v>
      </c>
      <c r="M192" s="284">
        <v>0</v>
      </c>
      <c r="N192" s="289">
        <v>151</v>
      </c>
      <c r="O192" s="284">
        <v>9</v>
      </c>
      <c r="P192" s="284">
        <v>391</v>
      </c>
      <c r="Q192" s="286">
        <v>214</v>
      </c>
      <c r="R192" s="274">
        <v>933</v>
      </c>
      <c r="S192" s="274">
        <v>233</v>
      </c>
      <c r="T192" s="287">
        <f t="shared" si="2"/>
        <v>2016</v>
      </c>
      <c r="U192" s="274">
        <f>VLOOKUP(A192,'[1]SB35 Determination Data'!$B$4:$F$542,5,FALSE)</f>
        <v>2015</v>
      </c>
    </row>
    <row r="193" spans="1:21" s="274" customFormat="1" ht="12.75" x14ac:dyDescent="0.2">
      <c r="A193" s="282" t="s">
        <v>271</v>
      </c>
      <c r="B193" s="282" t="s">
        <v>614</v>
      </c>
      <c r="C193" s="282" t="s">
        <v>654</v>
      </c>
      <c r="D193" s="283">
        <v>2017</v>
      </c>
      <c r="E193" s="282" t="s">
        <v>650</v>
      </c>
      <c r="F193" s="284">
        <v>253</v>
      </c>
      <c r="G193" s="285">
        <v>0</v>
      </c>
      <c r="H193" s="288">
        <v>0</v>
      </c>
      <c r="I193" s="285">
        <v>0</v>
      </c>
      <c r="J193" s="285">
        <v>138</v>
      </c>
      <c r="K193" s="284">
        <v>1</v>
      </c>
      <c r="L193" s="284">
        <v>1</v>
      </c>
      <c r="M193" s="284">
        <v>0</v>
      </c>
      <c r="N193" s="284">
        <v>151</v>
      </c>
      <c r="O193" s="284">
        <v>4</v>
      </c>
      <c r="P193" s="284">
        <v>391</v>
      </c>
      <c r="Q193" s="286">
        <v>59</v>
      </c>
      <c r="R193" s="274">
        <v>933</v>
      </c>
      <c r="S193" s="274">
        <v>64</v>
      </c>
      <c r="T193" s="287">
        <f t="shared" si="2"/>
        <v>2017</v>
      </c>
      <c r="U193" s="274">
        <f>VLOOKUP(A193,'[1]SB35 Determination Data'!$B$4:$F$542,5,FALSE)</f>
        <v>2015</v>
      </c>
    </row>
    <row r="194" spans="1:21" s="274" customFormat="1" ht="12.75" x14ac:dyDescent="0.2">
      <c r="A194" s="282" t="s">
        <v>272</v>
      </c>
      <c r="B194" s="282" t="s">
        <v>481</v>
      </c>
      <c r="C194" s="282" t="s">
        <v>649</v>
      </c>
      <c r="D194" s="283">
        <v>2014</v>
      </c>
      <c r="E194" s="282" t="s">
        <v>650</v>
      </c>
      <c r="F194" s="284">
        <v>21</v>
      </c>
      <c r="G194" s="285">
        <v>0</v>
      </c>
      <c r="H194" s="288">
        <v>0</v>
      </c>
      <c r="I194" s="285">
        <v>0</v>
      </c>
      <c r="J194" s="285">
        <v>14</v>
      </c>
      <c r="K194" s="284">
        <v>0</v>
      </c>
      <c r="L194" s="284">
        <v>0</v>
      </c>
      <c r="M194" s="284">
        <v>0</v>
      </c>
      <c r="N194" s="284">
        <v>16</v>
      </c>
      <c r="O194" s="284">
        <v>1</v>
      </c>
      <c r="P194" s="284">
        <v>32</v>
      </c>
      <c r="Q194" s="286">
        <v>4</v>
      </c>
      <c r="R194" s="274">
        <v>83</v>
      </c>
      <c r="S194" s="274">
        <v>5</v>
      </c>
      <c r="T194" s="287">
        <f t="shared" si="2"/>
        <v>2014</v>
      </c>
      <c r="U194" s="274">
        <f>VLOOKUP(A194,'[1]SB35 Determination Data'!$B$4:$F$542,5,FALSE)</f>
        <v>2014</v>
      </c>
    </row>
    <row r="195" spans="1:21" s="274" customFormat="1" ht="12.75" x14ac:dyDescent="0.2">
      <c r="A195" s="282" t="s">
        <v>272</v>
      </c>
      <c r="B195" s="282" t="s">
        <v>481</v>
      </c>
      <c r="C195" s="282" t="s">
        <v>649</v>
      </c>
      <c r="D195" s="283">
        <v>2015</v>
      </c>
      <c r="E195" s="282" t="s">
        <v>650</v>
      </c>
      <c r="F195" s="284">
        <v>21</v>
      </c>
      <c r="G195" s="285">
        <v>0</v>
      </c>
      <c r="H195" s="288">
        <v>0</v>
      </c>
      <c r="I195" s="285">
        <v>0</v>
      </c>
      <c r="J195" s="285">
        <v>14</v>
      </c>
      <c r="K195" s="284">
        <v>0</v>
      </c>
      <c r="L195" s="284">
        <v>0</v>
      </c>
      <c r="M195" s="284">
        <v>0</v>
      </c>
      <c r="N195" s="284">
        <v>16</v>
      </c>
      <c r="O195" s="284">
        <v>4</v>
      </c>
      <c r="P195" s="284">
        <v>32</v>
      </c>
      <c r="Q195" s="286">
        <v>6</v>
      </c>
      <c r="R195" s="274">
        <v>83</v>
      </c>
      <c r="S195" s="274">
        <v>10</v>
      </c>
      <c r="T195" s="287">
        <f t="shared" si="2"/>
        <v>2015</v>
      </c>
      <c r="U195" s="274">
        <f>VLOOKUP(A195,'[1]SB35 Determination Data'!$B$4:$F$542,5,FALSE)</f>
        <v>2014</v>
      </c>
    </row>
    <row r="196" spans="1:21" s="274" customFormat="1" ht="12.75" x14ac:dyDescent="0.2">
      <c r="A196" s="282" t="s">
        <v>272</v>
      </c>
      <c r="B196" s="282" t="s">
        <v>481</v>
      </c>
      <c r="C196" s="282" t="s">
        <v>649</v>
      </c>
      <c r="D196" s="283">
        <v>2016</v>
      </c>
      <c r="E196" s="282" t="s">
        <v>650</v>
      </c>
      <c r="F196" s="284">
        <v>21</v>
      </c>
      <c r="G196" s="285">
        <v>0</v>
      </c>
      <c r="H196" s="288">
        <v>0</v>
      </c>
      <c r="I196" s="285">
        <v>0</v>
      </c>
      <c r="J196" s="285">
        <v>14</v>
      </c>
      <c r="K196" s="284">
        <v>0</v>
      </c>
      <c r="L196" s="284">
        <v>0</v>
      </c>
      <c r="M196" s="284">
        <v>0</v>
      </c>
      <c r="N196" s="284">
        <v>16</v>
      </c>
      <c r="O196" s="284">
        <v>3</v>
      </c>
      <c r="P196" s="284">
        <v>32</v>
      </c>
      <c r="Q196" s="286">
        <v>5</v>
      </c>
      <c r="R196" s="274">
        <v>83</v>
      </c>
      <c r="S196" s="274">
        <v>8</v>
      </c>
      <c r="T196" s="287">
        <f t="shared" ref="T196:T259" si="3">IF(D196&gt;U196,D196,U196)</f>
        <v>2016</v>
      </c>
      <c r="U196" s="274">
        <f>VLOOKUP(A196,'[1]SB35 Determination Data'!$B$4:$F$542,5,FALSE)</f>
        <v>2014</v>
      </c>
    </row>
    <row r="197" spans="1:21" s="274" customFormat="1" ht="12.75" x14ac:dyDescent="0.2">
      <c r="A197" s="282" t="s">
        <v>272</v>
      </c>
      <c r="B197" s="282" t="s">
        <v>481</v>
      </c>
      <c r="C197" s="282" t="s">
        <v>649</v>
      </c>
      <c r="D197" s="283">
        <v>2017</v>
      </c>
      <c r="E197" s="282" t="s">
        <v>650</v>
      </c>
      <c r="F197" s="284">
        <v>21</v>
      </c>
      <c r="G197" s="285">
        <v>0</v>
      </c>
      <c r="H197" s="288">
        <v>0</v>
      </c>
      <c r="I197" s="285">
        <v>0</v>
      </c>
      <c r="J197" s="285">
        <v>14</v>
      </c>
      <c r="K197" s="284">
        <v>0</v>
      </c>
      <c r="L197" s="284">
        <v>0</v>
      </c>
      <c r="M197" s="284">
        <v>0</v>
      </c>
      <c r="N197" s="289">
        <v>16</v>
      </c>
      <c r="O197" s="284">
        <v>2</v>
      </c>
      <c r="P197" s="284">
        <v>32</v>
      </c>
      <c r="Q197" s="286">
        <v>3</v>
      </c>
      <c r="R197" s="274">
        <v>83</v>
      </c>
      <c r="S197" s="274">
        <v>5</v>
      </c>
      <c r="T197" s="287">
        <f t="shared" si="3"/>
        <v>2017</v>
      </c>
      <c r="U197" s="274">
        <f>VLOOKUP(A197,'[1]SB35 Determination Data'!$B$4:$F$542,5,FALSE)</f>
        <v>2014</v>
      </c>
    </row>
    <row r="198" spans="1:21" s="274" customFormat="1" ht="12.75" x14ac:dyDescent="0.2">
      <c r="A198" s="282" t="s">
        <v>274</v>
      </c>
      <c r="B198" s="282" t="s">
        <v>621</v>
      </c>
      <c r="C198" s="282" t="s">
        <v>531</v>
      </c>
      <c r="D198" s="283">
        <v>2015</v>
      </c>
      <c r="E198" s="282" t="s">
        <v>650</v>
      </c>
      <c r="F198" s="284">
        <v>34</v>
      </c>
      <c r="G198" s="285">
        <v>0</v>
      </c>
      <c r="H198" s="288">
        <v>0</v>
      </c>
      <c r="I198" s="285">
        <v>0</v>
      </c>
      <c r="J198" s="285">
        <v>23</v>
      </c>
      <c r="K198" s="284">
        <v>0</v>
      </c>
      <c r="L198" s="284">
        <v>0</v>
      </c>
      <c r="M198" s="284">
        <v>0</v>
      </c>
      <c r="N198" s="284">
        <v>26</v>
      </c>
      <c r="O198" s="284">
        <v>0</v>
      </c>
      <c r="P198" s="284">
        <v>60</v>
      </c>
      <c r="Q198" s="286">
        <v>2</v>
      </c>
      <c r="R198" s="274">
        <v>143</v>
      </c>
      <c r="S198" s="274">
        <v>2</v>
      </c>
      <c r="T198" s="287">
        <f t="shared" si="3"/>
        <v>2016</v>
      </c>
      <c r="U198" s="274">
        <f>VLOOKUP(A198,'[1]SB35 Determination Data'!$B$4:$F$542,5,FALSE)</f>
        <v>2016</v>
      </c>
    </row>
    <row r="199" spans="1:21" s="274" customFormat="1" ht="12.75" x14ac:dyDescent="0.2">
      <c r="A199" s="282" t="s">
        <v>274</v>
      </c>
      <c r="B199" s="282" t="s">
        <v>621</v>
      </c>
      <c r="C199" s="282" t="s">
        <v>531</v>
      </c>
      <c r="D199" s="283">
        <v>2016</v>
      </c>
      <c r="E199" s="282" t="s">
        <v>650</v>
      </c>
      <c r="F199" s="284">
        <v>34</v>
      </c>
      <c r="G199" s="285">
        <v>0</v>
      </c>
      <c r="H199" s="288">
        <v>0</v>
      </c>
      <c r="I199" s="285">
        <v>0</v>
      </c>
      <c r="J199" s="285">
        <v>23</v>
      </c>
      <c r="K199" s="284">
        <v>0</v>
      </c>
      <c r="L199" s="284">
        <v>0</v>
      </c>
      <c r="M199" s="284">
        <v>0</v>
      </c>
      <c r="N199" s="284">
        <v>26</v>
      </c>
      <c r="O199" s="284">
        <v>0</v>
      </c>
      <c r="P199" s="284">
        <v>60</v>
      </c>
      <c r="Q199" s="286">
        <v>1</v>
      </c>
      <c r="R199" s="274">
        <v>143</v>
      </c>
      <c r="S199" s="274">
        <v>1</v>
      </c>
      <c r="T199" s="287">
        <f t="shared" si="3"/>
        <v>2016</v>
      </c>
      <c r="U199" s="274">
        <f>VLOOKUP(A199,'[1]SB35 Determination Data'!$B$4:$F$542,5,FALSE)</f>
        <v>2016</v>
      </c>
    </row>
    <row r="200" spans="1:21" s="274" customFormat="1" ht="12.75" x14ac:dyDescent="0.2">
      <c r="A200" s="282" t="s">
        <v>274</v>
      </c>
      <c r="B200" s="282" t="s">
        <v>621</v>
      </c>
      <c r="C200" s="282" t="s">
        <v>531</v>
      </c>
      <c r="D200" s="283">
        <v>2017</v>
      </c>
      <c r="E200" s="282" t="s">
        <v>650</v>
      </c>
      <c r="F200" s="284">
        <v>34</v>
      </c>
      <c r="G200" s="285">
        <v>0</v>
      </c>
      <c r="H200" s="288">
        <v>0</v>
      </c>
      <c r="I200" s="285">
        <v>0</v>
      </c>
      <c r="J200" s="285">
        <v>23</v>
      </c>
      <c r="K200" s="284">
        <v>0</v>
      </c>
      <c r="L200" s="284">
        <v>0</v>
      </c>
      <c r="M200" s="284">
        <v>0</v>
      </c>
      <c r="N200" s="284">
        <v>26</v>
      </c>
      <c r="O200" s="284">
        <v>1</v>
      </c>
      <c r="P200" s="284">
        <v>60</v>
      </c>
      <c r="Q200" s="286">
        <v>20</v>
      </c>
      <c r="R200" s="274">
        <v>143</v>
      </c>
      <c r="S200" s="274">
        <v>21</v>
      </c>
      <c r="T200" s="287">
        <f t="shared" si="3"/>
        <v>2017</v>
      </c>
      <c r="U200" s="274">
        <f>VLOOKUP(A200,'[1]SB35 Determination Data'!$B$4:$F$542,5,FALSE)</f>
        <v>2016</v>
      </c>
    </row>
    <row r="201" spans="1:21" s="274" customFormat="1" ht="12.75" x14ac:dyDescent="0.2">
      <c r="A201" s="282" t="s">
        <v>275</v>
      </c>
      <c r="B201" s="282" t="s">
        <v>557</v>
      </c>
      <c r="C201" s="282" t="s">
        <v>758</v>
      </c>
      <c r="D201" s="283">
        <v>2013</v>
      </c>
      <c r="E201" s="282" t="s">
        <v>650</v>
      </c>
      <c r="F201" s="284">
        <v>912</v>
      </c>
      <c r="G201" s="285">
        <v>35</v>
      </c>
      <c r="H201" s="288">
        <v>35</v>
      </c>
      <c r="I201" s="285">
        <v>0</v>
      </c>
      <c r="J201" s="285">
        <v>693</v>
      </c>
      <c r="K201" s="284">
        <v>29</v>
      </c>
      <c r="L201" s="284">
        <v>28</v>
      </c>
      <c r="M201" s="284">
        <v>1</v>
      </c>
      <c r="N201" s="284">
        <v>1062</v>
      </c>
      <c r="O201" s="284">
        <v>104</v>
      </c>
      <c r="P201" s="284">
        <v>2332</v>
      </c>
      <c r="Q201" s="286">
        <v>1136</v>
      </c>
      <c r="R201" s="274">
        <v>4999</v>
      </c>
      <c r="S201" s="274">
        <v>1304</v>
      </c>
      <c r="T201" s="287">
        <f t="shared" si="3"/>
        <v>2013</v>
      </c>
      <c r="U201" s="274">
        <f>VLOOKUP(A201,'[1]SB35 Determination Data'!$B$4:$F$542,5,FALSE)</f>
        <v>2013</v>
      </c>
    </row>
    <row r="202" spans="1:21" s="274" customFormat="1" ht="12.75" x14ac:dyDescent="0.2">
      <c r="A202" s="282" t="s">
        <v>275</v>
      </c>
      <c r="B202" s="282" t="s">
        <v>557</v>
      </c>
      <c r="C202" s="282" t="s">
        <v>758</v>
      </c>
      <c r="D202" s="283">
        <v>2014</v>
      </c>
      <c r="E202" s="282" t="s">
        <v>650</v>
      </c>
      <c r="F202" s="284">
        <v>912</v>
      </c>
      <c r="G202" s="285">
        <v>0</v>
      </c>
      <c r="H202" s="288">
        <v>0</v>
      </c>
      <c r="I202" s="285">
        <v>0</v>
      </c>
      <c r="J202" s="285">
        <v>693</v>
      </c>
      <c r="K202" s="284">
        <v>7</v>
      </c>
      <c r="L202" s="284">
        <v>7</v>
      </c>
      <c r="M202" s="284">
        <v>0</v>
      </c>
      <c r="N202" s="289">
        <v>1062</v>
      </c>
      <c r="O202" s="284">
        <v>13</v>
      </c>
      <c r="P202" s="284">
        <v>2332</v>
      </c>
      <c r="Q202" s="286">
        <v>235</v>
      </c>
      <c r="R202" s="274">
        <v>4999</v>
      </c>
      <c r="S202" s="274">
        <v>255</v>
      </c>
      <c r="T202" s="287">
        <f t="shared" si="3"/>
        <v>2014</v>
      </c>
      <c r="U202" s="274">
        <f>VLOOKUP(A202,'[1]SB35 Determination Data'!$B$4:$F$542,5,FALSE)</f>
        <v>2013</v>
      </c>
    </row>
    <row r="203" spans="1:21" s="274" customFormat="1" ht="12.75" x14ac:dyDescent="0.2">
      <c r="A203" s="282" t="s">
        <v>275</v>
      </c>
      <c r="B203" s="282" t="s">
        <v>557</v>
      </c>
      <c r="C203" s="282" t="s">
        <v>758</v>
      </c>
      <c r="D203" s="283">
        <v>2015</v>
      </c>
      <c r="E203" s="282" t="s">
        <v>650</v>
      </c>
      <c r="F203" s="284">
        <v>912</v>
      </c>
      <c r="G203" s="285">
        <v>0</v>
      </c>
      <c r="H203" s="288">
        <v>0</v>
      </c>
      <c r="I203" s="285">
        <v>0</v>
      </c>
      <c r="J203" s="285">
        <v>693</v>
      </c>
      <c r="K203" s="284">
        <v>9</v>
      </c>
      <c r="L203" s="284">
        <v>9</v>
      </c>
      <c r="M203" s="284">
        <v>0</v>
      </c>
      <c r="N203" s="284">
        <v>1062</v>
      </c>
      <c r="O203" s="284">
        <v>20</v>
      </c>
      <c r="P203" s="284">
        <v>2332</v>
      </c>
      <c r="Q203" s="286">
        <v>200</v>
      </c>
      <c r="R203" s="274">
        <v>4999</v>
      </c>
      <c r="S203" s="274">
        <v>229</v>
      </c>
      <c r="T203" s="287">
        <f t="shared" si="3"/>
        <v>2015</v>
      </c>
      <c r="U203" s="274">
        <f>VLOOKUP(A203,'[1]SB35 Determination Data'!$B$4:$F$542,5,FALSE)</f>
        <v>2013</v>
      </c>
    </row>
    <row r="204" spans="1:21" s="274" customFormat="1" ht="12.75" x14ac:dyDescent="0.2">
      <c r="A204" s="282" t="s">
        <v>275</v>
      </c>
      <c r="B204" s="282" t="s">
        <v>557</v>
      </c>
      <c r="C204" s="282" t="s">
        <v>758</v>
      </c>
      <c r="D204" s="283">
        <v>2016</v>
      </c>
      <c r="E204" s="282" t="s">
        <v>650</v>
      </c>
      <c r="F204" s="284">
        <v>912</v>
      </c>
      <c r="G204" s="285">
        <v>7</v>
      </c>
      <c r="H204" s="288">
        <v>7</v>
      </c>
      <c r="I204" s="285">
        <v>0</v>
      </c>
      <c r="J204" s="285">
        <v>693</v>
      </c>
      <c r="K204" s="284">
        <v>163</v>
      </c>
      <c r="L204" s="284">
        <v>163</v>
      </c>
      <c r="M204" s="284">
        <v>0</v>
      </c>
      <c r="N204" s="284">
        <v>1062</v>
      </c>
      <c r="O204" s="284">
        <v>74</v>
      </c>
      <c r="P204" s="284">
        <v>2332</v>
      </c>
      <c r="Q204" s="286">
        <v>439</v>
      </c>
      <c r="R204" s="274">
        <v>4999</v>
      </c>
      <c r="S204" s="274">
        <v>683</v>
      </c>
      <c r="T204" s="287">
        <f t="shared" si="3"/>
        <v>2016</v>
      </c>
      <c r="U204" s="274">
        <f>VLOOKUP(A204,'[1]SB35 Determination Data'!$B$4:$F$542,5,FALSE)</f>
        <v>2013</v>
      </c>
    </row>
    <row r="205" spans="1:21" s="274" customFormat="1" ht="12.75" x14ac:dyDescent="0.2">
      <c r="A205" s="282" t="s">
        <v>275</v>
      </c>
      <c r="B205" s="282" t="s">
        <v>557</v>
      </c>
      <c r="C205" s="282" t="s">
        <v>758</v>
      </c>
      <c r="D205" s="283">
        <v>2017</v>
      </c>
      <c r="E205" s="282" t="s">
        <v>650</v>
      </c>
      <c r="F205" s="284">
        <v>912</v>
      </c>
      <c r="G205" s="285">
        <v>0</v>
      </c>
      <c r="H205" s="288">
        <v>0</v>
      </c>
      <c r="I205" s="285">
        <v>0</v>
      </c>
      <c r="J205" s="285">
        <v>693</v>
      </c>
      <c r="K205" s="284">
        <v>10</v>
      </c>
      <c r="L205" s="284">
        <v>8</v>
      </c>
      <c r="M205" s="284">
        <v>2</v>
      </c>
      <c r="N205" s="289">
        <v>1062</v>
      </c>
      <c r="O205" s="284">
        <v>18</v>
      </c>
      <c r="P205" s="284">
        <v>2332</v>
      </c>
      <c r="Q205" s="286">
        <v>624</v>
      </c>
      <c r="R205" s="274">
        <v>4999</v>
      </c>
      <c r="S205" s="274">
        <v>652</v>
      </c>
      <c r="T205" s="287">
        <f t="shared" si="3"/>
        <v>2017</v>
      </c>
      <c r="U205" s="274">
        <f>VLOOKUP(A205,'[1]SB35 Determination Data'!$B$4:$F$542,5,FALSE)</f>
        <v>2013</v>
      </c>
    </row>
    <row r="206" spans="1:21" s="274" customFormat="1" ht="12.75" x14ac:dyDescent="0.2">
      <c r="A206" s="282" t="s">
        <v>278</v>
      </c>
      <c r="B206" s="282" t="s">
        <v>602</v>
      </c>
      <c r="C206" s="282" t="s">
        <v>732</v>
      </c>
      <c r="D206" s="283">
        <v>2014</v>
      </c>
      <c r="E206" s="282" t="s">
        <v>650</v>
      </c>
      <c r="F206" s="284">
        <v>39</v>
      </c>
      <c r="G206" s="285">
        <v>33</v>
      </c>
      <c r="H206" s="288">
        <v>33</v>
      </c>
      <c r="I206" s="285">
        <v>0</v>
      </c>
      <c r="J206" s="285">
        <v>26</v>
      </c>
      <c r="K206" s="284">
        <v>9</v>
      </c>
      <c r="L206" s="284">
        <v>9</v>
      </c>
      <c r="M206" s="284">
        <v>0</v>
      </c>
      <c r="N206" s="284">
        <v>34</v>
      </c>
      <c r="O206" s="284">
        <v>0</v>
      </c>
      <c r="P206" s="284">
        <v>64</v>
      </c>
      <c r="Q206" s="286">
        <v>46</v>
      </c>
      <c r="R206" s="274">
        <v>163</v>
      </c>
      <c r="S206" s="274">
        <v>88</v>
      </c>
      <c r="T206" s="287">
        <f t="shared" si="3"/>
        <v>2015</v>
      </c>
      <c r="U206" s="274">
        <f>VLOOKUP(A206,'[1]SB35 Determination Data'!$B$4:$F$542,5,FALSE)</f>
        <v>2015</v>
      </c>
    </row>
    <row r="207" spans="1:21" s="274" customFormat="1" ht="12.75" x14ac:dyDescent="0.2">
      <c r="A207" s="282" t="s">
        <v>278</v>
      </c>
      <c r="B207" s="282" t="s">
        <v>602</v>
      </c>
      <c r="C207" s="282" t="s">
        <v>732</v>
      </c>
      <c r="D207" s="283">
        <v>2015</v>
      </c>
      <c r="E207" s="282" t="s">
        <v>650</v>
      </c>
      <c r="F207" s="284">
        <v>39</v>
      </c>
      <c r="G207" s="285">
        <v>0</v>
      </c>
      <c r="H207" s="288">
        <v>0</v>
      </c>
      <c r="I207" s="285">
        <v>0</v>
      </c>
      <c r="J207" s="285">
        <v>26</v>
      </c>
      <c r="K207" s="284">
        <v>0</v>
      </c>
      <c r="L207" s="284">
        <v>0</v>
      </c>
      <c r="M207" s="284">
        <v>0</v>
      </c>
      <c r="N207" s="284">
        <v>34</v>
      </c>
      <c r="O207" s="284">
        <v>0</v>
      </c>
      <c r="P207" s="284">
        <v>64</v>
      </c>
      <c r="Q207" s="286">
        <v>5</v>
      </c>
      <c r="R207" s="274">
        <v>163</v>
      </c>
      <c r="S207" s="274">
        <v>5</v>
      </c>
      <c r="T207" s="287">
        <f t="shared" si="3"/>
        <v>2015</v>
      </c>
      <c r="U207" s="274">
        <f>VLOOKUP(A207,'[1]SB35 Determination Data'!$B$4:$F$542,5,FALSE)</f>
        <v>2015</v>
      </c>
    </row>
    <row r="208" spans="1:21" s="274" customFormat="1" ht="12.75" x14ac:dyDescent="0.2">
      <c r="A208" s="282" t="s">
        <v>278</v>
      </c>
      <c r="B208" s="282" t="s">
        <v>602</v>
      </c>
      <c r="C208" s="282" t="s">
        <v>732</v>
      </c>
      <c r="D208" s="283">
        <v>2016</v>
      </c>
      <c r="E208" s="282" t="s">
        <v>650</v>
      </c>
      <c r="F208" s="284">
        <v>39</v>
      </c>
      <c r="G208" s="285">
        <v>0</v>
      </c>
      <c r="H208" s="288">
        <v>0</v>
      </c>
      <c r="I208" s="285">
        <v>0</v>
      </c>
      <c r="J208" s="285">
        <v>26</v>
      </c>
      <c r="K208" s="284">
        <v>0</v>
      </c>
      <c r="L208" s="284">
        <v>0</v>
      </c>
      <c r="M208" s="284">
        <v>0</v>
      </c>
      <c r="N208" s="284">
        <v>34</v>
      </c>
      <c r="O208" s="284">
        <v>0</v>
      </c>
      <c r="P208" s="284">
        <v>64</v>
      </c>
      <c r="Q208" s="286">
        <v>4</v>
      </c>
      <c r="R208" s="274">
        <v>163</v>
      </c>
      <c r="S208" s="274">
        <v>4</v>
      </c>
      <c r="T208" s="287">
        <f t="shared" si="3"/>
        <v>2016</v>
      </c>
      <c r="U208" s="274">
        <f>VLOOKUP(A208,'[1]SB35 Determination Data'!$B$4:$F$542,5,FALSE)</f>
        <v>2015</v>
      </c>
    </row>
    <row r="209" spans="1:21" s="274" customFormat="1" ht="12.75" x14ac:dyDescent="0.2">
      <c r="A209" s="282" t="s">
        <v>278</v>
      </c>
      <c r="B209" s="282" t="s">
        <v>602</v>
      </c>
      <c r="C209" s="282" t="s">
        <v>732</v>
      </c>
      <c r="D209" s="283">
        <v>2017</v>
      </c>
      <c r="E209" s="282" t="s">
        <v>650</v>
      </c>
      <c r="F209" s="284">
        <v>39</v>
      </c>
      <c r="G209" s="285">
        <v>0</v>
      </c>
      <c r="H209" s="288">
        <v>0</v>
      </c>
      <c r="I209" s="285">
        <v>0</v>
      </c>
      <c r="J209" s="285">
        <v>26</v>
      </c>
      <c r="K209" s="284">
        <v>3</v>
      </c>
      <c r="L209" s="284">
        <v>3</v>
      </c>
      <c r="M209" s="284">
        <v>0</v>
      </c>
      <c r="N209" s="284">
        <v>34</v>
      </c>
      <c r="O209" s="284">
        <v>0</v>
      </c>
      <c r="P209" s="284">
        <v>64</v>
      </c>
      <c r="Q209" s="286">
        <v>0</v>
      </c>
      <c r="R209" s="274">
        <v>163</v>
      </c>
      <c r="S209" s="274">
        <v>3</v>
      </c>
      <c r="T209" s="287">
        <f t="shared" si="3"/>
        <v>2017</v>
      </c>
      <c r="U209" s="274">
        <f>VLOOKUP(A209,'[1]SB35 Determination Data'!$B$4:$F$542,5,FALSE)</f>
        <v>2015</v>
      </c>
    </row>
    <row r="210" spans="1:21" s="274" customFormat="1" ht="12.75" x14ac:dyDescent="0.2">
      <c r="A210" s="282" t="s">
        <v>280</v>
      </c>
      <c r="B210" s="282" t="s">
        <v>262</v>
      </c>
      <c r="C210" s="282" t="s">
        <v>649</v>
      </c>
      <c r="D210" s="283">
        <v>2015</v>
      </c>
      <c r="E210" s="282" t="s">
        <v>650</v>
      </c>
      <c r="F210" s="284">
        <v>447</v>
      </c>
      <c r="G210" s="285">
        <v>0</v>
      </c>
      <c r="H210" s="288">
        <v>0</v>
      </c>
      <c r="I210" s="285">
        <v>0</v>
      </c>
      <c r="J210" s="285">
        <v>263</v>
      </c>
      <c r="K210" s="284">
        <v>0</v>
      </c>
      <c r="L210" s="284">
        <v>0</v>
      </c>
      <c r="M210" s="284">
        <v>0</v>
      </c>
      <c r="N210" s="284">
        <v>280</v>
      </c>
      <c r="O210" s="284">
        <v>11</v>
      </c>
      <c r="P210" s="284">
        <v>708</v>
      </c>
      <c r="Q210" s="286">
        <v>83</v>
      </c>
      <c r="R210" s="274">
        <v>1698</v>
      </c>
      <c r="S210" s="274">
        <v>94</v>
      </c>
      <c r="T210" s="287">
        <f t="shared" si="3"/>
        <v>2015</v>
      </c>
      <c r="U210" s="274">
        <f>VLOOKUP(A210,'[1]SB35 Determination Data'!$B$4:$F$542,5,FALSE)</f>
        <v>2014</v>
      </c>
    </row>
    <row r="211" spans="1:21" s="274" customFormat="1" ht="12.75" x14ac:dyDescent="0.2">
      <c r="A211" s="282" t="s">
        <v>280</v>
      </c>
      <c r="B211" s="282" t="s">
        <v>262</v>
      </c>
      <c r="C211" s="282" t="s">
        <v>649</v>
      </c>
      <c r="D211" s="283">
        <v>2016</v>
      </c>
      <c r="E211" s="282" t="s">
        <v>650</v>
      </c>
      <c r="F211" s="284">
        <v>447</v>
      </c>
      <c r="G211" s="285">
        <v>0</v>
      </c>
      <c r="H211" s="288">
        <v>0</v>
      </c>
      <c r="I211" s="285">
        <v>0</v>
      </c>
      <c r="J211" s="285">
        <v>263</v>
      </c>
      <c r="K211" s="284">
        <v>0</v>
      </c>
      <c r="L211" s="284">
        <v>0</v>
      </c>
      <c r="M211" s="284">
        <v>0</v>
      </c>
      <c r="N211" s="284">
        <v>280</v>
      </c>
      <c r="O211" s="284">
        <v>35</v>
      </c>
      <c r="P211" s="284">
        <v>708</v>
      </c>
      <c r="Q211" s="286">
        <v>0</v>
      </c>
      <c r="R211" s="274">
        <v>1698</v>
      </c>
      <c r="S211" s="274">
        <v>35</v>
      </c>
      <c r="T211" s="287">
        <f t="shared" si="3"/>
        <v>2016</v>
      </c>
      <c r="U211" s="274">
        <f>VLOOKUP(A211,'[1]SB35 Determination Data'!$B$4:$F$542,5,FALSE)</f>
        <v>2014</v>
      </c>
    </row>
    <row r="212" spans="1:21" s="274" customFormat="1" ht="12.75" x14ac:dyDescent="0.2">
      <c r="A212" s="282" t="s">
        <v>280</v>
      </c>
      <c r="B212" s="282" t="s">
        <v>262</v>
      </c>
      <c r="C212" s="282" t="s">
        <v>649</v>
      </c>
      <c r="D212" s="283">
        <v>2017</v>
      </c>
      <c r="E212" s="282" t="s">
        <v>650</v>
      </c>
      <c r="F212" s="284">
        <v>447</v>
      </c>
      <c r="G212" s="285">
        <v>39</v>
      </c>
      <c r="H212" s="288">
        <v>39</v>
      </c>
      <c r="I212" s="285">
        <v>0</v>
      </c>
      <c r="J212" s="285">
        <v>263</v>
      </c>
      <c r="K212" s="284">
        <v>56</v>
      </c>
      <c r="L212" s="284">
        <v>56</v>
      </c>
      <c r="M212" s="284">
        <v>0</v>
      </c>
      <c r="N212" s="284">
        <v>280</v>
      </c>
      <c r="O212" s="284">
        <v>84</v>
      </c>
      <c r="P212" s="284">
        <v>708</v>
      </c>
      <c r="Q212" s="286">
        <v>0</v>
      </c>
      <c r="R212" s="274">
        <v>1698</v>
      </c>
      <c r="S212" s="274">
        <v>179</v>
      </c>
      <c r="T212" s="287">
        <f t="shared" si="3"/>
        <v>2017</v>
      </c>
      <c r="U212" s="274">
        <f>VLOOKUP(A212,'[1]SB35 Determination Data'!$B$4:$F$542,5,FALSE)</f>
        <v>2014</v>
      </c>
    </row>
    <row r="213" spans="1:21" s="274" customFormat="1" ht="12.75" x14ac:dyDescent="0.2">
      <c r="A213" s="282" t="s">
        <v>283</v>
      </c>
      <c r="B213" s="282" t="s">
        <v>481</v>
      </c>
      <c r="C213" s="282" t="s">
        <v>649</v>
      </c>
      <c r="D213" s="283">
        <v>2014</v>
      </c>
      <c r="E213" s="282" t="s">
        <v>650</v>
      </c>
      <c r="F213" s="284">
        <v>141</v>
      </c>
      <c r="G213" s="285">
        <v>0</v>
      </c>
      <c r="H213" s="288">
        <v>0</v>
      </c>
      <c r="I213" s="285">
        <v>0</v>
      </c>
      <c r="J213" s="285">
        <v>95</v>
      </c>
      <c r="K213" s="284">
        <v>0</v>
      </c>
      <c r="L213" s="284">
        <v>0</v>
      </c>
      <c r="M213" s="284">
        <v>0</v>
      </c>
      <c r="N213" s="284">
        <v>110</v>
      </c>
      <c r="O213" s="284">
        <v>32</v>
      </c>
      <c r="P213" s="284">
        <v>254</v>
      </c>
      <c r="Q213" s="286">
        <v>0</v>
      </c>
      <c r="R213" s="274">
        <v>600</v>
      </c>
      <c r="S213" s="274">
        <v>32</v>
      </c>
      <c r="T213" s="287">
        <f t="shared" si="3"/>
        <v>2014</v>
      </c>
      <c r="U213" s="274">
        <f>VLOOKUP(A213,'[1]SB35 Determination Data'!$B$4:$F$542,5,FALSE)</f>
        <v>2014</v>
      </c>
    </row>
    <row r="214" spans="1:21" s="274" customFormat="1" ht="12.75" x14ac:dyDescent="0.2">
      <c r="A214" s="282" t="s">
        <v>283</v>
      </c>
      <c r="B214" s="282" t="s">
        <v>481</v>
      </c>
      <c r="C214" s="282" t="s">
        <v>649</v>
      </c>
      <c r="D214" s="283">
        <v>2015</v>
      </c>
      <c r="E214" s="282" t="s">
        <v>650</v>
      </c>
      <c r="F214" s="284">
        <v>141</v>
      </c>
      <c r="G214" s="285">
        <v>0</v>
      </c>
      <c r="H214" s="288">
        <v>0</v>
      </c>
      <c r="I214" s="285">
        <v>0</v>
      </c>
      <c r="J214" s="285">
        <v>95</v>
      </c>
      <c r="K214" s="284">
        <v>0</v>
      </c>
      <c r="L214" s="284">
        <v>0</v>
      </c>
      <c r="M214" s="284">
        <v>0</v>
      </c>
      <c r="N214" s="284">
        <v>110</v>
      </c>
      <c r="O214" s="284">
        <v>21</v>
      </c>
      <c r="P214" s="284">
        <v>254</v>
      </c>
      <c r="Q214" s="286">
        <v>3</v>
      </c>
      <c r="R214" s="274">
        <v>600</v>
      </c>
      <c r="S214" s="274">
        <v>24</v>
      </c>
      <c r="T214" s="287">
        <f t="shared" si="3"/>
        <v>2015</v>
      </c>
      <c r="U214" s="274">
        <f>VLOOKUP(A214,'[1]SB35 Determination Data'!$B$4:$F$542,5,FALSE)</f>
        <v>2014</v>
      </c>
    </row>
    <row r="215" spans="1:21" s="274" customFormat="1" ht="12.75" x14ac:dyDescent="0.2">
      <c r="A215" s="282" t="s">
        <v>283</v>
      </c>
      <c r="B215" s="282" t="s">
        <v>481</v>
      </c>
      <c r="C215" s="282" t="s">
        <v>649</v>
      </c>
      <c r="D215" s="283">
        <v>2016</v>
      </c>
      <c r="E215" s="282" t="s">
        <v>650</v>
      </c>
      <c r="F215" s="284">
        <v>141</v>
      </c>
      <c r="G215" s="285">
        <v>0</v>
      </c>
      <c r="H215" s="288">
        <v>0</v>
      </c>
      <c r="I215" s="285">
        <v>0</v>
      </c>
      <c r="J215" s="285">
        <v>95</v>
      </c>
      <c r="K215" s="284">
        <v>0</v>
      </c>
      <c r="L215" s="284">
        <v>0</v>
      </c>
      <c r="M215" s="284">
        <v>0</v>
      </c>
      <c r="N215" s="284">
        <v>110</v>
      </c>
      <c r="O215" s="284">
        <v>0</v>
      </c>
      <c r="P215" s="284">
        <v>254</v>
      </c>
      <c r="Q215" s="286">
        <v>0</v>
      </c>
      <c r="R215" s="274">
        <v>600</v>
      </c>
      <c r="S215" s="274">
        <v>0</v>
      </c>
      <c r="T215" s="287">
        <f t="shared" si="3"/>
        <v>2016</v>
      </c>
      <c r="U215" s="274">
        <f>VLOOKUP(A215,'[1]SB35 Determination Data'!$B$4:$F$542,5,FALSE)</f>
        <v>2014</v>
      </c>
    </row>
    <row r="216" spans="1:21" s="274" customFormat="1" ht="12.75" x14ac:dyDescent="0.2">
      <c r="A216" s="282" t="s">
        <v>283</v>
      </c>
      <c r="B216" s="282" t="s">
        <v>481</v>
      </c>
      <c r="C216" s="282" t="s">
        <v>649</v>
      </c>
      <c r="D216" s="283">
        <v>2017</v>
      </c>
      <c r="E216" s="282" t="s">
        <v>650</v>
      </c>
      <c r="F216" s="284">
        <v>141</v>
      </c>
      <c r="G216" s="285">
        <v>0</v>
      </c>
      <c r="H216" s="288">
        <v>0</v>
      </c>
      <c r="I216" s="285">
        <v>0</v>
      </c>
      <c r="J216" s="285">
        <v>95</v>
      </c>
      <c r="K216" s="284">
        <v>0</v>
      </c>
      <c r="L216" s="284">
        <v>0</v>
      </c>
      <c r="M216" s="284">
        <v>0</v>
      </c>
      <c r="N216" s="284">
        <v>110</v>
      </c>
      <c r="O216" s="284">
        <v>69</v>
      </c>
      <c r="P216" s="284">
        <v>254</v>
      </c>
      <c r="Q216" s="286">
        <v>0</v>
      </c>
      <c r="R216" s="274">
        <v>600</v>
      </c>
      <c r="S216" s="274">
        <v>69</v>
      </c>
      <c r="T216" s="287">
        <f t="shared" si="3"/>
        <v>2017</v>
      </c>
      <c r="U216" s="274">
        <f>VLOOKUP(A216,'[1]SB35 Determination Data'!$B$4:$F$542,5,FALSE)</f>
        <v>2014</v>
      </c>
    </row>
    <row r="217" spans="1:21" s="274" customFormat="1" ht="12.75" x14ac:dyDescent="0.2">
      <c r="A217" s="282" t="s">
        <v>284</v>
      </c>
      <c r="B217" s="282" t="s">
        <v>679</v>
      </c>
      <c r="C217" s="282" t="s">
        <v>531</v>
      </c>
      <c r="D217" s="283">
        <v>2016</v>
      </c>
      <c r="E217" s="282" t="s">
        <v>650</v>
      </c>
      <c r="F217" s="284">
        <v>622</v>
      </c>
      <c r="G217" s="285">
        <v>0</v>
      </c>
      <c r="H217" s="288">
        <v>0</v>
      </c>
      <c r="I217" s="285">
        <v>0</v>
      </c>
      <c r="J217" s="285">
        <v>399</v>
      </c>
      <c r="K217" s="284">
        <v>0</v>
      </c>
      <c r="L217" s="284">
        <v>0</v>
      </c>
      <c r="M217" s="284">
        <v>0</v>
      </c>
      <c r="N217" s="284">
        <v>446</v>
      </c>
      <c r="O217" s="284">
        <v>0</v>
      </c>
      <c r="P217" s="284">
        <v>1104</v>
      </c>
      <c r="Q217" s="286">
        <v>0</v>
      </c>
      <c r="R217" s="274">
        <v>2571</v>
      </c>
      <c r="S217" s="274">
        <v>0</v>
      </c>
      <c r="T217" s="287">
        <f t="shared" si="3"/>
        <v>2016</v>
      </c>
      <c r="U217" s="274">
        <f>VLOOKUP(A217,'[1]SB35 Determination Data'!$B$4:$F$542,5,FALSE)</f>
        <v>2016</v>
      </c>
    </row>
    <row r="218" spans="1:21" s="274" customFormat="1" ht="12.75" x14ac:dyDescent="0.2">
      <c r="A218" s="282" t="s">
        <v>284</v>
      </c>
      <c r="B218" s="282" t="s">
        <v>679</v>
      </c>
      <c r="C218" s="282" t="s">
        <v>531</v>
      </c>
      <c r="D218" s="283">
        <v>2017</v>
      </c>
      <c r="E218" s="282" t="s">
        <v>650</v>
      </c>
      <c r="F218" s="284">
        <v>622</v>
      </c>
      <c r="G218" s="285">
        <v>0</v>
      </c>
      <c r="H218" s="288">
        <v>0</v>
      </c>
      <c r="I218" s="285">
        <v>0</v>
      </c>
      <c r="J218" s="285">
        <v>399</v>
      </c>
      <c r="K218" s="284">
        <v>0</v>
      </c>
      <c r="L218" s="284">
        <v>0</v>
      </c>
      <c r="M218" s="284">
        <v>0</v>
      </c>
      <c r="N218" s="284">
        <v>446</v>
      </c>
      <c r="O218" s="284">
        <v>5</v>
      </c>
      <c r="P218" s="284">
        <v>1104</v>
      </c>
      <c r="Q218" s="286">
        <v>0</v>
      </c>
      <c r="R218" s="274">
        <v>2571</v>
      </c>
      <c r="S218" s="274">
        <v>5</v>
      </c>
      <c r="T218" s="287">
        <f t="shared" si="3"/>
        <v>2017</v>
      </c>
      <c r="U218" s="274">
        <f>VLOOKUP(A218,'[1]SB35 Determination Data'!$B$4:$F$542,5,FALSE)</f>
        <v>2016</v>
      </c>
    </row>
    <row r="219" spans="1:21" s="274" customFormat="1" ht="12.75" x14ac:dyDescent="0.2">
      <c r="A219" s="282" t="s">
        <v>286</v>
      </c>
      <c r="B219" s="282" t="s">
        <v>262</v>
      </c>
      <c r="C219" s="282" t="s">
        <v>649</v>
      </c>
      <c r="D219" s="283">
        <v>2014</v>
      </c>
      <c r="E219" s="282" t="s">
        <v>650</v>
      </c>
      <c r="F219" s="284">
        <v>23</v>
      </c>
      <c r="G219" s="285">
        <v>0</v>
      </c>
      <c r="H219" s="288">
        <v>0</v>
      </c>
      <c r="I219" s="285">
        <v>0</v>
      </c>
      <c r="J219" s="285">
        <v>14</v>
      </c>
      <c r="K219" s="284">
        <v>0</v>
      </c>
      <c r="L219" s="284">
        <v>0</v>
      </c>
      <c r="M219" s="284">
        <v>0</v>
      </c>
      <c r="N219" s="284">
        <v>14</v>
      </c>
      <c r="O219" s="284">
        <v>0</v>
      </c>
      <c r="P219" s="284">
        <v>35</v>
      </c>
      <c r="Q219" s="286">
        <v>223</v>
      </c>
      <c r="R219" s="274">
        <v>86</v>
      </c>
      <c r="S219" s="274">
        <v>223</v>
      </c>
      <c r="T219" s="287">
        <f t="shared" si="3"/>
        <v>2014</v>
      </c>
      <c r="U219" s="274">
        <f>VLOOKUP(A219,'[1]SB35 Determination Data'!$B$4:$F$542,5,FALSE)</f>
        <v>2014</v>
      </c>
    </row>
    <row r="220" spans="1:21" s="274" customFormat="1" ht="12.75" x14ac:dyDescent="0.2">
      <c r="A220" s="282" t="s">
        <v>286</v>
      </c>
      <c r="B220" s="282" t="s">
        <v>262</v>
      </c>
      <c r="C220" s="282" t="s">
        <v>649</v>
      </c>
      <c r="D220" s="283">
        <v>2015</v>
      </c>
      <c r="E220" s="282" t="s">
        <v>650</v>
      </c>
      <c r="F220" s="284">
        <v>23</v>
      </c>
      <c r="G220" s="285">
        <v>0</v>
      </c>
      <c r="H220" s="288">
        <v>0</v>
      </c>
      <c r="I220" s="285">
        <v>0</v>
      </c>
      <c r="J220" s="285">
        <v>14</v>
      </c>
      <c r="K220" s="284">
        <v>0</v>
      </c>
      <c r="L220" s="284">
        <v>0</v>
      </c>
      <c r="M220" s="284">
        <v>0</v>
      </c>
      <c r="N220" s="284">
        <v>14</v>
      </c>
      <c r="O220" s="284">
        <v>0</v>
      </c>
      <c r="P220" s="284">
        <v>35</v>
      </c>
      <c r="Q220" s="286">
        <v>0</v>
      </c>
      <c r="R220" s="274">
        <v>86</v>
      </c>
      <c r="S220" s="274">
        <v>0</v>
      </c>
      <c r="T220" s="287">
        <f t="shared" si="3"/>
        <v>2015</v>
      </c>
      <c r="U220" s="274">
        <f>VLOOKUP(A220,'[1]SB35 Determination Data'!$B$4:$F$542,5,FALSE)</f>
        <v>2014</v>
      </c>
    </row>
    <row r="221" spans="1:21" s="274" customFormat="1" ht="12.75" x14ac:dyDescent="0.2">
      <c r="A221" s="282" t="s">
        <v>286</v>
      </c>
      <c r="B221" s="282" t="s">
        <v>262</v>
      </c>
      <c r="C221" s="282" t="s">
        <v>649</v>
      </c>
      <c r="D221" s="283">
        <v>2016</v>
      </c>
      <c r="E221" s="282" t="s">
        <v>650</v>
      </c>
      <c r="F221" s="284">
        <v>23</v>
      </c>
      <c r="G221" s="285">
        <v>0</v>
      </c>
      <c r="H221" s="288">
        <v>0</v>
      </c>
      <c r="I221" s="285">
        <v>0</v>
      </c>
      <c r="J221" s="285">
        <v>14</v>
      </c>
      <c r="K221" s="284">
        <v>0</v>
      </c>
      <c r="L221" s="284">
        <v>0</v>
      </c>
      <c r="M221" s="284">
        <v>0</v>
      </c>
      <c r="N221" s="284">
        <v>14</v>
      </c>
      <c r="O221" s="284">
        <v>0</v>
      </c>
      <c r="P221" s="284">
        <v>35</v>
      </c>
      <c r="Q221" s="286">
        <v>132</v>
      </c>
      <c r="R221" s="274">
        <v>86</v>
      </c>
      <c r="S221" s="274">
        <v>132</v>
      </c>
      <c r="T221" s="287">
        <f t="shared" si="3"/>
        <v>2016</v>
      </c>
      <c r="U221" s="274">
        <f>VLOOKUP(A221,'[1]SB35 Determination Data'!$B$4:$F$542,5,FALSE)</f>
        <v>2014</v>
      </c>
    </row>
    <row r="222" spans="1:21" s="274" customFormat="1" ht="12.75" x14ac:dyDescent="0.2">
      <c r="A222" s="282" t="s">
        <v>286</v>
      </c>
      <c r="B222" s="282" t="s">
        <v>262</v>
      </c>
      <c r="C222" s="282" t="s">
        <v>649</v>
      </c>
      <c r="D222" s="283">
        <v>2017</v>
      </c>
      <c r="E222" s="282" t="s">
        <v>650</v>
      </c>
      <c r="F222" s="284">
        <v>23</v>
      </c>
      <c r="G222" s="285">
        <v>0</v>
      </c>
      <c r="H222" s="288">
        <v>0</v>
      </c>
      <c r="I222" s="285">
        <v>0</v>
      </c>
      <c r="J222" s="285">
        <v>14</v>
      </c>
      <c r="K222" s="284">
        <v>0</v>
      </c>
      <c r="L222" s="284">
        <v>0</v>
      </c>
      <c r="M222" s="284">
        <v>0</v>
      </c>
      <c r="N222" s="284">
        <v>14</v>
      </c>
      <c r="O222" s="284">
        <v>0</v>
      </c>
      <c r="P222" s="284">
        <v>35</v>
      </c>
      <c r="Q222" s="286">
        <v>0</v>
      </c>
      <c r="R222" s="274">
        <v>86</v>
      </c>
      <c r="S222" s="274">
        <v>0</v>
      </c>
      <c r="T222" s="287">
        <f t="shared" si="3"/>
        <v>2017</v>
      </c>
      <c r="U222" s="274">
        <f>VLOOKUP(A222,'[1]SB35 Determination Data'!$B$4:$F$542,5,FALSE)</f>
        <v>2014</v>
      </c>
    </row>
    <row r="223" spans="1:21" s="274" customFormat="1" ht="12.75" x14ac:dyDescent="0.2">
      <c r="A223" s="282" t="s">
        <v>236</v>
      </c>
      <c r="B223" s="282" t="s">
        <v>109</v>
      </c>
      <c r="C223" s="282" t="s">
        <v>717</v>
      </c>
      <c r="D223" s="283">
        <v>2015</v>
      </c>
      <c r="E223" s="282" t="s">
        <v>650</v>
      </c>
      <c r="F223" s="284">
        <v>974</v>
      </c>
      <c r="G223" s="285">
        <v>0</v>
      </c>
      <c r="H223" s="288">
        <v>0</v>
      </c>
      <c r="I223" s="285">
        <v>0</v>
      </c>
      <c r="J223" s="285">
        <v>643</v>
      </c>
      <c r="K223" s="284">
        <v>2</v>
      </c>
      <c r="L223" s="284">
        <v>2</v>
      </c>
      <c r="M223" s="284">
        <v>0</v>
      </c>
      <c r="N223" s="289">
        <v>708</v>
      </c>
      <c r="O223" s="284">
        <v>0</v>
      </c>
      <c r="P223" s="284">
        <v>1638</v>
      </c>
      <c r="Q223" s="286">
        <v>522</v>
      </c>
      <c r="R223" s="274">
        <v>3963</v>
      </c>
      <c r="S223" s="274">
        <v>524</v>
      </c>
      <c r="T223" s="287">
        <f t="shared" si="3"/>
        <v>2015</v>
      </c>
      <c r="U223" s="274">
        <f>VLOOKUP(A223,'[1]SB35 Determination Data'!$B$4:$F$542,5,FALSE)</f>
        <v>2014</v>
      </c>
    </row>
    <row r="224" spans="1:21" s="274" customFormat="1" ht="12.75" x14ac:dyDescent="0.2">
      <c r="A224" s="282" t="s">
        <v>236</v>
      </c>
      <c r="B224" s="282" t="s">
        <v>109</v>
      </c>
      <c r="C224" s="282" t="s">
        <v>717</v>
      </c>
      <c r="D224" s="283">
        <v>2016</v>
      </c>
      <c r="E224" s="282" t="s">
        <v>650</v>
      </c>
      <c r="F224" s="284">
        <v>974</v>
      </c>
      <c r="G224" s="285">
        <v>15</v>
      </c>
      <c r="H224" s="288">
        <v>15</v>
      </c>
      <c r="I224" s="285">
        <v>0</v>
      </c>
      <c r="J224" s="285">
        <v>643</v>
      </c>
      <c r="K224" s="284">
        <v>1</v>
      </c>
      <c r="L224" s="284">
        <v>1</v>
      </c>
      <c r="M224" s="284">
        <v>0</v>
      </c>
      <c r="N224" s="284">
        <v>708</v>
      </c>
      <c r="O224" s="284">
        <v>64</v>
      </c>
      <c r="P224" s="284">
        <v>1638</v>
      </c>
      <c r="Q224" s="286">
        <v>435</v>
      </c>
      <c r="R224" s="274">
        <v>3963</v>
      </c>
      <c r="S224" s="274">
        <v>515</v>
      </c>
      <c r="T224" s="287">
        <f t="shared" si="3"/>
        <v>2016</v>
      </c>
      <c r="U224" s="274">
        <f>VLOOKUP(A224,'[1]SB35 Determination Data'!$B$4:$F$542,5,FALSE)</f>
        <v>2014</v>
      </c>
    </row>
    <row r="225" spans="1:21" s="274" customFormat="1" ht="12.75" x14ac:dyDescent="0.2">
      <c r="A225" s="282" t="s">
        <v>236</v>
      </c>
      <c r="B225" s="282" t="s">
        <v>109</v>
      </c>
      <c r="C225" s="282" t="s">
        <v>717</v>
      </c>
      <c r="D225" s="283">
        <v>2017</v>
      </c>
      <c r="E225" s="282" t="s">
        <v>650</v>
      </c>
      <c r="F225" s="284">
        <v>974</v>
      </c>
      <c r="G225" s="285">
        <v>0</v>
      </c>
      <c r="H225" s="288">
        <v>0</v>
      </c>
      <c r="I225" s="285">
        <v>0</v>
      </c>
      <c r="J225" s="285">
        <v>643</v>
      </c>
      <c r="K225" s="284">
        <v>2</v>
      </c>
      <c r="L225" s="284">
        <v>2</v>
      </c>
      <c r="M225" s="284">
        <v>0</v>
      </c>
      <c r="N225" s="284">
        <v>708</v>
      </c>
      <c r="O225" s="284">
        <v>260</v>
      </c>
      <c r="P225" s="284">
        <v>1638</v>
      </c>
      <c r="Q225" s="286">
        <v>376</v>
      </c>
      <c r="R225" s="274">
        <v>3963</v>
      </c>
      <c r="S225" s="274">
        <v>638</v>
      </c>
      <c r="T225" s="287">
        <f t="shared" si="3"/>
        <v>2017</v>
      </c>
      <c r="U225" s="274">
        <f>VLOOKUP(A225,'[1]SB35 Determination Data'!$B$4:$F$542,5,FALSE)</f>
        <v>2014</v>
      </c>
    </row>
    <row r="226" spans="1:21" s="274" customFormat="1" ht="12.75" x14ac:dyDescent="0.2">
      <c r="A226" s="282" t="s">
        <v>288</v>
      </c>
      <c r="B226" s="282" t="s">
        <v>542</v>
      </c>
      <c r="C226" s="282" t="s">
        <v>649</v>
      </c>
      <c r="D226" s="283">
        <v>2014</v>
      </c>
      <c r="E226" s="282" t="s">
        <v>650</v>
      </c>
      <c r="F226" s="284">
        <v>707</v>
      </c>
      <c r="G226" s="285">
        <v>0</v>
      </c>
      <c r="H226" s="288">
        <v>0</v>
      </c>
      <c r="I226" s="285">
        <v>0</v>
      </c>
      <c r="J226" s="285">
        <v>478</v>
      </c>
      <c r="K226" s="284">
        <v>0</v>
      </c>
      <c r="L226" s="284">
        <v>0</v>
      </c>
      <c r="M226" s="284">
        <v>0</v>
      </c>
      <c r="N226" s="284">
        <v>533</v>
      </c>
      <c r="O226" s="284">
        <v>0</v>
      </c>
      <c r="P226" s="284">
        <v>1176</v>
      </c>
      <c r="Q226" s="286">
        <v>342</v>
      </c>
      <c r="R226" s="274">
        <v>2894</v>
      </c>
      <c r="S226" s="274">
        <v>342</v>
      </c>
      <c r="T226" s="287">
        <f t="shared" si="3"/>
        <v>2014</v>
      </c>
      <c r="U226" s="274">
        <f>VLOOKUP(A226,'[1]SB35 Determination Data'!$B$4:$F$542,5,FALSE)</f>
        <v>2014</v>
      </c>
    </row>
    <row r="227" spans="1:21" s="274" customFormat="1" ht="12.75" x14ac:dyDescent="0.2">
      <c r="A227" s="282" t="s">
        <v>288</v>
      </c>
      <c r="B227" s="282" t="s">
        <v>542</v>
      </c>
      <c r="C227" s="282" t="s">
        <v>649</v>
      </c>
      <c r="D227" s="283">
        <v>2015</v>
      </c>
      <c r="E227" s="282" t="s">
        <v>650</v>
      </c>
      <c r="F227" s="284">
        <v>707</v>
      </c>
      <c r="G227" s="285">
        <v>135</v>
      </c>
      <c r="H227" s="288">
        <v>135</v>
      </c>
      <c r="I227" s="285">
        <v>0</v>
      </c>
      <c r="J227" s="285">
        <v>478</v>
      </c>
      <c r="K227" s="284">
        <v>0</v>
      </c>
      <c r="L227" s="284">
        <v>0</v>
      </c>
      <c r="M227" s="284">
        <v>0</v>
      </c>
      <c r="N227" s="289">
        <v>533</v>
      </c>
      <c r="O227" s="284">
        <v>0</v>
      </c>
      <c r="P227" s="284">
        <v>1176</v>
      </c>
      <c r="Q227" s="286">
        <v>342</v>
      </c>
      <c r="R227" s="274">
        <v>2894</v>
      </c>
      <c r="S227" s="274">
        <v>477</v>
      </c>
      <c r="T227" s="287">
        <f t="shared" si="3"/>
        <v>2015</v>
      </c>
      <c r="U227" s="274">
        <f>VLOOKUP(A227,'[1]SB35 Determination Data'!$B$4:$F$542,5,FALSE)</f>
        <v>2014</v>
      </c>
    </row>
    <row r="228" spans="1:21" s="274" customFormat="1" ht="12.75" x14ac:dyDescent="0.2">
      <c r="A228" s="282" t="s">
        <v>288</v>
      </c>
      <c r="B228" s="282" t="s">
        <v>542</v>
      </c>
      <c r="C228" s="282" t="s">
        <v>649</v>
      </c>
      <c r="D228" s="283">
        <v>2016</v>
      </c>
      <c r="E228" s="282" t="s">
        <v>650</v>
      </c>
      <c r="F228" s="284">
        <v>707</v>
      </c>
      <c r="G228" s="285">
        <v>0</v>
      </c>
      <c r="H228" s="288">
        <v>0</v>
      </c>
      <c r="I228" s="285">
        <v>0</v>
      </c>
      <c r="J228" s="285">
        <v>478</v>
      </c>
      <c r="K228" s="284">
        <v>203</v>
      </c>
      <c r="L228" s="284">
        <v>203</v>
      </c>
      <c r="M228" s="284">
        <v>0</v>
      </c>
      <c r="N228" s="284">
        <v>533</v>
      </c>
      <c r="O228" s="284">
        <v>0</v>
      </c>
      <c r="P228" s="284">
        <v>1176</v>
      </c>
      <c r="Q228" s="286">
        <v>370</v>
      </c>
      <c r="R228" s="274">
        <v>2894</v>
      </c>
      <c r="S228" s="274">
        <v>573</v>
      </c>
      <c r="T228" s="287">
        <f t="shared" si="3"/>
        <v>2016</v>
      </c>
      <c r="U228" s="274">
        <f>VLOOKUP(A228,'[1]SB35 Determination Data'!$B$4:$F$542,5,FALSE)</f>
        <v>2014</v>
      </c>
    </row>
    <row r="229" spans="1:21" s="274" customFormat="1" ht="12.75" x14ac:dyDescent="0.2">
      <c r="A229" s="282" t="s">
        <v>288</v>
      </c>
      <c r="B229" s="282" t="s">
        <v>542</v>
      </c>
      <c r="C229" s="282" t="s">
        <v>649</v>
      </c>
      <c r="D229" s="283">
        <v>2017</v>
      </c>
      <c r="E229" s="282" t="s">
        <v>650</v>
      </c>
      <c r="F229" s="284">
        <v>707</v>
      </c>
      <c r="G229" s="285">
        <v>0</v>
      </c>
      <c r="H229" s="288">
        <v>0</v>
      </c>
      <c r="I229" s="285">
        <v>0</v>
      </c>
      <c r="J229" s="285">
        <v>478</v>
      </c>
      <c r="K229" s="284">
        <v>0</v>
      </c>
      <c r="L229" s="284">
        <v>0</v>
      </c>
      <c r="M229" s="284">
        <v>0</v>
      </c>
      <c r="N229" s="284">
        <v>533</v>
      </c>
      <c r="O229" s="284">
        <v>0</v>
      </c>
      <c r="P229" s="284">
        <v>1176</v>
      </c>
      <c r="Q229" s="286">
        <v>630</v>
      </c>
      <c r="R229" s="274">
        <v>2894</v>
      </c>
      <c r="S229" s="274">
        <v>630</v>
      </c>
      <c r="T229" s="287">
        <f t="shared" si="3"/>
        <v>2017</v>
      </c>
      <c r="U229" s="274">
        <f>VLOOKUP(A229,'[1]SB35 Determination Data'!$B$4:$F$542,5,FALSE)</f>
        <v>2014</v>
      </c>
    </row>
    <row r="230" spans="1:21" s="274" customFormat="1" ht="12.75" x14ac:dyDescent="0.2">
      <c r="A230" s="282" t="s">
        <v>289</v>
      </c>
      <c r="B230" s="282" t="s">
        <v>542</v>
      </c>
      <c r="C230" s="282" t="s">
        <v>649</v>
      </c>
      <c r="D230" s="283">
        <v>2014</v>
      </c>
      <c r="E230" s="282" t="s">
        <v>650</v>
      </c>
      <c r="F230" s="284">
        <v>217</v>
      </c>
      <c r="G230" s="285">
        <v>0</v>
      </c>
      <c r="H230" s="288">
        <v>0</v>
      </c>
      <c r="I230" s="285">
        <v>0</v>
      </c>
      <c r="J230" s="285">
        <v>148</v>
      </c>
      <c r="K230" s="284">
        <v>0</v>
      </c>
      <c r="L230" s="284">
        <v>0</v>
      </c>
      <c r="M230" s="284">
        <v>0</v>
      </c>
      <c r="N230" s="284">
        <v>164</v>
      </c>
      <c r="O230" s="284">
        <v>286</v>
      </c>
      <c r="P230" s="284">
        <v>333</v>
      </c>
      <c r="Q230" s="286">
        <v>41</v>
      </c>
      <c r="R230" s="274">
        <v>862</v>
      </c>
      <c r="S230" s="274">
        <v>327</v>
      </c>
      <c r="T230" s="287">
        <f t="shared" si="3"/>
        <v>2014</v>
      </c>
      <c r="U230" s="274">
        <f>VLOOKUP(A230,'[1]SB35 Determination Data'!$B$4:$F$542,5,FALSE)</f>
        <v>2014</v>
      </c>
    </row>
    <row r="231" spans="1:21" s="274" customFormat="1" ht="12.75" x14ac:dyDescent="0.2">
      <c r="A231" s="282" t="s">
        <v>289</v>
      </c>
      <c r="B231" s="282" t="s">
        <v>542</v>
      </c>
      <c r="C231" s="282" t="s">
        <v>649</v>
      </c>
      <c r="D231" s="283">
        <v>2015</v>
      </c>
      <c r="E231" s="282" t="s">
        <v>650</v>
      </c>
      <c r="F231" s="284">
        <v>217</v>
      </c>
      <c r="G231" s="285">
        <v>0</v>
      </c>
      <c r="H231" s="288">
        <v>0</v>
      </c>
      <c r="I231" s="285">
        <v>0</v>
      </c>
      <c r="J231" s="285">
        <v>148</v>
      </c>
      <c r="K231" s="284">
        <v>0</v>
      </c>
      <c r="L231" s="284">
        <v>0</v>
      </c>
      <c r="M231" s="284">
        <v>0</v>
      </c>
      <c r="N231" s="284">
        <v>164</v>
      </c>
      <c r="O231" s="284">
        <v>11</v>
      </c>
      <c r="P231" s="284">
        <v>333</v>
      </c>
      <c r="Q231" s="286">
        <v>94</v>
      </c>
      <c r="R231" s="274">
        <v>862</v>
      </c>
      <c r="S231" s="274">
        <v>105</v>
      </c>
      <c r="T231" s="287">
        <f t="shared" si="3"/>
        <v>2015</v>
      </c>
      <c r="U231" s="274">
        <f>VLOOKUP(A231,'[1]SB35 Determination Data'!$B$4:$F$542,5,FALSE)</f>
        <v>2014</v>
      </c>
    </row>
    <row r="232" spans="1:21" s="274" customFormat="1" ht="12.75" x14ac:dyDescent="0.2">
      <c r="A232" s="282" t="s">
        <v>289</v>
      </c>
      <c r="B232" s="282" t="s">
        <v>542</v>
      </c>
      <c r="C232" s="282" t="s">
        <v>649</v>
      </c>
      <c r="D232" s="283">
        <v>2016</v>
      </c>
      <c r="E232" s="282" t="s">
        <v>650</v>
      </c>
      <c r="F232" s="284">
        <v>217</v>
      </c>
      <c r="G232" s="285">
        <v>0</v>
      </c>
      <c r="H232" s="288">
        <v>0</v>
      </c>
      <c r="I232" s="285">
        <v>0</v>
      </c>
      <c r="J232" s="285">
        <v>148</v>
      </c>
      <c r="K232" s="284">
        <v>0</v>
      </c>
      <c r="L232" s="284">
        <v>0</v>
      </c>
      <c r="M232" s="284">
        <v>0</v>
      </c>
      <c r="N232" s="289">
        <v>164</v>
      </c>
      <c r="O232" s="284">
        <v>357</v>
      </c>
      <c r="P232" s="284">
        <v>333</v>
      </c>
      <c r="Q232" s="286">
        <v>91</v>
      </c>
      <c r="R232" s="274">
        <v>862</v>
      </c>
      <c r="S232" s="274">
        <v>448</v>
      </c>
      <c r="T232" s="287">
        <f t="shared" si="3"/>
        <v>2016</v>
      </c>
      <c r="U232" s="274">
        <f>VLOOKUP(A232,'[1]SB35 Determination Data'!$B$4:$F$542,5,FALSE)</f>
        <v>2014</v>
      </c>
    </row>
    <row r="233" spans="1:21" s="274" customFormat="1" ht="12.75" x14ac:dyDescent="0.2">
      <c r="A233" s="282" t="s">
        <v>289</v>
      </c>
      <c r="B233" s="282" t="s">
        <v>542</v>
      </c>
      <c r="C233" s="282" t="s">
        <v>649</v>
      </c>
      <c r="D233" s="283">
        <v>2017</v>
      </c>
      <c r="E233" s="282" t="s">
        <v>650</v>
      </c>
      <c r="F233" s="284">
        <v>217</v>
      </c>
      <c r="G233" s="285">
        <v>0</v>
      </c>
      <c r="H233" s="288">
        <v>0</v>
      </c>
      <c r="I233" s="285">
        <v>0</v>
      </c>
      <c r="J233" s="285">
        <v>148</v>
      </c>
      <c r="K233" s="284">
        <v>0</v>
      </c>
      <c r="L233" s="284">
        <v>0</v>
      </c>
      <c r="M233" s="284">
        <v>0</v>
      </c>
      <c r="N233" s="284">
        <v>164</v>
      </c>
      <c r="O233" s="284">
        <v>668</v>
      </c>
      <c r="P233" s="284">
        <v>333</v>
      </c>
      <c r="Q233" s="286">
        <v>362</v>
      </c>
      <c r="R233" s="274">
        <v>862</v>
      </c>
      <c r="S233" s="274">
        <v>1030</v>
      </c>
      <c r="T233" s="287">
        <f t="shared" si="3"/>
        <v>2017</v>
      </c>
      <c r="U233" s="274">
        <f>VLOOKUP(A233,'[1]SB35 Determination Data'!$B$4:$F$542,5,FALSE)</f>
        <v>2014</v>
      </c>
    </row>
    <row r="234" spans="1:21" s="274" customFormat="1" ht="12.75" x14ac:dyDescent="0.2">
      <c r="A234" s="282" t="s">
        <v>292</v>
      </c>
      <c r="B234" s="282" t="s">
        <v>557</v>
      </c>
      <c r="C234" s="282" t="s">
        <v>758</v>
      </c>
      <c r="D234" s="283">
        <v>2013</v>
      </c>
      <c r="E234" s="282" t="s">
        <v>650</v>
      </c>
      <c r="F234" s="284">
        <v>3209</v>
      </c>
      <c r="G234" s="285">
        <v>69</v>
      </c>
      <c r="H234" s="288">
        <v>69</v>
      </c>
      <c r="I234" s="285">
        <v>0</v>
      </c>
      <c r="J234" s="285">
        <v>2439</v>
      </c>
      <c r="K234" s="284">
        <v>371</v>
      </c>
      <c r="L234" s="284">
        <v>371</v>
      </c>
      <c r="M234" s="284">
        <v>0</v>
      </c>
      <c r="N234" s="284">
        <v>2257</v>
      </c>
      <c r="O234" s="284">
        <v>302</v>
      </c>
      <c r="P234" s="284">
        <v>4956</v>
      </c>
      <c r="Q234" s="286">
        <v>2300</v>
      </c>
      <c r="R234" s="274">
        <v>12861</v>
      </c>
      <c r="S234" s="274">
        <v>3042</v>
      </c>
      <c r="T234" s="287">
        <f t="shared" si="3"/>
        <v>2013</v>
      </c>
      <c r="U234" s="274">
        <f>VLOOKUP(A234,'[1]SB35 Determination Data'!$B$4:$F$542,5,FALSE)</f>
        <v>2013</v>
      </c>
    </row>
    <row r="235" spans="1:21" s="274" customFormat="1" ht="12.75" x14ac:dyDescent="0.2">
      <c r="A235" s="282" t="s">
        <v>292</v>
      </c>
      <c r="B235" s="282" t="s">
        <v>557</v>
      </c>
      <c r="C235" s="282" t="s">
        <v>758</v>
      </c>
      <c r="D235" s="283">
        <v>2014</v>
      </c>
      <c r="E235" s="282" t="s">
        <v>650</v>
      </c>
      <c r="F235" s="284">
        <v>3209</v>
      </c>
      <c r="G235" s="285">
        <v>24</v>
      </c>
      <c r="H235" s="288">
        <v>24</v>
      </c>
      <c r="I235" s="285">
        <v>0</v>
      </c>
      <c r="J235" s="285">
        <v>2439</v>
      </c>
      <c r="K235" s="284">
        <v>8</v>
      </c>
      <c r="L235" s="284">
        <v>8</v>
      </c>
      <c r="M235" s="284">
        <v>0</v>
      </c>
      <c r="N235" s="284">
        <v>2257</v>
      </c>
      <c r="O235" s="284">
        <v>11</v>
      </c>
      <c r="P235" s="284">
        <v>4956</v>
      </c>
      <c r="Q235" s="286">
        <v>956</v>
      </c>
      <c r="R235" s="274">
        <v>12861</v>
      </c>
      <c r="S235" s="274">
        <v>999</v>
      </c>
      <c r="T235" s="287">
        <f t="shared" si="3"/>
        <v>2014</v>
      </c>
      <c r="U235" s="274">
        <f>VLOOKUP(A235,'[1]SB35 Determination Data'!$B$4:$F$542,5,FALSE)</f>
        <v>2013</v>
      </c>
    </row>
    <row r="236" spans="1:21" s="274" customFormat="1" ht="12.75" x14ac:dyDescent="0.2">
      <c r="A236" s="282" t="s">
        <v>292</v>
      </c>
      <c r="B236" s="282" t="s">
        <v>557</v>
      </c>
      <c r="C236" s="282" t="s">
        <v>758</v>
      </c>
      <c r="D236" s="283">
        <v>2015</v>
      </c>
      <c r="E236" s="282" t="s">
        <v>650</v>
      </c>
      <c r="F236" s="284">
        <v>3209</v>
      </c>
      <c r="G236" s="285">
        <v>0</v>
      </c>
      <c r="H236" s="288">
        <v>0</v>
      </c>
      <c r="I236" s="285">
        <v>0</v>
      </c>
      <c r="J236" s="285">
        <v>2439</v>
      </c>
      <c r="K236" s="284">
        <v>0</v>
      </c>
      <c r="L236" s="284">
        <v>0</v>
      </c>
      <c r="M236" s="284">
        <v>0</v>
      </c>
      <c r="N236" s="289">
        <v>2257</v>
      </c>
      <c r="O236" s="284">
        <v>0</v>
      </c>
      <c r="P236" s="284">
        <v>4956</v>
      </c>
      <c r="Q236" s="286">
        <v>689</v>
      </c>
      <c r="R236" s="274">
        <v>12861</v>
      </c>
      <c r="S236" s="274">
        <v>689</v>
      </c>
      <c r="T236" s="287">
        <f t="shared" si="3"/>
        <v>2015</v>
      </c>
      <c r="U236" s="274">
        <f>VLOOKUP(A236,'[1]SB35 Determination Data'!$B$4:$F$542,5,FALSE)</f>
        <v>2013</v>
      </c>
    </row>
    <row r="237" spans="1:21" s="274" customFormat="1" ht="12.75" x14ac:dyDescent="0.2">
      <c r="A237" s="282" t="s">
        <v>292</v>
      </c>
      <c r="B237" s="282" t="s">
        <v>557</v>
      </c>
      <c r="C237" s="282" t="s">
        <v>758</v>
      </c>
      <c r="D237" s="283">
        <v>2016</v>
      </c>
      <c r="E237" s="282" t="s">
        <v>650</v>
      </c>
      <c r="F237" s="284">
        <v>3209</v>
      </c>
      <c r="G237" s="285">
        <v>22</v>
      </c>
      <c r="H237" s="288">
        <v>22</v>
      </c>
      <c r="I237" s="285">
        <v>0</v>
      </c>
      <c r="J237" s="285">
        <v>2439</v>
      </c>
      <c r="K237" s="284">
        <v>186</v>
      </c>
      <c r="L237" s="284">
        <v>186</v>
      </c>
      <c r="M237" s="284">
        <v>0</v>
      </c>
      <c r="N237" s="284">
        <v>2257</v>
      </c>
      <c r="O237" s="284">
        <v>2</v>
      </c>
      <c r="P237" s="284">
        <v>4956</v>
      </c>
      <c r="Q237" s="286">
        <v>849</v>
      </c>
      <c r="R237" s="274">
        <v>12861</v>
      </c>
      <c r="S237" s="274">
        <v>1059</v>
      </c>
      <c r="T237" s="287">
        <f t="shared" si="3"/>
        <v>2016</v>
      </c>
      <c r="U237" s="274">
        <f>VLOOKUP(A237,'[1]SB35 Determination Data'!$B$4:$F$542,5,FALSE)</f>
        <v>2013</v>
      </c>
    </row>
    <row r="238" spans="1:21" s="274" customFormat="1" ht="12.75" x14ac:dyDescent="0.2">
      <c r="A238" s="282" t="s">
        <v>292</v>
      </c>
      <c r="B238" s="282" t="s">
        <v>557</v>
      </c>
      <c r="C238" s="282" t="s">
        <v>758</v>
      </c>
      <c r="D238" s="283">
        <v>2017</v>
      </c>
      <c r="E238" s="282" t="s">
        <v>650</v>
      </c>
      <c r="F238" s="284">
        <v>3209</v>
      </c>
      <c r="G238" s="285">
        <v>0</v>
      </c>
      <c r="H238" s="288">
        <v>0</v>
      </c>
      <c r="I238" s="285">
        <v>0</v>
      </c>
      <c r="J238" s="285">
        <v>2439</v>
      </c>
      <c r="K238" s="284">
        <v>0</v>
      </c>
      <c r="L238" s="284">
        <v>0</v>
      </c>
      <c r="M238" s="284">
        <v>0</v>
      </c>
      <c r="N238" s="284">
        <v>2257</v>
      </c>
      <c r="O238" s="284">
        <v>13</v>
      </c>
      <c r="P238" s="284">
        <v>4956</v>
      </c>
      <c r="Q238" s="286">
        <v>1043</v>
      </c>
      <c r="R238" s="274">
        <v>12861</v>
      </c>
      <c r="S238" s="274">
        <v>1056</v>
      </c>
      <c r="T238" s="287">
        <f t="shared" si="3"/>
        <v>2017</v>
      </c>
      <c r="U238" s="274">
        <f>VLOOKUP(A238,'[1]SB35 Determination Data'!$B$4:$F$542,5,FALSE)</f>
        <v>2013</v>
      </c>
    </row>
    <row r="239" spans="1:21" s="274" customFormat="1" ht="12.75" x14ac:dyDescent="0.2">
      <c r="A239" s="282" t="s">
        <v>294</v>
      </c>
      <c r="B239" s="282" t="s">
        <v>511</v>
      </c>
      <c r="C239" s="282" t="s">
        <v>685</v>
      </c>
      <c r="D239" s="283">
        <v>2013</v>
      </c>
      <c r="E239" s="282" t="s">
        <v>650</v>
      </c>
      <c r="F239" s="284">
        <v>146</v>
      </c>
      <c r="G239" s="285">
        <v>0</v>
      </c>
      <c r="H239" s="288">
        <v>0</v>
      </c>
      <c r="I239" s="285">
        <v>0</v>
      </c>
      <c r="J239" s="285">
        <v>102</v>
      </c>
      <c r="K239" s="284">
        <v>1</v>
      </c>
      <c r="L239" s="284">
        <v>0</v>
      </c>
      <c r="M239" s="284">
        <v>1</v>
      </c>
      <c r="N239" s="284">
        <v>130</v>
      </c>
      <c r="O239" s="284">
        <v>0</v>
      </c>
      <c r="P239" s="284">
        <v>318</v>
      </c>
      <c r="Q239" s="286">
        <v>1</v>
      </c>
      <c r="R239" s="274">
        <v>696</v>
      </c>
      <c r="S239" s="274">
        <v>2</v>
      </c>
      <c r="T239" s="287">
        <f t="shared" si="3"/>
        <v>2014</v>
      </c>
      <c r="U239" s="274">
        <f>VLOOKUP(A239,'[1]SB35 Determination Data'!$B$4:$F$542,5,FALSE)</f>
        <v>2014</v>
      </c>
    </row>
    <row r="240" spans="1:21" s="274" customFormat="1" ht="12.75" x14ac:dyDescent="0.2">
      <c r="A240" s="282" t="s">
        <v>294</v>
      </c>
      <c r="B240" s="282" t="s">
        <v>511</v>
      </c>
      <c r="C240" s="282" t="s">
        <v>685</v>
      </c>
      <c r="D240" s="283">
        <v>2014</v>
      </c>
      <c r="E240" s="282" t="s">
        <v>650</v>
      </c>
      <c r="F240" s="284">
        <v>146</v>
      </c>
      <c r="G240" s="285">
        <v>0</v>
      </c>
      <c r="H240" s="288">
        <v>0</v>
      </c>
      <c r="I240" s="285">
        <v>0</v>
      </c>
      <c r="J240" s="285">
        <v>102</v>
      </c>
      <c r="K240" s="284">
        <v>2</v>
      </c>
      <c r="L240" s="284">
        <v>2</v>
      </c>
      <c r="M240" s="284">
        <v>0</v>
      </c>
      <c r="N240" s="289">
        <v>130</v>
      </c>
      <c r="O240" s="284">
        <v>0</v>
      </c>
      <c r="P240" s="284">
        <v>318</v>
      </c>
      <c r="Q240" s="286">
        <v>5</v>
      </c>
      <c r="R240" s="274">
        <v>696</v>
      </c>
      <c r="S240" s="274">
        <v>7</v>
      </c>
      <c r="T240" s="287">
        <f t="shared" si="3"/>
        <v>2014</v>
      </c>
      <c r="U240" s="274">
        <f>VLOOKUP(A240,'[1]SB35 Determination Data'!$B$4:$F$542,5,FALSE)</f>
        <v>2014</v>
      </c>
    </row>
    <row r="241" spans="1:21" s="274" customFormat="1" ht="12.75" x14ac:dyDescent="0.2">
      <c r="A241" s="282" t="s">
        <v>294</v>
      </c>
      <c r="B241" s="282" t="s">
        <v>511</v>
      </c>
      <c r="C241" s="282" t="s">
        <v>685</v>
      </c>
      <c r="D241" s="283">
        <v>2015</v>
      </c>
      <c r="E241" s="282" t="s">
        <v>650</v>
      </c>
      <c r="F241" s="284">
        <v>146</v>
      </c>
      <c r="G241" s="285">
        <v>0</v>
      </c>
      <c r="H241" s="288">
        <v>0</v>
      </c>
      <c r="I241" s="285">
        <v>0</v>
      </c>
      <c r="J241" s="285">
        <v>102</v>
      </c>
      <c r="K241" s="284">
        <v>1</v>
      </c>
      <c r="L241" s="284">
        <v>1</v>
      </c>
      <c r="M241" s="284">
        <v>0</v>
      </c>
      <c r="N241" s="284">
        <v>130</v>
      </c>
      <c r="O241" s="284">
        <v>0</v>
      </c>
      <c r="P241" s="284">
        <v>318</v>
      </c>
      <c r="Q241" s="286">
        <v>43</v>
      </c>
      <c r="R241" s="274">
        <v>696</v>
      </c>
      <c r="S241" s="274">
        <v>44</v>
      </c>
      <c r="T241" s="287">
        <f t="shared" si="3"/>
        <v>2015</v>
      </c>
      <c r="U241" s="274">
        <f>VLOOKUP(A241,'[1]SB35 Determination Data'!$B$4:$F$542,5,FALSE)</f>
        <v>2014</v>
      </c>
    </row>
    <row r="242" spans="1:21" s="274" customFormat="1" ht="12.75" x14ac:dyDescent="0.2">
      <c r="A242" s="282" t="s">
        <v>294</v>
      </c>
      <c r="B242" s="282" t="s">
        <v>511</v>
      </c>
      <c r="C242" s="282" t="s">
        <v>685</v>
      </c>
      <c r="D242" s="283">
        <v>2016</v>
      </c>
      <c r="E242" s="282" t="s">
        <v>650</v>
      </c>
      <c r="F242" s="284">
        <v>146</v>
      </c>
      <c r="G242" s="285">
        <v>0</v>
      </c>
      <c r="H242" s="288">
        <v>0</v>
      </c>
      <c r="I242" s="285">
        <v>0</v>
      </c>
      <c r="J242" s="285">
        <v>102</v>
      </c>
      <c r="K242" s="284">
        <v>0</v>
      </c>
      <c r="L242" s="284">
        <v>0</v>
      </c>
      <c r="M242" s="284">
        <v>0</v>
      </c>
      <c r="N242" s="284">
        <v>130</v>
      </c>
      <c r="O242" s="284">
        <v>24</v>
      </c>
      <c r="P242" s="284">
        <v>318</v>
      </c>
      <c r="Q242" s="286">
        <v>0</v>
      </c>
      <c r="R242" s="274">
        <v>696</v>
      </c>
      <c r="S242" s="274">
        <v>24</v>
      </c>
      <c r="T242" s="287">
        <f t="shared" si="3"/>
        <v>2016</v>
      </c>
      <c r="U242" s="274">
        <f>VLOOKUP(A242,'[1]SB35 Determination Data'!$B$4:$F$542,5,FALSE)</f>
        <v>2014</v>
      </c>
    </row>
    <row r="243" spans="1:21" s="274" customFormat="1" ht="12.75" x14ac:dyDescent="0.2">
      <c r="A243" s="282" t="s">
        <v>294</v>
      </c>
      <c r="B243" s="282" t="s">
        <v>511</v>
      </c>
      <c r="C243" s="282" t="s">
        <v>685</v>
      </c>
      <c r="D243" s="283">
        <v>2017</v>
      </c>
      <c r="E243" s="282" t="s">
        <v>650</v>
      </c>
      <c r="F243" s="284">
        <v>146</v>
      </c>
      <c r="G243" s="285">
        <v>1</v>
      </c>
      <c r="H243" s="288">
        <v>0</v>
      </c>
      <c r="I243" s="285">
        <v>1</v>
      </c>
      <c r="J243" s="285">
        <v>102</v>
      </c>
      <c r="K243" s="284">
        <v>0</v>
      </c>
      <c r="L243" s="284">
        <v>0</v>
      </c>
      <c r="M243" s="284">
        <v>0</v>
      </c>
      <c r="N243" s="284">
        <v>130</v>
      </c>
      <c r="O243" s="284">
        <v>0</v>
      </c>
      <c r="P243" s="284">
        <v>318</v>
      </c>
      <c r="Q243" s="286">
        <v>12</v>
      </c>
      <c r="R243" s="274">
        <v>696</v>
      </c>
      <c r="S243" s="274">
        <v>13</v>
      </c>
      <c r="T243" s="287">
        <f t="shared" si="3"/>
        <v>2017</v>
      </c>
      <c r="U243" s="274">
        <f>VLOOKUP(A243,'[1]SB35 Determination Data'!$B$4:$F$542,5,FALSE)</f>
        <v>2014</v>
      </c>
    </row>
    <row r="244" spans="1:21" s="274" customFormat="1" ht="12.75" x14ac:dyDescent="0.2">
      <c r="A244" s="282" t="s">
        <v>295</v>
      </c>
      <c r="B244" s="282" t="s">
        <v>262</v>
      </c>
      <c r="C244" s="282" t="s">
        <v>649</v>
      </c>
      <c r="D244" s="283">
        <v>2017</v>
      </c>
      <c r="E244" s="282" t="s">
        <v>650</v>
      </c>
      <c r="F244" s="284">
        <v>98</v>
      </c>
      <c r="G244" s="285">
        <v>0</v>
      </c>
      <c r="H244" s="288">
        <v>0</v>
      </c>
      <c r="I244" s="285">
        <v>0</v>
      </c>
      <c r="J244" s="285">
        <v>59</v>
      </c>
      <c r="K244" s="284">
        <v>0</v>
      </c>
      <c r="L244" s="284">
        <v>0</v>
      </c>
      <c r="M244" s="284">
        <v>0</v>
      </c>
      <c r="N244" s="284">
        <v>64</v>
      </c>
      <c r="O244" s="284">
        <v>16</v>
      </c>
      <c r="P244" s="284">
        <v>152</v>
      </c>
      <c r="Q244" s="286">
        <v>316</v>
      </c>
      <c r="R244" s="274">
        <v>373</v>
      </c>
      <c r="S244" s="274">
        <v>332</v>
      </c>
      <c r="T244" s="287">
        <f t="shared" si="3"/>
        <v>2017</v>
      </c>
      <c r="U244" s="274">
        <f>VLOOKUP(A244,'[1]SB35 Determination Data'!$B$4:$F$542,5,FALSE)</f>
        <v>2014</v>
      </c>
    </row>
    <row r="245" spans="1:21" s="274" customFormat="1" ht="12.75" x14ac:dyDescent="0.2">
      <c r="A245" s="282" t="s">
        <v>266</v>
      </c>
      <c r="B245" s="282" t="s">
        <v>120</v>
      </c>
      <c r="C245" s="282" t="s">
        <v>654</v>
      </c>
      <c r="D245" s="283">
        <v>2015</v>
      </c>
      <c r="E245" s="282" t="s">
        <v>650</v>
      </c>
      <c r="F245" s="284">
        <v>51</v>
      </c>
      <c r="G245" s="285">
        <v>0</v>
      </c>
      <c r="H245" s="288">
        <v>0</v>
      </c>
      <c r="I245" s="285">
        <v>0</v>
      </c>
      <c r="J245" s="285">
        <v>25</v>
      </c>
      <c r="K245" s="284">
        <v>0</v>
      </c>
      <c r="L245" s="284">
        <v>0</v>
      </c>
      <c r="M245" s="284">
        <v>0</v>
      </c>
      <c r="N245" s="284">
        <v>31</v>
      </c>
      <c r="O245" s="284">
        <v>0</v>
      </c>
      <c r="P245" s="284">
        <v>34</v>
      </c>
      <c r="Q245" s="286">
        <v>0</v>
      </c>
      <c r="R245" s="274">
        <v>141</v>
      </c>
      <c r="S245" s="274">
        <v>0</v>
      </c>
      <c r="T245" s="287">
        <f t="shared" si="3"/>
        <v>2015</v>
      </c>
      <c r="U245" s="274">
        <f>VLOOKUP(A245,'[1]SB35 Determination Data'!$B$4:$F$542,5,FALSE)</f>
        <v>2015</v>
      </c>
    </row>
    <row r="246" spans="1:21" s="274" customFormat="1" ht="12.75" x14ac:dyDescent="0.2">
      <c r="A246" s="282" t="s">
        <v>266</v>
      </c>
      <c r="B246" s="282" t="s">
        <v>120</v>
      </c>
      <c r="C246" s="282" t="s">
        <v>654</v>
      </c>
      <c r="D246" s="283">
        <v>2016</v>
      </c>
      <c r="E246" s="282" t="s">
        <v>650</v>
      </c>
      <c r="F246" s="284">
        <v>51</v>
      </c>
      <c r="G246" s="285">
        <v>0</v>
      </c>
      <c r="H246" s="288">
        <v>0</v>
      </c>
      <c r="I246" s="285">
        <v>0</v>
      </c>
      <c r="J246" s="285">
        <v>25</v>
      </c>
      <c r="K246" s="284">
        <v>1</v>
      </c>
      <c r="L246" s="284">
        <v>0</v>
      </c>
      <c r="M246" s="284">
        <v>1</v>
      </c>
      <c r="N246" s="289">
        <v>31</v>
      </c>
      <c r="O246" s="284">
        <v>0</v>
      </c>
      <c r="P246" s="284">
        <v>34</v>
      </c>
      <c r="Q246" s="286">
        <v>0</v>
      </c>
      <c r="R246" s="274">
        <v>141</v>
      </c>
      <c r="S246" s="274">
        <v>1</v>
      </c>
      <c r="T246" s="287">
        <f t="shared" si="3"/>
        <v>2016</v>
      </c>
      <c r="U246" s="274">
        <f>VLOOKUP(A246,'[1]SB35 Determination Data'!$B$4:$F$542,5,FALSE)</f>
        <v>2015</v>
      </c>
    </row>
    <row r="247" spans="1:21" s="274" customFormat="1" ht="12.75" x14ac:dyDescent="0.2">
      <c r="A247" s="282" t="s">
        <v>266</v>
      </c>
      <c r="B247" s="282" t="s">
        <v>120</v>
      </c>
      <c r="C247" s="282" t="s">
        <v>654</v>
      </c>
      <c r="D247" s="283">
        <v>2017</v>
      </c>
      <c r="E247" s="282" t="s">
        <v>650</v>
      </c>
      <c r="F247" s="284">
        <v>51</v>
      </c>
      <c r="G247" s="285">
        <v>0</v>
      </c>
      <c r="H247" s="288">
        <v>0</v>
      </c>
      <c r="I247" s="285">
        <v>0</v>
      </c>
      <c r="J247" s="285">
        <v>25</v>
      </c>
      <c r="K247" s="284">
        <v>1</v>
      </c>
      <c r="L247" s="284">
        <v>0</v>
      </c>
      <c r="M247" s="284">
        <v>1</v>
      </c>
      <c r="N247" s="284">
        <v>31</v>
      </c>
      <c r="O247" s="284">
        <v>0</v>
      </c>
      <c r="P247" s="284">
        <v>34</v>
      </c>
      <c r="Q247" s="286">
        <v>8</v>
      </c>
      <c r="R247" s="274">
        <v>141</v>
      </c>
      <c r="S247" s="274">
        <v>9</v>
      </c>
      <c r="T247" s="287">
        <f t="shared" si="3"/>
        <v>2017</v>
      </c>
      <c r="U247" s="274">
        <f>VLOOKUP(A247,'[1]SB35 Determination Data'!$B$4:$F$542,5,FALSE)</f>
        <v>2015</v>
      </c>
    </row>
    <row r="248" spans="1:21" s="274" customFormat="1" ht="12.75" x14ac:dyDescent="0.2">
      <c r="A248" s="282" t="s">
        <v>297</v>
      </c>
      <c r="B248" s="282" t="s">
        <v>240</v>
      </c>
      <c r="C248" s="282" t="s">
        <v>660</v>
      </c>
      <c r="D248" s="283">
        <v>2015</v>
      </c>
      <c r="E248" s="282" t="s">
        <v>650</v>
      </c>
      <c r="F248" s="284">
        <v>108</v>
      </c>
      <c r="G248" s="285">
        <v>1</v>
      </c>
      <c r="H248" s="288">
        <v>1</v>
      </c>
      <c r="I248" s="285">
        <v>0</v>
      </c>
      <c r="J248" s="285">
        <v>67</v>
      </c>
      <c r="K248" s="284">
        <v>0</v>
      </c>
      <c r="L248" s="284">
        <v>0</v>
      </c>
      <c r="M248" s="284">
        <v>0</v>
      </c>
      <c r="N248" s="284">
        <v>87</v>
      </c>
      <c r="O248" s="284">
        <v>0</v>
      </c>
      <c r="P248" s="284">
        <v>205</v>
      </c>
      <c r="Q248" s="286">
        <v>1</v>
      </c>
      <c r="R248" s="274">
        <v>467</v>
      </c>
      <c r="S248" s="274">
        <v>2</v>
      </c>
      <c r="T248" s="287">
        <f t="shared" si="3"/>
        <v>2015</v>
      </c>
      <c r="U248" s="274">
        <f>VLOOKUP(A248,'[1]SB35 Determination Data'!$B$4:$F$542,5,FALSE)</f>
        <v>2014</v>
      </c>
    </row>
    <row r="249" spans="1:21" s="274" customFormat="1" ht="12.75" x14ac:dyDescent="0.2">
      <c r="A249" s="282" t="s">
        <v>297</v>
      </c>
      <c r="B249" s="282" t="s">
        <v>240</v>
      </c>
      <c r="C249" s="282" t="s">
        <v>660</v>
      </c>
      <c r="D249" s="283">
        <v>2016</v>
      </c>
      <c r="E249" s="282" t="s">
        <v>650</v>
      </c>
      <c r="F249" s="284">
        <v>108</v>
      </c>
      <c r="G249" s="285">
        <v>0</v>
      </c>
      <c r="H249" s="288">
        <v>0</v>
      </c>
      <c r="I249" s="285">
        <v>0</v>
      </c>
      <c r="J249" s="285">
        <v>67</v>
      </c>
      <c r="K249" s="284">
        <v>0</v>
      </c>
      <c r="L249" s="284">
        <v>0</v>
      </c>
      <c r="M249" s="284">
        <v>0</v>
      </c>
      <c r="N249" s="284">
        <v>87</v>
      </c>
      <c r="O249" s="284">
        <v>1</v>
      </c>
      <c r="P249" s="284">
        <v>205</v>
      </c>
      <c r="Q249" s="286">
        <v>0</v>
      </c>
      <c r="R249" s="274">
        <v>467</v>
      </c>
      <c r="S249" s="274">
        <v>1</v>
      </c>
      <c r="T249" s="287">
        <f t="shared" si="3"/>
        <v>2016</v>
      </c>
      <c r="U249" s="274">
        <f>VLOOKUP(A249,'[1]SB35 Determination Data'!$B$4:$F$542,5,FALSE)</f>
        <v>2014</v>
      </c>
    </row>
    <row r="250" spans="1:21" s="274" customFormat="1" ht="12.75" x14ac:dyDescent="0.2">
      <c r="A250" s="282" t="s">
        <v>297</v>
      </c>
      <c r="B250" s="282" t="s">
        <v>240</v>
      </c>
      <c r="C250" s="282" t="s">
        <v>660</v>
      </c>
      <c r="D250" s="283">
        <v>2017</v>
      </c>
      <c r="E250" s="282" t="s">
        <v>650</v>
      </c>
      <c r="F250" s="284">
        <v>108</v>
      </c>
      <c r="G250" s="285">
        <v>1</v>
      </c>
      <c r="H250" s="288">
        <v>0</v>
      </c>
      <c r="I250" s="285">
        <v>1</v>
      </c>
      <c r="J250" s="285">
        <v>67</v>
      </c>
      <c r="K250" s="284">
        <v>1</v>
      </c>
      <c r="L250" s="284">
        <v>0</v>
      </c>
      <c r="M250" s="284">
        <v>1</v>
      </c>
      <c r="N250" s="284">
        <v>87</v>
      </c>
      <c r="O250" s="284">
        <v>0</v>
      </c>
      <c r="P250" s="284">
        <v>205</v>
      </c>
      <c r="Q250" s="286">
        <v>0</v>
      </c>
      <c r="R250" s="274">
        <v>467</v>
      </c>
      <c r="S250" s="274">
        <v>2</v>
      </c>
      <c r="T250" s="287">
        <f t="shared" si="3"/>
        <v>2017</v>
      </c>
      <c r="U250" s="274">
        <f>VLOOKUP(A250,'[1]SB35 Determination Data'!$B$4:$F$542,5,FALSE)</f>
        <v>2014</v>
      </c>
    </row>
    <row r="251" spans="1:21" s="274" customFormat="1" ht="12.75" x14ac:dyDescent="0.2">
      <c r="A251" s="282" t="s">
        <v>298</v>
      </c>
      <c r="B251" s="282" t="s">
        <v>669</v>
      </c>
      <c r="C251" s="282" t="s">
        <v>654</v>
      </c>
      <c r="D251" s="283">
        <v>2014</v>
      </c>
      <c r="E251" s="282" t="s">
        <v>650</v>
      </c>
      <c r="F251" s="284">
        <v>39</v>
      </c>
      <c r="G251" s="285">
        <v>0</v>
      </c>
      <c r="H251" s="288">
        <v>0</v>
      </c>
      <c r="I251" s="285">
        <v>0</v>
      </c>
      <c r="J251" s="285">
        <v>29</v>
      </c>
      <c r="K251" s="284">
        <v>0</v>
      </c>
      <c r="L251" s="284">
        <v>0</v>
      </c>
      <c r="M251" s="284">
        <v>0</v>
      </c>
      <c r="N251" s="289">
        <v>31</v>
      </c>
      <c r="O251" s="284">
        <v>0</v>
      </c>
      <c r="P251" s="284">
        <v>112</v>
      </c>
      <c r="Q251" s="286">
        <v>0</v>
      </c>
      <c r="R251" s="274">
        <v>211</v>
      </c>
      <c r="S251" s="274">
        <v>0</v>
      </c>
      <c r="T251" s="287">
        <f t="shared" si="3"/>
        <v>2015</v>
      </c>
      <c r="U251" s="274">
        <f>VLOOKUP(A251,'[1]SB35 Determination Data'!$B$4:$F$542,5,FALSE)</f>
        <v>2015</v>
      </c>
    </row>
    <row r="252" spans="1:21" s="274" customFormat="1" ht="12.75" x14ac:dyDescent="0.2">
      <c r="A252" s="282" t="s">
        <v>298</v>
      </c>
      <c r="B252" s="282" t="s">
        <v>669</v>
      </c>
      <c r="C252" s="282" t="s">
        <v>654</v>
      </c>
      <c r="D252" s="283">
        <v>2015</v>
      </c>
      <c r="E252" s="282" t="s">
        <v>650</v>
      </c>
      <c r="F252" s="284">
        <v>39</v>
      </c>
      <c r="G252" s="285">
        <v>25</v>
      </c>
      <c r="H252" s="288">
        <v>25</v>
      </c>
      <c r="I252" s="285">
        <v>0</v>
      </c>
      <c r="J252" s="285">
        <v>29</v>
      </c>
      <c r="K252" s="284">
        <v>7</v>
      </c>
      <c r="L252" s="284">
        <v>7</v>
      </c>
      <c r="M252" s="284">
        <v>0</v>
      </c>
      <c r="N252" s="284">
        <v>31</v>
      </c>
      <c r="O252" s="284">
        <v>0</v>
      </c>
      <c r="P252" s="284">
        <v>112</v>
      </c>
      <c r="Q252" s="286">
        <v>0</v>
      </c>
      <c r="R252" s="274">
        <v>211</v>
      </c>
      <c r="S252" s="274">
        <v>32</v>
      </c>
      <c r="T252" s="287">
        <f t="shared" si="3"/>
        <v>2015</v>
      </c>
      <c r="U252" s="274">
        <f>VLOOKUP(A252,'[1]SB35 Determination Data'!$B$4:$F$542,5,FALSE)</f>
        <v>2015</v>
      </c>
    </row>
    <row r="253" spans="1:21" s="274" customFormat="1" ht="12.75" x14ac:dyDescent="0.2">
      <c r="A253" s="282" t="s">
        <v>298</v>
      </c>
      <c r="B253" s="282" t="s">
        <v>669</v>
      </c>
      <c r="C253" s="282" t="s">
        <v>654</v>
      </c>
      <c r="D253" s="283">
        <v>2016</v>
      </c>
      <c r="E253" s="282" t="s">
        <v>650</v>
      </c>
      <c r="F253" s="284">
        <v>39</v>
      </c>
      <c r="G253" s="285">
        <v>0</v>
      </c>
      <c r="H253" s="288">
        <v>0</v>
      </c>
      <c r="I253" s="285">
        <v>0</v>
      </c>
      <c r="J253" s="285">
        <v>29</v>
      </c>
      <c r="K253" s="284">
        <v>0</v>
      </c>
      <c r="L253" s="284">
        <v>0</v>
      </c>
      <c r="M253" s="284">
        <v>0</v>
      </c>
      <c r="N253" s="284">
        <v>31</v>
      </c>
      <c r="O253" s="284">
        <v>2</v>
      </c>
      <c r="P253" s="284">
        <v>112</v>
      </c>
      <c r="Q253" s="286">
        <v>13</v>
      </c>
      <c r="R253" s="274">
        <v>211</v>
      </c>
      <c r="S253" s="274">
        <v>15</v>
      </c>
      <c r="T253" s="287">
        <f t="shared" si="3"/>
        <v>2016</v>
      </c>
      <c r="U253" s="274">
        <f>VLOOKUP(A253,'[1]SB35 Determination Data'!$B$4:$F$542,5,FALSE)</f>
        <v>2015</v>
      </c>
    </row>
    <row r="254" spans="1:21" s="274" customFormat="1" ht="12.75" x14ac:dyDescent="0.2">
      <c r="A254" s="282" t="s">
        <v>298</v>
      </c>
      <c r="B254" s="282" t="s">
        <v>669</v>
      </c>
      <c r="C254" s="282" t="s">
        <v>654</v>
      </c>
      <c r="D254" s="283">
        <v>2017</v>
      </c>
      <c r="E254" s="282" t="s">
        <v>650</v>
      </c>
      <c r="F254" s="284">
        <v>39</v>
      </c>
      <c r="G254" s="285">
        <v>0</v>
      </c>
      <c r="H254" s="288">
        <v>0</v>
      </c>
      <c r="I254" s="285">
        <v>0</v>
      </c>
      <c r="J254" s="285">
        <v>29</v>
      </c>
      <c r="K254" s="284">
        <v>0</v>
      </c>
      <c r="L254" s="284">
        <v>0</v>
      </c>
      <c r="M254" s="284">
        <v>0</v>
      </c>
      <c r="N254" s="284">
        <v>31</v>
      </c>
      <c r="O254" s="284">
        <v>3</v>
      </c>
      <c r="P254" s="284">
        <v>112</v>
      </c>
      <c r="Q254" s="286">
        <v>22</v>
      </c>
      <c r="R254" s="274">
        <v>211</v>
      </c>
      <c r="S254" s="274">
        <v>25</v>
      </c>
      <c r="T254" s="287">
        <f t="shared" si="3"/>
        <v>2017</v>
      </c>
      <c r="U254" s="274">
        <f>VLOOKUP(A254,'[1]SB35 Determination Data'!$B$4:$F$542,5,FALSE)</f>
        <v>2015</v>
      </c>
    </row>
    <row r="255" spans="1:21" s="274" customFormat="1" ht="12.75" x14ac:dyDescent="0.2">
      <c r="A255" s="282" t="s">
        <v>300</v>
      </c>
      <c r="B255" s="282" t="s">
        <v>125</v>
      </c>
      <c r="C255" s="282" t="s">
        <v>531</v>
      </c>
      <c r="D255" s="283">
        <v>2015</v>
      </c>
      <c r="E255" s="282" t="s">
        <v>650</v>
      </c>
      <c r="F255" s="284">
        <v>2321</v>
      </c>
      <c r="G255" s="285">
        <v>0</v>
      </c>
      <c r="H255" s="288">
        <v>0</v>
      </c>
      <c r="I255" s="285">
        <v>0</v>
      </c>
      <c r="J255" s="285">
        <v>1145</v>
      </c>
      <c r="K255" s="284">
        <v>0</v>
      </c>
      <c r="L255" s="284">
        <v>0</v>
      </c>
      <c r="M255" s="284">
        <v>0</v>
      </c>
      <c r="N255" s="289">
        <v>1018</v>
      </c>
      <c r="O255" s="284">
        <v>456</v>
      </c>
      <c r="P255" s="284">
        <v>1844</v>
      </c>
      <c r="Q255" s="286">
        <v>1296</v>
      </c>
      <c r="R255" s="274">
        <v>6328</v>
      </c>
      <c r="S255" s="274">
        <v>1752</v>
      </c>
      <c r="T255" s="287">
        <f t="shared" si="3"/>
        <v>2016</v>
      </c>
      <c r="U255" s="274">
        <f>VLOOKUP(A255,'[1]SB35 Determination Data'!$B$4:$F$542,5,FALSE)</f>
        <v>2016</v>
      </c>
    </row>
    <row r="256" spans="1:21" s="274" customFormat="1" ht="12.75" x14ac:dyDescent="0.2">
      <c r="A256" s="282" t="s">
        <v>300</v>
      </c>
      <c r="B256" s="282" t="s">
        <v>125</v>
      </c>
      <c r="C256" s="282" t="s">
        <v>531</v>
      </c>
      <c r="D256" s="283">
        <v>2016</v>
      </c>
      <c r="E256" s="282" t="s">
        <v>650</v>
      </c>
      <c r="F256" s="284">
        <v>2321</v>
      </c>
      <c r="G256" s="285">
        <v>0</v>
      </c>
      <c r="H256" s="288">
        <v>0</v>
      </c>
      <c r="I256" s="285">
        <v>0</v>
      </c>
      <c r="J256" s="285">
        <v>1145</v>
      </c>
      <c r="K256" s="284">
        <v>5</v>
      </c>
      <c r="L256" s="284">
        <v>5</v>
      </c>
      <c r="M256" s="284">
        <v>0</v>
      </c>
      <c r="N256" s="284">
        <v>1018</v>
      </c>
      <c r="O256" s="284">
        <v>395</v>
      </c>
      <c r="P256" s="284">
        <v>1844</v>
      </c>
      <c r="Q256" s="286">
        <v>689</v>
      </c>
      <c r="R256" s="274">
        <v>6328</v>
      </c>
      <c r="S256" s="274">
        <v>1089</v>
      </c>
      <c r="T256" s="287">
        <f t="shared" si="3"/>
        <v>2016</v>
      </c>
      <c r="U256" s="274">
        <f>VLOOKUP(A256,'[1]SB35 Determination Data'!$B$4:$F$542,5,FALSE)</f>
        <v>2016</v>
      </c>
    </row>
    <row r="257" spans="1:21" s="274" customFormat="1" ht="12.75" x14ac:dyDescent="0.2">
      <c r="A257" s="282" t="s">
        <v>300</v>
      </c>
      <c r="B257" s="282" t="s">
        <v>125</v>
      </c>
      <c r="C257" s="282" t="s">
        <v>531</v>
      </c>
      <c r="D257" s="283">
        <v>2017</v>
      </c>
      <c r="E257" s="282" t="s">
        <v>650</v>
      </c>
      <c r="F257" s="284">
        <v>2321</v>
      </c>
      <c r="G257" s="285">
        <v>0</v>
      </c>
      <c r="H257" s="288">
        <v>0</v>
      </c>
      <c r="I257" s="285">
        <v>0</v>
      </c>
      <c r="J257" s="285">
        <v>1145</v>
      </c>
      <c r="K257" s="284">
        <v>20</v>
      </c>
      <c r="L257" s="284">
        <v>20</v>
      </c>
      <c r="M257" s="284">
        <v>0</v>
      </c>
      <c r="N257" s="284">
        <v>1018</v>
      </c>
      <c r="O257" s="284">
        <v>480</v>
      </c>
      <c r="P257" s="284">
        <v>1844</v>
      </c>
      <c r="Q257" s="286">
        <v>542</v>
      </c>
      <c r="R257" s="274">
        <v>6328</v>
      </c>
      <c r="S257" s="274">
        <v>1042</v>
      </c>
      <c r="T257" s="287">
        <f t="shared" si="3"/>
        <v>2017</v>
      </c>
      <c r="U257" s="274">
        <f>VLOOKUP(A257,'[1]SB35 Determination Data'!$B$4:$F$542,5,FALSE)</f>
        <v>2016</v>
      </c>
    </row>
    <row r="258" spans="1:21" s="274" customFormat="1" ht="12.75" x14ac:dyDescent="0.2">
      <c r="A258" s="282" t="s">
        <v>302</v>
      </c>
      <c r="B258" s="282" t="s">
        <v>481</v>
      </c>
      <c r="C258" s="282" t="s">
        <v>649</v>
      </c>
      <c r="D258" s="283">
        <v>2014</v>
      </c>
      <c r="E258" s="282" t="s">
        <v>650</v>
      </c>
      <c r="F258" s="284">
        <v>1555</v>
      </c>
      <c r="G258" s="285">
        <v>52</v>
      </c>
      <c r="H258" s="288">
        <v>52</v>
      </c>
      <c r="I258" s="285">
        <v>0</v>
      </c>
      <c r="J258" s="285">
        <v>1059</v>
      </c>
      <c r="K258" s="284">
        <v>32</v>
      </c>
      <c r="L258" s="284">
        <v>32</v>
      </c>
      <c r="M258" s="284">
        <v>0</v>
      </c>
      <c r="N258" s="284">
        <v>1212</v>
      </c>
      <c r="O258" s="284">
        <v>0</v>
      </c>
      <c r="P258" s="284">
        <v>2945</v>
      </c>
      <c r="Q258" s="286">
        <v>64</v>
      </c>
      <c r="R258" s="274">
        <v>6771</v>
      </c>
      <c r="S258" s="274">
        <v>148</v>
      </c>
      <c r="T258" s="287">
        <f t="shared" si="3"/>
        <v>2014</v>
      </c>
      <c r="U258" s="274">
        <f>VLOOKUP(A258,'[1]SB35 Determination Data'!$B$4:$F$542,5,FALSE)</f>
        <v>2014</v>
      </c>
    </row>
    <row r="259" spans="1:21" s="274" customFormat="1" ht="12.75" x14ac:dyDescent="0.2">
      <c r="A259" s="282" t="s">
        <v>302</v>
      </c>
      <c r="B259" s="282" t="s">
        <v>481</v>
      </c>
      <c r="C259" s="282" t="s">
        <v>649</v>
      </c>
      <c r="D259" s="283">
        <v>2015</v>
      </c>
      <c r="E259" s="282" t="s">
        <v>650</v>
      </c>
      <c r="F259" s="284">
        <v>1555</v>
      </c>
      <c r="G259" s="285">
        <v>0</v>
      </c>
      <c r="H259" s="288">
        <v>0</v>
      </c>
      <c r="I259" s="285">
        <v>0</v>
      </c>
      <c r="J259" s="285">
        <v>1059</v>
      </c>
      <c r="K259" s="284">
        <v>0</v>
      </c>
      <c r="L259" s="284">
        <v>0</v>
      </c>
      <c r="M259" s="284">
        <v>0</v>
      </c>
      <c r="N259" s="284">
        <v>1212</v>
      </c>
      <c r="O259" s="284">
        <v>0</v>
      </c>
      <c r="P259" s="284">
        <v>2945</v>
      </c>
      <c r="Q259" s="286">
        <v>24</v>
      </c>
      <c r="R259" s="274">
        <v>6771</v>
      </c>
      <c r="S259" s="274">
        <v>24</v>
      </c>
      <c r="T259" s="287">
        <f t="shared" si="3"/>
        <v>2015</v>
      </c>
      <c r="U259" s="274">
        <f>VLOOKUP(A259,'[1]SB35 Determination Data'!$B$4:$F$542,5,FALSE)</f>
        <v>2014</v>
      </c>
    </row>
    <row r="260" spans="1:21" s="274" customFormat="1" ht="12.75" x14ac:dyDescent="0.2">
      <c r="A260" s="282" t="s">
        <v>302</v>
      </c>
      <c r="B260" s="282" t="s">
        <v>481</v>
      </c>
      <c r="C260" s="282" t="s">
        <v>649</v>
      </c>
      <c r="D260" s="283">
        <v>2016</v>
      </c>
      <c r="E260" s="282" t="s">
        <v>650</v>
      </c>
      <c r="F260" s="284">
        <v>1555</v>
      </c>
      <c r="G260" s="285">
        <v>0</v>
      </c>
      <c r="H260" s="288">
        <v>0</v>
      </c>
      <c r="I260" s="285">
        <v>0</v>
      </c>
      <c r="J260" s="285">
        <v>1059</v>
      </c>
      <c r="K260" s="284">
        <v>0</v>
      </c>
      <c r="L260" s="284">
        <v>0</v>
      </c>
      <c r="M260" s="284">
        <v>0</v>
      </c>
      <c r="N260" s="289">
        <v>1212</v>
      </c>
      <c r="O260" s="284">
        <v>0</v>
      </c>
      <c r="P260" s="284">
        <v>2945</v>
      </c>
      <c r="Q260" s="286">
        <v>0</v>
      </c>
      <c r="R260" s="274">
        <v>6771</v>
      </c>
      <c r="S260" s="274">
        <v>0</v>
      </c>
      <c r="T260" s="287">
        <f t="shared" ref="T260:T323" si="4">IF(D260&gt;U260,D260,U260)</f>
        <v>2016</v>
      </c>
      <c r="U260" s="274">
        <f>VLOOKUP(A260,'[1]SB35 Determination Data'!$B$4:$F$542,5,FALSE)</f>
        <v>2014</v>
      </c>
    </row>
    <row r="261" spans="1:21" s="274" customFormat="1" ht="12.75" x14ac:dyDescent="0.2">
      <c r="A261" s="282" t="s">
        <v>302</v>
      </c>
      <c r="B261" s="282" t="s">
        <v>481</v>
      </c>
      <c r="C261" s="282" t="s">
        <v>649</v>
      </c>
      <c r="D261" s="283">
        <v>2017</v>
      </c>
      <c r="E261" s="282" t="s">
        <v>650</v>
      </c>
      <c r="F261" s="284">
        <v>1555</v>
      </c>
      <c r="G261" s="285">
        <v>26</v>
      </c>
      <c r="H261" s="288">
        <v>26</v>
      </c>
      <c r="I261" s="285">
        <v>0</v>
      </c>
      <c r="J261" s="285">
        <v>1059</v>
      </c>
      <c r="K261" s="284">
        <v>19</v>
      </c>
      <c r="L261" s="284">
        <v>19</v>
      </c>
      <c r="M261" s="284">
        <v>0</v>
      </c>
      <c r="N261" s="284">
        <v>1212</v>
      </c>
      <c r="O261" s="284">
        <v>0</v>
      </c>
      <c r="P261" s="284">
        <v>2945</v>
      </c>
      <c r="Q261" s="286">
        <v>0</v>
      </c>
      <c r="R261" s="274">
        <v>6771</v>
      </c>
      <c r="S261" s="274">
        <v>45</v>
      </c>
      <c r="T261" s="287">
        <f t="shared" si="4"/>
        <v>2017</v>
      </c>
      <c r="U261" s="274">
        <f>VLOOKUP(A261,'[1]SB35 Determination Data'!$B$4:$F$542,5,FALSE)</f>
        <v>2014</v>
      </c>
    </row>
    <row r="262" spans="1:21" s="274" customFormat="1" ht="12.75" x14ac:dyDescent="0.2">
      <c r="A262" s="282" t="s">
        <v>304</v>
      </c>
      <c r="B262" s="282" t="s">
        <v>125</v>
      </c>
      <c r="C262" s="282" t="s">
        <v>531</v>
      </c>
      <c r="D262" s="283">
        <v>2015</v>
      </c>
      <c r="E262" s="282" t="s">
        <v>650</v>
      </c>
      <c r="F262" s="284">
        <v>150</v>
      </c>
      <c r="G262" s="285">
        <v>36</v>
      </c>
      <c r="H262" s="288">
        <v>36</v>
      </c>
      <c r="I262" s="285">
        <v>0</v>
      </c>
      <c r="J262" s="285">
        <v>115</v>
      </c>
      <c r="K262" s="284">
        <v>32</v>
      </c>
      <c r="L262" s="284">
        <v>32</v>
      </c>
      <c r="M262" s="284">
        <v>0</v>
      </c>
      <c r="N262" s="284">
        <v>123</v>
      </c>
      <c r="O262" s="284">
        <v>24</v>
      </c>
      <c r="P262" s="284">
        <v>201</v>
      </c>
      <c r="Q262" s="286">
        <v>15</v>
      </c>
      <c r="R262" s="274">
        <v>589</v>
      </c>
      <c r="S262" s="274">
        <v>107</v>
      </c>
      <c r="T262" s="287">
        <f t="shared" si="4"/>
        <v>2016</v>
      </c>
      <c r="U262" s="274">
        <f>VLOOKUP(A262,'[1]SB35 Determination Data'!$B$4:$F$542,5,FALSE)</f>
        <v>2016</v>
      </c>
    </row>
    <row r="263" spans="1:21" s="274" customFormat="1" ht="12.75" x14ac:dyDescent="0.2">
      <c r="A263" s="282" t="s">
        <v>304</v>
      </c>
      <c r="B263" s="282" t="s">
        <v>125</v>
      </c>
      <c r="C263" s="282" t="s">
        <v>531</v>
      </c>
      <c r="D263" s="283">
        <v>2016</v>
      </c>
      <c r="E263" s="282" t="s">
        <v>650</v>
      </c>
      <c r="F263" s="284">
        <v>150</v>
      </c>
      <c r="G263" s="285">
        <v>0</v>
      </c>
      <c r="H263" s="288">
        <v>0</v>
      </c>
      <c r="I263" s="285">
        <v>0</v>
      </c>
      <c r="J263" s="285">
        <v>115</v>
      </c>
      <c r="K263" s="284">
        <v>0</v>
      </c>
      <c r="L263" s="284">
        <v>0</v>
      </c>
      <c r="M263" s="284">
        <v>0</v>
      </c>
      <c r="N263" s="289">
        <v>123</v>
      </c>
      <c r="O263" s="284">
        <v>0</v>
      </c>
      <c r="P263" s="284">
        <v>201</v>
      </c>
      <c r="Q263" s="286">
        <v>0</v>
      </c>
      <c r="R263" s="274">
        <v>589</v>
      </c>
      <c r="S263" s="274">
        <v>0</v>
      </c>
      <c r="T263" s="287">
        <f t="shared" si="4"/>
        <v>2016</v>
      </c>
      <c r="U263" s="274">
        <f>VLOOKUP(A263,'[1]SB35 Determination Data'!$B$4:$F$542,5,FALSE)</f>
        <v>2016</v>
      </c>
    </row>
    <row r="264" spans="1:21" s="274" customFormat="1" ht="12.75" x14ac:dyDescent="0.2">
      <c r="A264" s="282" t="s">
        <v>304</v>
      </c>
      <c r="B264" s="282" t="s">
        <v>125</v>
      </c>
      <c r="C264" s="282" t="s">
        <v>531</v>
      </c>
      <c r="D264" s="283">
        <v>2017</v>
      </c>
      <c r="E264" s="282" t="s">
        <v>650</v>
      </c>
      <c r="F264" s="284">
        <v>150</v>
      </c>
      <c r="G264" s="285">
        <v>0</v>
      </c>
      <c r="H264" s="288">
        <v>0</v>
      </c>
      <c r="I264" s="285">
        <v>0</v>
      </c>
      <c r="J264" s="285">
        <v>115</v>
      </c>
      <c r="K264" s="284">
        <v>0</v>
      </c>
      <c r="L264" s="284">
        <v>0</v>
      </c>
      <c r="M264" s="284">
        <v>0</v>
      </c>
      <c r="N264" s="284">
        <v>123</v>
      </c>
      <c r="O264" s="284">
        <v>3</v>
      </c>
      <c r="P264" s="284">
        <v>201</v>
      </c>
      <c r="Q264" s="286">
        <v>39</v>
      </c>
      <c r="R264" s="274">
        <v>589</v>
      </c>
      <c r="S264" s="274">
        <v>42</v>
      </c>
      <c r="T264" s="287">
        <f t="shared" si="4"/>
        <v>2017</v>
      </c>
      <c r="U264" s="274">
        <f>VLOOKUP(A264,'[1]SB35 Determination Data'!$B$4:$F$542,5,FALSE)</f>
        <v>2016</v>
      </c>
    </row>
    <row r="265" spans="1:21" s="274" customFormat="1" ht="12.75" x14ac:dyDescent="0.2">
      <c r="A265" s="282" t="s">
        <v>305</v>
      </c>
      <c r="B265" s="282" t="s">
        <v>451</v>
      </c>
      <c r="C265" s="282" t="s">
        <v>685</v>
      </c>
      <c r="D265" s="283">
        <v>2013</v>
      </c>
      <c r="E265" s="282" t="s">
        <v>650</v>
      </c>
      <c r="F265" s="284">
        <v>10</v>
      </c>
      <c r="G265" s="285">
        <v>0</v>
      </c>
      <c r="H265" s="288">
        <v>0</v>
      </c>
      <c r="I265" s="285">
        <v>0</v>
      </c>
      <c r="J265" s="285">
        <v>7</v>
      </c>
      <c r="K265" s="284">
        <v>0</v>
      </c>
      <c r="L265" s="284">
        <v>0</v>
      </c>
      <c r="M265" s="284">
        <v>0</v>
      </c>
      <c r="N265" s="284">
        <v>10</v>
      </c>
      <c r="O265" s="284">
        <v>0</v>
      </c>
      <c r="P265" s="284">
        <v>24</v>
      </c>
      <c r="Q265" s="286">
        <v>0</v>
      </c>
      <c r="R265" s="274">
        <v>51</v>
      </c>
      <c r="S265" s="274">
        <v>0</v>
      </c>
      <c r="T265" s="287">
        <f t="shared" si="4"/>
        <v>2014</v>
      </c>
      <c r="U265" s="274">
        <f>VLOOKUP(A265,'[1]SB35 Determination Data'!$B$4:$F$542,5,FALSE)</f>
        <v>2014</v>
      </c>
    </row>
    <row r="266" spans="1:21" s="274" customFormat="1" ht="12.75" x14ac:dyDescent="0.2">
      <c r="A266" s="282" t="s">
        <v>305</v>
      </c>
      <c r="B266" s="282" t="s">
        <v>451</v>
      </c>
      <c r="C266" s="282" t="s">
        <v>685</v>
      </c>
      <c r="D266" s="283">
        <v>2017</v>
      </c>
      <c r="E266" s="282" t="s">
        <v>650</v>
      </c>
      <c r="F266" s="284">
        <v>10</v>
      </c>
      <c r="G266" s="285">
        <v>0</v>
      </c>
      <c r="H266" s="288">
        <v>0</v>
      </c>
      <c r="I266" s="285">
        <v>0</v>
      </c>
      <c r="J266" s="285">
        <v>7</v>
      </c>
      <c r="K266" s="284">
        <v>0</v>
      </c>
      <c r="L266" s="284">
        <v>0</v>
      </c>
      <c r="M266" s="284">
        <v>0</v>
      </c>
      <c r="N266" s="284">
        <v>10</v>
      </c>
      <c r="O266" s="284">
        <v>0</v>
      </c>
      <c r="P266" s="284">
        <v>24</v>
      </c>
      <c r="Q266" s="286">
        <v>0</v>
      </c>
      <c r="R266" s="274">
        <v>51</v>
      </c>
      <c r="S266" s="274">
        <v>0</v>
      </c>
      <c r="T266" s="287">
        <f t="shared" si="4"/>
        <v>2017</v>
      </c>
      <c r="U266" s="274">
        <f>VLOOKUP(A266,'[1]SB35 Determination Data'!$B$4:$F$542,5,FALSE)</f>
        <v>2014</v>
      </c>
    </row>
    <row r="267" spans="1:21" s="274" customFormat="1" ht="12.75" x14ac:dyDescent="0.2">
      <c r="A267" s="282" t="s">
        <v>307</v>
      </c>
      <c r="B267" s="282" t="s">
        <v>595</v>
      </c>
      <c r="C267" s="282" t="s">
        <v>654</v>
      </c>
      <c r="D267" s="283">
        <v>2014</v>
      </c>
      <c r="E267" s="282" t="s">
        <v>650</v>
      </c>
      <c r="F267" s="284">
        <v>20</v>
      </c>
      <c r="G267" s="285">
        <v>0</v>
      </c>
      <c r="H267" s="288">
        <v>0</v>
      </c>
      <c r="I267" s="285">
        <v>0</v>
      </c>
      <c r="J267" s="285">
        <v>8</v>
      </c>
      <c r="K267" s="284">
        <v>0</v>
      </c>
      <c r="L267" s="284">
        <v>0</v>
      </c>
      <c r="M267" s="284">
        <v>0</v>
      </c>
      <c r="N267" s="284">
        <v>9</v>
      </c>
      <c r="O267" s="284">
        <v>0</v>
      </c>
      <c r="P267" s="284">
        <v>22</v>
      </c>
      <c r="Q267" s="286">
        <v>0</v>
      </c>
      <c r="R267" s="274">
        <v>59</v>
      </c>
      <c r="S267" s="274">
        <v>0</v>
      </c>
      <c r="T267" s="287">
        <f t="shared" si="4"/>
        <v>2015</v>
      </c>
      <c r="U267" s="274">
        <f>VLOOKUP(A267,'[1]SB35 Determination Data'!$B$4:$F$542,5,FALSE)</f>
        <v>2015</v>
      </c>
    </row>
    <row r="268" spans="1:21" s="274" customFormat="1" ht="12.75" x14ac:dyDescent="0.2">
      <c r="A268" s="282" t="s">
        <v>307</v>
      </c>
      <c r="B268" s="282" t="s">
        <v>595</v>
      </c>
      <c r="C268" s="282" t="s">
        <v>654</v>
      </c>
      <c r="D268" s="283">
        <v>2015</v>
      </c>
      <c r="E268" s="282" t="s">
        <v>650</v>
      </c>
      <c r="F268" s="284">
        <v>20</v>
      </c>
      <c r="G268" s="285">
        <v>0</v>
      </c>
      <c r="H268" s="288">
        <v>0</v>
      </c>
      <c r="I268" s="285">
        <v>0</v>
      </c>
      <c r="J268" s="285">
        <v>8</v>
      </c>
      <c r="K268" s="284">
        <v>0</v>
      </c>
      <c r="L268" s="284">
        <v>0</v>
      </c>
      <c r="M268" s="284">
        <v>0</v>
      </c>
      <c r="N268" s="289">
        <v>9</v>
      </c>
      <c r="O268" s="284">
        <v>0</v>
      </c>
      <c r="P268" s="284">
        <v>22</v>
      </c>
      <c r="Q268" s="286">
        <v>0</v>
      </c>
      <c r="R268" s="274">
        <v>59</v>
      </c>
      <c r="S268" s="274">
        <v>0</v>
      </c>
      <c r="T268" s="287">
        <f t="shared" si="4"/>
        <v>2015</v>
      </c>
      <c r="U268" s="274">
        <f>VLOOKUP(A268,'[1]SB35 Determination Data'!$B$4:$F$542,5,FALSE)</f>
        <v>2015</v>
      </c>
    </row>
    <row r="269" spans="1:21" s="274" customFormat="1" ht="12.75" x14ac:dyDescent="0.2">
      <c r="A269" s="282" t="s">
        <v>307</v>
      </c>
      <c r="B269" s="282" t="s">
        <v>595</v>
      </c>
      <c r="C269" s="282" t="s">
        <v>654</v>
      </c>
      <c r="D269" s="283">
        <v>2016</v>
      </c>
      <c r="E269" s="282" t="s">
        <v>650</v>
      </c>
      <c r="F269" s="284">
        <v>20</v>
      </c>
      <c r="G269" s="285">
        <v>0</v>
      </c>
      <c r="H269" s="288">
        <v>0</v>
      </c>
      <c r="I269" s="285">
        <v>0</v>
      </c>
      <c r="J269" s="285">
        <v>8</v>
      </c>
      <c r="K269" s="284">
        <v>0</v>
      </c>
      <c r="L269" s="284">
        <v>0</v>
      </c>
      <c r="M269" s="284">
        <v>0</v>
      </c>
      <c r="N269" s="284">
        <v>9</v>
      </c>
      <c r="O269" s="284">
        <v>0</v>
      </c>
      <c r="P269" s="284">
        <v>22</v>
      </c>
      <c r="Q269" s="286">
        <v>0</v>
      </c>
      <c r="R269" s="274">
        <v>59</v>
      </c>
      <c r="S269" s="274">
        <v>0</v>
      </c>
      <c r="T269" s="287">
        <f t="shared" si="4"/>
        <v>2016</v>
      </c>
      <c r="U269" s="274">
        <f>VLOOKUP(A269,'[1]SB35 Determination Data'!$B$4:$F$542,5,FALSE)</f>
        <v>2015</v>
      </c>
    </row>
    <row r="270" spans="1:21" s="274" customFormat="1" ht="12.75" x14ac:dyDescent="0.2">
      <c r="A270" s="282" t="s">
        <v>307</v>
      </c>
      <c r="B270" s="282" t="s">
        <v>595</v>
      </c>
      <c r="C270" s="282" t="s">
        <v>654</v>
      </c>
      <c r="D270" s="283">
        <v>2017</v>
      </c>
      <c r="E270" s="282" t="s">
        <v>650</v>
      </c>
      <c r="F270" s="284">
        <v>20</v>
      </c>
      <c r="G270" s="285">
        <v>0</v>
      </c>
      <c r="H270" s="288">
        <v>0</v>
      </c>
      <c r="I270" s="285">
        <v>0</v>
      </c>
      <c r="J270" s="285">
        <v>8</v>
      </c>
      <c r="K270" s="284">
        <v>0</v>
      </c>
      <c r="L270" s="284">
        <v>0</v>
      </c>
      <c r="M270" s="284">
        <v>0</v>
      </c>
      <c r="N270" s="284">
        <v>9</v>
      </c>
      <c r="O270" s="284">
        <v>0</v>
      </c>
      <c r="P270" s="284">
        <v>22</v>
      </c>
      <c r="Q270" s="286">
        <v>6</v>
      </c>
      <c r="R270" s="274">
        <v>59</v>
      </c>
      <c r="S270" s="274">
        <v>6</v>
      </c>
      <c r="T270" s="287">
        <f t="shared" si="4"/>
        <v>2017</v>
      </c>
      <c r="U270" s="274">
        <f>VLOOKUP(A270,'[1]SB35 Determination Data'!$B$4:$F$542,5,FALSE)</f>
        <v>2015</v>
      </c>
    </row>
    <row r="271" spans="1:21" s="274" customFormat="1" ht="12.75" x14ac:dyDescent="0.2">
      <c r="A271" s="282" t="s">
        <v>308</v>
      </c>
      <c r="B271" s="282" t="s">
        <v>542</v>
      </c>
      <c r="C271" s="282" t="s">
        <v>649</v>
      </c>
      <c r="D271" s="283">
        <v>2014</v>
      </c>
      <c r="E271" s="282" t="s">
        <v>650</v>
      </c>
      <c r="F271" s="284">
        <v>443</v>
      </c>
      <c r="G271" s="285">
        <v>0</v>
      </c>
      <c r="H271" s="288">
        <v>0</v>
      </c>
      <c r="I271" s="285">
        <v>0</v>
      </c>
      <c r="J271" s="285">
        <v>302</v>
      </c>
      <c r="K271" s="284">
        <v>0</v>
      </c>
      <c r="L271" s="284">
        <v>0</v>
      </c>
      <c r="M271" s="284">
        <v>0</v>
      </c>
      <c r="N271" s="284">
        <v>347</v>
      </c>
      <c r="O271" s="284">
        <v>5</v>
      </c>
      <c r="P271" s="284">
        <v>831</v>
      </c>
      <c r="Q271" s="286">
        <v>23</v>
      </c>
      <c r="R271" s="274">
        <v>1923</v>
      </c>
      <c r="S271" s="274">
        <v>28</v>
      </c>
      <c r="T271" s="287">
        <f t="shared" si="4"/>
        <v>2014</v>
      </c>
      <c r="U271" s="274">
        <f>VLOOKUP(A271,'[1]SB35 Determination Data'!$B$4:$F$542,5,FALSE)</f>
        <v>2014</v>
      </c>
    </row>
    <row r="272" spans="1:21" s="274" customFormat="1" ht="12.75" x14ac:dyDescent="0.2">
      <c r="A272" s="282" t="s">
        <v>308</v>
      </c>
      <c r="B272" s="282" t="s">
        <v>542</v>
      </c>
      <c r="C272" s="282" t="s">
        <v>649</v>
      </c>
      <c r="D272" s="283">
        <v>2015</v>
      </c>
      <c r="E272" s="282" t="s">
        <v>650</v>
      </c>
      <c r="F272" s="284">
        <v>443</v>
      </c>
      <c r="G272" s="285">
        <v>0</v>
      </c>
      <c r="H272" s="288">
        <v>0</v>
      </c>
      <c r="I272" s="285">
        <v>0</v>
      </c>
      <c r="J272" s="285">
        <v>302</v>
      </c>
      <c r="K272" s="284">
        <v>0</v>
      </c>
      <c r="L272" s="284">
        <v>0</v>
      </c>
      <c r="M272" s="284">
        <v>0</v>
      </c>
      <c r="N272" s="289">
        <v>347</v>
      </c>
      <c r="O272" s="284">
        <v>3</v>
      </c>
      <c r="P272" s="284">
        <v>831</v>
      </c>
      <c r="Q272" s="286">
        <v>13</v>
      </c>
      <c r="R272" s="274">
        <v>1923</v>
      </c>
      <c r="S272" s="274">
        <v>16</v>
      </c>
      <c r="T272" s="287">
        <f t="shared" si="4"/>
        <v>2015</v>
      </c>
      <c r="U272" s="274">
        <f>VLOOKUP(A272,'[1]SB35 Determination Data'!$B$4:$F$542,5,FALSE)</f>
        <v>2014</v>
      </c>
    </row>
    <row r="273" spans="1:21" s="274" customFormat="1" ht="12.75" x14ac:dyDescent="0.2">
      <c r="A273" s="282" t="s">
        <v>308</v>
      </c>
      <c r="B273" s="282" t="s">
        <v>542</v>
      </c>
      <c r="C273" s="282" t="s">
        <v>649</v>
      </c>
      <c r="D273" s="283">
        <v>2016</v>
      </c>
      <c r="E273" s="282" t="s">
        <v>650</v>
      </c>
      <c r="F273" s="284">
        <v>443</v>
      </c>
      <c r="G273" s="285">
        <v>0</v>
      </c>
      <c r="H273" s="288">
        <v>0</v>
      </c>
      <c r="I273" s="285">
        <v>0</v>
      </c>
      <c r="J273" s="285">
        <v>302</v>
      </c>
      <c r="K273" s="284">
        <v>0</v>
      </c>
      <c r="L273" s="284">
        <v>0</v>
      </c>
      <c r="M273" s="284">
        <v>0</v>
      </c>
      <c r="N273" s="284">
        <v>347</v>
      </c>
      <c r="O273" s="284">
        <v>3</v>
      </c>
      <c r="P273" s="284">
        <v>831</v>
      </c>
      <c r="Q273" s="286">
        <v>6</v>
      </c>
      <c r="R273" s="274">
        <v>1923</v>
      </c>
      <c r="S273" s="274">
        <v>9</v>
      </c>
      <c r="T273" s="287">
        <f t="shared" si="4"/>
        <v>2016</v>
      </c>
      <c r="U273" s="274">
        <f>VLOOKUP(A273,'[1]SB35 Determination Data'!$B$4:$F$542,5,FALSE)</f>
        <v>2014</v>
      </c>
    </row>
    <row r="274" spans="1:21" s="274" customFormat="1" ht="12.75" x14ac:dyDescent="0.2">
      <c r="A274" s="282" t="s">
        <v>308</v>
      </c>
      <c r="B274" s="282" t="s">
        <v>542</v>
      </c>
      <c r="C274" s="282" t="s">
        <v>649</v>
      </c>
      <c r="D274" s="283">
        <v>2017</v>
      </c>
      <c r="E274" s="282" t="s">
        <v>650</v>
      </c>
      <c r="F274" s="284">
        <v>443</v>
      </c>
      <c r="G274" s="285">
        <v>0</v>
      </c>
      <c r="H274" s="288">
        <v>0</v>
      </c>
      <c r="I274" s="285">
        <v>0</v>
      </c>
      <c r="J274" s="285">
        <v>302</v>
      </c>
      <c r="K274" s="284">
        <v>0</v>
      </c>
      <c r="L274" s="284">
        <v>0</v>
      </c>
      <c r="M274" s="284">
        <v>0</v>
      </c>
      <c r="N274" s="284">
        <v>347</v>
      </c>
      <c r="O274" s="284">
        <v>2</v>
      </c>
      <c r="P274" s="284">
        <v>831</v>
      </c>
      <c r="Q274" s="286">
        <v>16</v>
      </c>
      <c r="R274" s="274">
        <v>1923</v>
      </c>
      <c r="S274" s="274">
        <v>18</v>
      </c>
      <c r="T274" s="287">
        <f t="shared" si="4"/>
        <v>2017</v>
      </c>
      <c r="U274" s="274">
        <f>VLOOKUP(A274,'[1]SB35 Determination Data'!$B$4:$F$542,5,FALSE)</f>
        <v>2014</v>
      </c>
    </row>
    <row r="275" spans="1:21" s="274" customFormat="1" ht="12.75" x14ac:dyDescent="0.2">
      <c r="A275" s="282" t="s">
        <v>258</v>
      </c>
      <c r="B275" s="282" t="s">
        <v>119</v>
      </c>
      <c r="C275" s="282" t="s">
        <v>660</v>
      </c>
      <c r="D275" s="283">
        <v>2014</v>
      </c>
      <c r="E275" s="282" t="s">
        <v>650</v>
      </c>
      <c r="F275" s="284">
        <v>107</v>
      </c>
      <c r="G275" s="285">
        <v>2</v>
      </c>
      <c r="H275" s="288">
        <v>0</v>
      </c>
      <c r="I275" s="285">
        <v>2</v>
      </c>
      <c r="J275" s="285">
        <v>91</v>
      </c>
      <c r="K275" s="284">
        <v>1</v>
      </c>
      <c r="L275" s="284">
        <v>0</v>
      </c>
      <c r="M275" s="284">
        <v>1</v>
      </c>
      <c r="N275" s="284">
        <v>91</v>
      </c>
      <c r="O275" s="284">
        <v>32</v>
      </c>
      <c r="P275" s="284">
        <v>210</v>
      </c>
      <c r="Q275" s="286">
        <v>25</v>
      </c>
      <c r="R275" s="274">
        <v>499</v>
      </c>
      <c r="S275" s="274">
        <v>60</v>
      </c>
      <c r="T275" s="287">
        <f t="shared" si="4"/>
        <v>2014</v>
      </c>
      <c r="U275" s="274">
        <f>VLOOKUP(A275,'[1]SB35 Determination Data'!$B$4:$F$542,5,FALSE)</f>
        <v>2014</v>
      </c>
    </row>
    <row r="276" spans="1:21" s="274" customFormat="1" ht="12.75" x14ac:dyDescent="0.2">
      <c r="A276" s="282" t="s">
        <v>258</v>
      </c>
      <c r="B276" s="282" t="s">
        <v>119</v>
      </c>
      <c r="C276" s="282" t="s">
        <v>660</v>
      </c>
      <c r="D276" s="283">
        <v>2015</v>
      </c>
      <c r="E276" s="282" t="s">
        <v>650</v>
      </c>
      <c r="F276" s="284">
        <v>107</v>
      </c>
      <c r="G276" s="285">
        <v>1</v>
      </c>
      <c r="H276" s="288">
        <v>1</v>
      </c>
      <c r="I276" s="285">
        <v>0</v>
      </c>
      <c r="J276" s="285">
        <v>91</v>
      </c>
      <c r="K276" s="284">
        <v>1</v>
      </c>
      <c r="L276" s="284">
        <v>0</v>
      </c>
      <c r="M276" s="284">
        <v>1</v>
      </c>
      <c r="N276" s="284">
        <v>91</v>
      </c>
      <c r="O276" s="284">
        <v>30</v>
      </c>
      <c r="P276" s="284">
        <v>210</v>
      </c>
      <c r="Q276" s="286">
        <v>13</v>
      </c>
      <c r="R276" s="274">
        <v>499</v>
      </c>
      <c r="S276" s="274">
        <v>45</v>
      </c>
      <c r="T276" s="287">
        <f t="shared" si="4"/>
        <v>2015</v>
      </c>
      <c r="U276" s="274">
        <f>VLOOKUP(A276,'[1]SB35 Determination Data'!$B$4:$F$542,5,FALSE)</f>
        <v>2014</v>
      </c>
    </row>
    <row r="277" spans="1:21" s="274" customFormat="1" ht="12.75" x14ac:dyDescent="0.2">
      <c r="A277" s="282" t="s">
        <v>258</v>
      </c>
      <c r="B277" s="282" t="s">
        <v>119</v>
      </c>
      <c r="C277" s="282" t="s">
        <v>660</v>
      </c>
      <c r="D277" s="283">
        <v>2016</v>
      </c>
      <c r="E277" s="282" t="s">
        <v>650</v>
      </c>
      <c r="F277" s="284">
        <v>107</v>
      </c>
      <c r="G277" s="285">
        <v>0</v>
      </c>
      <c r="H277" s="288">
        <v>0</v>
      </c>
      <c r="I277" s="285">
        <v>0</v>
      </c>
      <c r="J277" s="285">
        <v>91</v>
      </c>
      <c r="K277" s="284">
        <v>2</v>
      </c>
      <c r="L277" s="284">
        <v>0</v>
      </c>
      <c r="M277" s="284">
        <v>2</v>
      </c>
      <c r="N277" s="284">
        <v>91</v>
      </c>
      <c r="O277" s="284">
        <v>7</v>
      </c>
      <c r="P277" s="284">
        <v>210</v>
      </c>
      <c r="Q277" s="286">
        <v>2</v>
      </c>
      <c r="R277" s="274">
        <v>499</v>
      </c>
      <c r="S277" s="274">
        <v>11</v>
      </c>
      <c r="T277" s="287">
        <f t="shared" si="4"/>
        <v>2016</v>
      </c>
      <c r="U277" s="274">
        <f>VLOOKUP(A277,'[1]SB35 Determination Data'!$B$4:$F$542,5,FALSE)</f>
        <v>2014</v>
      </c>
    </row>
    <row r="278" spans="1:21" s="274" customFormat="1" ht="12.75" x14ac:dyDescent="0.2">
      <c r="A278" s="282" t="s">
        <v>258</v>
      </c>
      <c r="B278" s="282" t="s">
        <v>119</v>
      </c>
      <c r="C278" s="282" t="s">
        <v>660</v>
      </c>
      <c r="D278" s="283">
        <v>2017</v>
      </c>
      <c r="E278" s="282" t="s">
        <v>650</v>
      </c>
      <c r="F278" s="284">
        <v>107</v>
      </c>
      <c r="G278" s="285">
        <v>2</v>
      </c>
      <c r="H278" s="288">
        <v>0</v>
      </c>
      <c r="I278" s="285">
        <v>2</v>
      </c>
      <c r="J278" s="285">
        <v>91</v>
      </c>
      <c r="K278" s="284">
        <v>1</v>
      </c>
      <c r="L278" s="284">
        <v>0</v>
      </c>
      <c r="M278" s="284">
        <v>1</v>
      </c>
      <c r="N278" s="289">
        <v>91</v>
      </c>
      <c r="O278" s="284">
        <v>0</v>
      </c>
      <c r="P278" s="284">
        <v>210</v>
      </c>
      <c r="Q278" s="286">
        <v>6</v>
      </c>
      <c r="R278" s="274">
        <v>499</v>
      </c>
      <c r="S278" s="274">
        <v>9</v>
      </c>
      <c r="T278" s="287">
        <f t="shared" si="4"/>
        <v>2017</v>
      </c>
      <c r="U278" s="274">
        <f>VLOOKUP(A278,'[1]SB35 Determination Data'!$B$4:$F$542,5,FALSE)</f>
        <v>2014</v>
      </c>
    </row>
    <row r="279" spans="1:21" s="274" customFormat="1" ht="12.75" x14ac:dyDescent="0.2">
      <c r="A279" s="282" t="s">
        <v>270</v>
      </c>
      <c r="B279" s="282" t="s">
        <v>120</v>
      </c>
      <c r="C279" s="282" t="s">
        <v>654</v>
      </c>
      <c r="D279" s="283">
        <v>2014</v>
      </c>
      <c r="E279" s="282" t="s">
        <v>650</v>
      </c>
      <c r="F279" s="284">
        <v>798</v>
      </c>
      <c r="G279" s="285">
        <v>0</v>
      </c>
      <c r="H279" s="288">
        <v>0</v>
      </c>
      <c r="I279" s="285">
        <v>0</v>
      </c>
      <c r="J279" s="285">
        <v>444</v>
      </c>
      <c r="K279" s="284">
        <v>0</v>
      </c>
      <c r="L279" s="284">
        <v>0</v>
      </c>
      <c r="M279" s="284">
        <v>0</v>
      </c>
      <c r="N279" s="284">
        <v>559</v>
      </c>
      <c r="O279" s="284">
        <v>0</v>
      </c>
      <c r="P279" s="284">
        <v>1677</v>
      </c>
      <c r="Q279" s="286">
        <v>15</v>
      </c>
      <c r="R279" s="274">
        <v>3478</v>
      </c>
      <c r="S279" s="274">
        <v>15</v>
      </c>
      <c r="T279" s="287">
        <f t="shared" si="4"/>
        <v>2015</v>
      </c>
      <c r="U279" s="274">
        <f>VLOOKUP(A279,'[1]SB35 Determination Data'!$B$4:$F$542,5,FALSE)</f>
        <v>2015</v>
      </c>
    </row>
    <row r="280" spans="1:21" s="274" customFormat="1" ht="12.75" x14ac:dyDescent="0.2">
      <c r="A280" s="282" t="s">
        <v>270</v>
      </c>
      <c r="B280" s="282" t="s">
        <v>120</v>
      </c>
      <c r="C280" s="282" t="s">
        <v>654</v>
      </c>
      <c r="D280" s="283">
        <v>2015</v>
      </c>
      <c r="E280" s="282" t="s">
        <v>650</v>
      </c>
      <c r="F280" s="284">
        <v>798</v>
      </c>
      <c r="G280" s="285">
        <v>0</v>
      </c>
      <c r="H280" s="288">
        <v>0</v>
      </c>
      <c r="I280" s="285">
        <v>0</v>
      </c>
      <c r="J280" s="285">
        <v>444</v>
      </c>
      <c r="K280" s="284">
        <v>0</v>
      </c>
      <c r="L280" s="284">
        <v>0</v>
      </c>
      <c r="M280" s="284">
        <v>0</v>
      </c>
      <c r="N280" s="284">
        <v>559</v>
      </c>
      <c r="O280" s="284">
        <v>4</v>
      </c>
      <c r="P280" s="284">
        <v>1677</v>
      </c>
      <c r="Q280" s="286">
        <v>33</v>
      </c>
      <c r="R280" s="274">
        <v>3478</v>
      </c>
      <c r="S280" s="274">
        <v>37</v>
      </c>
      <c r="T280" s="287">
        <f t="shared" si="4"/>
        <v>2015</v>
      </c>
      <c r="U280" s="274">
        <f>VLOOKUP(A280,'[1]SB35 Determination Data'!$B$4:$F$542,5,FALSE)</f>
        <v>2015</v>
      </c>
    </row>
    <row r="281" spans="1:21" s="274" customFormat="1" ht="12.75" x14ac:dyDescent="0.2">
      <c r="A281" s="282" t="s">
        <v>270</v>
      </c>
      <c r="B281" s="282" t="s">
        <v>120</v>
      </c>
      <c r="C281" s="282" t="s">
        <v>654</v>
      </c>
      <c r="D281" s="283">
        <v>2016</v>
      </c>
      <c r="E281" s="282" t="s">
        <v>650</v>
      </c>
      <c r="F281" s="284">
        <v>798</v>
      </c>
      <c r="G281" s="285">
        <v>19</v>
      </c>
      <c r="H281" s="288">
        <v>19</v>
      </c>
      <c r="I281" s="285">
        <v>0</v>
      </c>
      <c r="J281" s="285">
        <v>444</v>
      </c>
      <c r="K281" s="284">
        <v>3</v>
      </c>
      <c r="L281" s="284">
        <v>3</v>
      </c>
      <c r="M281" s="284">
        <v>0</v>
      </c>
      <c r="N281" s="284">
        <v>559</v>
      </c>
      <c r="O281" s="284">
        <v>0</v>
      </c>
      <c r="P281" s="284">
        <v>1677</v>
      </c>
      <c r="Q281" s="286">
        <v>55</v>
      </c>
      <c r="R281" s="274">
        <v>3478</v>
      </c>
      <c r="S281" s="274">
        <v>77</v>
      </c>
      <c r="T281" s="287">
        <f t="shared" si="4"/>
        <v>2016</v>
      </c>
      <c r="U281" s="274">
        <f>VLOOKUP(A281,'[1]SB35 Determination Data'!$B$4:$F$542,5,FALSE)</f>
        <v>2015</v>
      </c>
    </row>
    <row r="282" spans="1:21" s="274" customFormat="1" ht="12.75" x14ac:dyDescent="0.2">
      <c r="A282" s="282" t="s">
        <v>270</v>
      </c>
      <c r="B282" s="282" t="s">
        <v>120</v>
      </c>
      <c r="C282" s="282" t="s">
        <v>654</v>
      </c>
      <c r="D282" s="283">
        <v>2017</v>
      </c>
      <c r="E282" s="282" t="s">
        <v>650</v>
      </c>
      <c r="F282" s="284">
        <v>798</v>
      </c>
      <c r="G282" s="285">
        <v>0</v>
      </c>
      <c r="H282" s="288">
        <v>0</v>
      </c>
      <c r="I282" s="285">
        <v>0</v>
      </c>
      <c r="J282" s="285">
        <v>444</v>
      </c>
      <c r="K282" s="284">
        <v>0</v>
      </c>
      <c r="L282" s="284">
        <v>0</v>
      </c>
      <c r="M282" s="284">
        <v>0</v>
      </c>
      <c r="N282" s="284">
        <v>559</v>
      </c>
      <c r="O282" s="284">
        <v>0</v>
      </c>
      <c r="P282" s="284">
        <v>1677</v>
      </c>
      <c r="Q282" s="286">
        <v>53</v>
      </c>
      <c r="R282" s="274">
        <v>3478</v>
      </c>
      <c r="S282" s="274">
        <v>53</v>
      </c>
      <c r="T282" s="287">
        <f t="shared" si="4"/>
        <v>2017</v>
      </c>
      <c r="U282" s="274">
        <f>VLOOKUP(A282,'[1]SB35 Determination Data'!$B$4:$F$542,5,FALSE)</f>
        <v>2015</v>
      </c>
    </row>
    <row r="283" spans="1:21" s="274" customFormat="1" ht="12.75" x14ac:dyDescent="0.2">
      <c r="A283" s="282" t="s">
        <v>273</v>
      </c>
      <c r="B283" s="282" t="s">
        <v>120</v>
      </c>
      <c r="C283" s="282" t="s">
        <v>654</v>
      </c>
      <c r="D283" s="283">
        <v>2015</v>
      </c>
      <c r="E283" s="282" t="s">
        <v>650</v>
      </c>
      <c r="F283" s="284">
        <v>374</v>
      </c>
      <c r="G283" s="285">
        <v>0</v>
      </c>
      <c r="H283" s="288">
        <v>0</v>
      </c>
      <c r="I283" s="285">
        <v>0</v>
      </c>
      <c r="J283" s="285">
        <v>218</v>
      </c>
      <c r="K283" s="284">
        <v>8</v>
      </c>
      <c r="L283" s="284">
        <v>0</v>
      </c>
      <c r="M283" s="284">
        <v>8</v>
      </c>
      <c r="N283" s="289">
        <v>243</v>
      </c>
      <c r="O283" s="284">
        <v>65</v>
      </c>
      <c r="P283" s="284">
        <v>532</v>
      </c>
      <c r="Q283" s="286">
        <v>276</v>
      </c>
      <c r="R283" s="274">
        <v>1367</v>
      </c>
      <c r="S283" s="274">
        <v>349</v>
      </c>
      <c r="T283" s="287">
        <f t="shared" si="4"/>
        <v>2015</v>
      </c>
      <c r="U283" s="274">
        <f>VLOOKUP(A283,'[1]SB35 Determination Data'!$B$4:$F$542,5,FALSE)</f>
        <v>2015</v>
      </c>
    </row>
    <row r="284" spans="1:21" s="274" customFormat="1" ht="12.75" x14ac:dyDescent="0.2">
      <c r="A284" s="282" t="s">
        <v>273</v>
      </c>
      <c r="B284" s="282" t="s">
        <v>120</v>
      </c>
      <c r="C284" s="282" t="s">
        <v>654</v>
      </c>
      <c r="D284" s="283">
        <v>2016</v>
      </c>
      <c r="E284" s="282" t="s">
        <v>650</v>
      </c>
      <c r="F284" s="284">
        <v>374</v>
      </c>
      <c r="G284" s="285">
        <v>0</v>
      </c>
      <c r="H284" s="288">
        <v>0</v>
      </c>
      <c r="I284" s="285">
        <v>0</v>
      </c>
      <c r="J284" s="285">
        <v>218</v>
      </c>
      <c r="K284" s="284">
        <v>0</v>
      </c>
      <c r="L284" s="284">
        <v>0</v>
      </c>
      <c r="M284" s="284">
        <v>0</v>
      </c>
      <c r="N284" s="289">
        <v>243</v>
      </c>
      <c r="O284" s="284">
        <v>28</v>
      </c>
      <c r="P284" s="284">
        <v>532</v>
      </c>
      <c r="Q284" s="286">
        <v>201</v>
      </c>
      <c r="R284" s="274">
        <v>1367</v>
      </c>
      <c r="S284" s="274">
        <v>229</v>
      </c>
      <c r="T284" s="287">
        <f t="shared" si="4"/>
        <v>2016</v>
      </c>
      <c r="U284" s="274">
        <f>VLOOKUP(A284,'[1]SB35 Determination Data'!$B$4:$F$542,5,FALSE)</f>
        <v>2015</v>
      </c>
    </row>
    <row r="285" spans="1:21" s="274" customFormat="1" ht="12.75" x14ac:dyDescent="0.2">
      <c r="A285" s="282" t="s">
        <v>273</v>
      </c>
      <c r="B285" s="282" t="s">
        <v>120</v>
      </c>
      <c r="C285" s="282" t="s">
        <v>654</v>
      </c>
      <c r="D285" s="283">
        <v>2017</v>
      </c>
      <c r="E285" s="282" t="s">
        <v>650</v>
      </c>
      <c r="F285" s="284">
        <v>374</v>
      </c>
      <c r="G285" s="285">
        <v>0</v>
      </c>
      <c r="H285" s="288">
        <v>0</v>
      </c>
      <c r="I285" s="285">
        <v>0</v>
      </c>
      <c r="J285" s="285">
        <v>218</v>
      </c>
      <c r="K285" s="284">
        <v>3</v>
      </c>
      <c r="L285" s="284">
        <v>3</v>
      </c>
      <c r="M285" s="284">
        <v>0</v>
      </c>
      <c r="N285" s="284">
        <v>243</v>
      </c>
      <c r="O285" s="284">
        <v>31</v>
      </c>
      <c r="P285" s="284">
        <v>532</v>
      </c>
      <c r="Q285" s="286">
        <v>244</v>
      </c>
      <c r="R285" s="274">
        <v>1367</v>
      </c>
      <c r="S285" s="274">
        <v>278</v>
      </c>
      <c r="T285" s="287">
        <f t="shared" si="4"/>
        <v>2017</v>
      </c>
      <c r="U285" s="274">
        <f>VLOOKUP(A285,'[1]SB35 Determination Data'!$B$4:$F$542,5,FALSE)</f>
        <v>2015</v>
      </c>
    </row>
    <row r="286" spans="1:21" s="274" customFormat="1" ht="12.75" x14ac:dyDescent="0.2">
      <c r="A286" s="282" t="s">
        <v>318</v>
      </c>
      <c r="B286" s="282" t="s">
        <v>481</v>
      </c>
      <c r="C286" s="282" t="s">
        <v>649</v>
      </c>
      <c r="D286" s="283">
        <v>2014</v>
      </c>
      <c r="E286" s="282" t="s">
        <v>650</v>
      </c>
      <c r="F286" s="284">
        <v>192</v>
      </c>
      <c r="G286" s="285">
        <v>53</v>
      </c>
      <c r="H286" s="288">
        <v>53</v>
      </c>
      <c r="I286" s="285">
        <v>0</v>
      </c>
      <c r="J286" s="285">
        <v>128</v>
      </c>
      <c r="K286" s="284">
        <v>18</v>
      </c>
      <c r="L286" s="284">
        <v>18</v>
      </c>
      <c r="M286" s="284">
        <v>0</v>
      </c>
      <c r="N286" s="284">
        <v>142</v>
      </c>
      <c r="O286" s="284">
        <v>3</v>
      </c>
      <c r="P286" s="284">
        <v>308</v>
      </c>
      <c r="Q286" s="286">
        <v>622</v>
      </c>
      <c r="R286" s="274">
        <v>770</v>
      </c>
      <c r="S286" s="274">
        <v>696</v>
      </c>
      <c r="T286" s="287">
        <f t="shared" si="4"/>
        <v>2014</v>
      </c>
      <c r="U286" s="274">
        <f>VLOOKUP(A286,'[1]SB35 Determination Data'!$B$4:$F$542,5,FALSE)</f>
        <v>2014</v>
      </c>
    </row>
    <row r="287" spans="1:21" s="274" customFormat="1" ht="12.75" x14ac:dyDescent="0.2">
      <c r="A287" s="282" t="s">
        <v>318</v>
      </c>
      <c r="B287" s="282" t="s">
        <v>481</v>
      </c>
      <c r="C287" s="282" t="s">
        <v>649</v>
      </c>
      <c r="D287" s="283">
        <v>2015</v>
      </c>
      <c r="E287" s="282" t="s">
        <v>650</v>
      </c>
      <c r="F287" s="284">
        <v>192</v>
      </c>
      <c r="G287" s="285">
        <v>0</v>
      </c>
      <c r="H287" s="288">
        <v>0</v>
      </c>
      <c r="I287" s="285">
        <v>0</v>
      </c>
      <c r="J287" s="285">
        <v>128</v>
      </c>
      <c r="K287" s="284">
        <v>0</v>
      </c>
      <c r="L287" s="284">
        <v>0</v>
      </c>
      <c r="M287" s="284">
        <v>0</v>
      </c>
      <c r="N287" s="284">
        <v>142</v>
      </c>
      <c r="O287" s="284">
        <v>2</v>
      </c>
      <c r="P287" s="284">
        <v>308</v>
      </c>
      <c r="Q287" s="286">
        <v>559</v>
      </c>
      <c r="R287" s="274">
        <v>770</v>
      </c>
      <c r="S287" s="274">
        <v>561</v>
      </c>
      <c r="T287" s="287">
        <f t="shared" si="4"/>
        <v>2015</v>
      </c>
      <c r="U287" s="274">
        <f>VLOOKUP(A287,'[1]SB35 Determination Data'!$B$4:$F$542,5,FALSE)</f>
        <v>2014</v>
      </c>
    </row>
    <row r="288" spans="1:21" s="274" customFormat="1" ht="12.75" x14ac:dyDescent="0.2">
      <c r="A288" s="282" t="s">
        <v>318</v>
      </c>
      <c r="B288" s="282" t="s">
        <v>481</v>
      </c>
      <c r="C288" s="282" t="s">
        <v>649</v>
      </c>
      <c r="D288" s="283">
        <v>2016</v>
      </c>
      <c r="E288" s="282" t="s">
        <v>650</v>
      </c>
      <c r="F288" s="284">
        <v>192</v>
      </c>
      <c r="G288" s="285">
        <v>0</v>
      </c>
      <c r="H288" s="288">
        <v>0</v>
      </c>
      <c r="I288" s="285">
        <v>0</v>
      </c>
      <c r="J288" s="285">
        <v>128</v>
      </c>
      <c r="K288" s="284">
        <v>0</v>
      </c>
      <c r="L288" s="284">
        <v>0</v>
      </c>
      <c r="M288" s="284">
        <v>0</v>
      </c>
      <c r="N288" s="284">
        <v>142</v>
      </c>
      <c r="O288" s="284">
        <v>57</v>
      </c>
      <c r="P288" s="284">
        <v>308</v>
      </c>
      <c r="Q288" s="286">
        <v>8</v>
      </c>
      <c r="R288" s="274">
        <v>770</v>
      </c>
      <c r="S288" s="274">
        <v>65</v>
      </c>
      <c r="T288" s="287">
        <f t="shared" si="4"/>
        <v>2016</v>
      </c>
      <c r="U288" s="274">
        <f>VLOOKUP(A288,'[1]SB35 Determination Data'!$B$4:$F$542,5,FALSE)</f>
        <v>2014</v>
      </c>
    </row>
    <row r="289" spans="1:21" s="274" customFormat="1" ht="12.75" x14ac:dyDescent="0.2">
      <c r="A289" s="282" t="s">
        <v>318</v>
      </c>
      <c r="B289" s="282" t="s">
        <v>481</v>
      </c>
      <c r="C289" s="282" t="s">
        <v>649</v>
      </c>
      <c r="D289" s="283">
        <v>2017</v>
      </c>
      <c r="E289" s="282" t="s">
        <v>650</v>
      </c>
      <c r="F289" s="284">
        <v>192</v>
      </c>
      <c r="G289" s="285">
        <v>0</v>
      </c>
      <c r="H289" s="288">
        <v>0</v>
      </c>
      <c r="I289" s="285">
        <v>0</v>
      </c>
      <c r="J289" s="285">
        <v>128</v>
      </c>
      <c r="K289" s="284">
        <v>0</v>
      </c>
      <c r="L289" s="284">
        <v>0</v>
      </c>
      <c r="M289" s="284">
        <v>0</v>
      </c>
      <c r="N289" s="284">
        <v>142</v>
      </c>
      <c r="O289" s="284">
        <v>4</v>
      </c>
      <c r="P289" s="284">
        <v>308</v>
      </c>
      <c r="Q289" s="286">
        <v>207</v>
      </c>
      <c r="R289" s="274">
        <v>770</v>
      </c>
      <c r="S289" s="274">
        <v>211</v>
      </c>
      <c r="T289" s="287">
        <f t="shared" si="4"/>
        <v>2017</v>
      </c>
      <c r="U289" s="274">
        <f>VLOOKUP(A289,'[1]SB35 Determination Data'!$B$4:$F$542,5,FALSE)</f>
        <v>2014</v>
      </c>
    </row>
    <row r="290" spans="1:21" s="274" customFormat="1" ht="12.75" x14ac:dyDescent="0.2">
      <c r="A290" s="282" t="s">
        <v>320</v>
      </c>
      <c r="B290" s="282" t="s">
        <v>557</v>
      </c>
      <c r="C290" s="282" t="s">
        <v>758</v>
      </c>
      <c r="D290" s="283">
        <v>2013</v>
      </c>
      <c r="E290" s="282" t="s">
        <v>650</v>
      </c>
      <c r="F290" s="284">
        <v>13</v>
      </c>
      <c r="G290" s="285">
        <v>12</v>
      </c>
      <c r="H290" s="288">
        <v>12</v>
      </c>
      <c r="I290" s="285">
        <v>0</v>
      </c>
      <c r="J290" s="285">
        <v>9</v>
      </c>
      <c r="K290" s="284">
        <v>0</v>
      </c>
      <c r="L290" s="284">
        <v>0</v>
      </c>
      <c r="M290" s="284">
        <v>0</v>
      </c>
      <c r="N290" s="289">
        <v>9</v>
      </c>
      <c r="O290" s="284">
        <v>0</v>
      </c>
      <c r="P290" s="284">
        <v>19</v>
      </c>
      <c r="Q290" s="286">
        <v>113</v>
      </c>
      <c r="R290" s="274">
        <v>50</v>
      </c>
      <c r="S290" s="274">
        <v>125</v>
      </c>
      <c r="T290" s="287">
        <f t="shared" si="4"/>
        <v>2013</v>
      </c>
      <c r="U290" s="274">
        <f>VLOOKUP(A290,'[1]SB35 Determination Data'!$B$4:$F$542,5,FALSE)</f>
        <v>2013</v>
      </c>
    </row>
    <row r="291" spans="1:21" s="274" customFormat="1" ht="12.75" x14ac:dyDescent="0.2">
      <c r="A291" s="282" t="s">
        <v>320</v>
      </c>
      <c r="B291" s="282" t="s">
        <v>557</v>
      </c>
      <c r="C291" s="282" t="s">
        <v>758</v>
      </c>
      <c r="D291" s="283">
        <v>2014</v>
      </c>
      <c r="E291" s="282" t="s">
        <v>650</v>
      </c>
      <c r="F291" s="284">
        <v>13</v>
      </c>
      <c r="G291" s="285">
        <v>0</v>
      </c>
      <c r="H291" s="288">
        <v>0</v>
      </c>
      <c r="I291" s="285">
        <v>0</v>
      </c>
      <c r="J291" s="285">
        <v>9</v>
      </c>
      <c r="K291" s="284">
        <v>0</v>
      </c>
      <c r="L291" s="284">
        <v>0</v>
      </c>
      <c r="M291" s="284">
        <v>0</v>
      </c>
      <c r="N291" s="284">
        <v>9</v>
      </c>
      <c r="O291" s="284">
        <v>0</v>
      </c>
      <c r="P291" s="284">
        <v>19</v>
      </c>
      <c r="Q291" s="286">
        <v>37</v>
      </c>
      <c r="R291" s="274">
        <v>50</v>
      </c>
      <c r="S291" s="274">
        <v>37</v>
      </c>
      <c r="T291" s="287">
        <f t="shared" si="4"/>
        <v>2014</v>
      </c>
      <c r="U291" s="274">
        <f>VLOOKUP(A291,'[1]SB35 Determination Data'!$B$4:$F$542,5,FALSE)</f>
        <v>2013</v>
      </c>
    </row>
    <row r="292" spans="1:21" s="274" customFormat="1" ht="12.75" x14ac:dyDescent="0.2">
      <c r="A292" s="282" t="s">
        <v>320</v>
      </c>
      <c r="B292" s="282" t="s">
        <v>557</v>
      </c>
      <c r="C292" s="282" t="s">
        <v>758</v>
      </c>
      <c r="D292" s="283">
        <v>2015</v>
      </c>
      <c r="E292" s="282" t="s">
        <v>650</v>
      </c>
      <c r="F292" s="284">
        <v>13</v>
      </c>
      <c r="G292" s="285">
        <v>0</v>
      </c>
      <c r="H292" s="288">
        <v>0</v>
      </c>
      <c r="I292" s="285">
        <v>0</v>
      </c>
      <c r="J292" s="285">
        <v>9</v>
      </c>
      <c r="K292" s="284">
        <v>0</v>
      </c>
      <c r="L292" s="284">
        <v>0</v>
      </c>
      <c r="M292" s="284">
        <v>0</v>
      </c>
      <c r="N292" s="284">
        <v>9</v>
      </c>
      <c r="O292" s="284">
        <v>0</v>
      </c>
      <c r="P292" s="284">
        <v>19</v>
      </c>
      <c r="Q292" s="286">
        <v>53</v>
      </c>
      <c r="R292" s="274">
        <v>50</v>
      </c>
      <c r="S292" s="274">
        <v>53</v>
      </c>
      <c r="T292" s="287">
        <f t="shared" si="4"/>
        <v>2015</v>
      </c>
      <c r="U292" s="274">
        <f>VLOOKUP(A292,'[1]SB35 Determination Data'!$B$4:$F$542,5,FALSE)</f>
        <v>2013</v>
      </c>
    </row>
    <row r="293" spans="1:21" s="274" customFormat="1" ht="12.75" x14ac:dyDescent="0.2">
      <c r="A293" s="282" t="s">
        <v>320</v>
      </c>
      <c r="B293" s="282" t="s">
        <v>557</v>
      </c>
      <c r="C293" s="282" t="s">
        <v>758</v>
      </c>
      <c r="D293" s="283">
        <v>2016</v>
      </c>
      <c r="E293" s="282" t="s">
        <v>650</v>
      </c>
      <c r="F293" s="284">
        <v>13</v>
      </c>
      <c r="G293" s="285">
        <v>0</v>
      </c>
      <c r="H293" s="288">
        <v>0</v>
      </c>
      <c r="I293" s="285">
        <v>0</v>
      </c>
      <c r="J293" s="285">
        <v>9</v>
      </c>
      <c r="K293" s="284">
        <v>0</v>
      </c>
      <c r="L293" s="284">
        <v>0</v>
      </c>
      <c r="M293" s="284">
        <v>0</v>
      </c>
      <c r="N293" s="284">
        <v>9</v>
      </c>
      <c r="O293" s="284">
        <v>0</v>
      </c>
      <c r="P293" s="284">
        <v>19</v>
      </c>
      <c r="Q293" s="286">
        <v>63</v>
      </c>
      <c r="R293" s="274">
        <v>50</v>
      </c>
      <c r="S293" s="274">
        <v>63</v>
      </c>
      <c r="T293" s="287">
        <f t="shared" si="4"/>
        <v>2016</v>
      </c>
      <c r="U293" s="274">
        <f>VLOOKUP(A293,'[1]SB35 Determination Data'!$B$4:$F$542,5,FALSE)</f>
        <v>2013</v>
      </c>
    </row>
    <row r="294" spans="1:21" s="274" customFormat="1" ht="12.75" x14ac:dyDescent="0.2">
      <c r="A294" s="282" t="s">
        <v>320</v>
      </c>
      <c r="B294" s="282" t="s">
        <v>557</v>
      </c>
      <c r="C294" s="282" t="s">
        <v>758</v>
      </c>
      <c r="D294" s="283">
        <v>2017</v>
      </c>
      <c r="E294" s="282" t="s">
        <v>650</v>
      </c>
      <c r="F294" s="284">
        <v>13</v>
      </c>
      <c r="G294" s="285">
        <v>0</v>
      </c>
      <c r="H294" s="288">
        <v>0</v>
      </c>
      <c r="I294" s="285">
        <v>0</v>
      </c>
      <c r="J294" s="285">
        <v>9</v>
      </c>
      <c r="K294" s="284">
        <v>0</v>
      </c>
      <c r="L294" s="284">
        <v>0</v>
      </c>
      <c r="M294" s="284">
        <v>0</v>
      </c>
      <c r="N294" s="284">
        <v>9</v>
      </c>
      <c r="O294" s="284">
        <v>0</v>
      </c>
      <c r="P294" s="284">
        <v>19</v>
      </c>
      <c r="Q294" s="286">
        <v>36</v>
      </c>
      <c r="R294" s="274">
        <v>50</v>
      </c>
      <c r="S294" s="274">
        <v>36</v>
      </c>
      <c r="T294" s="287">
        <f t="shared" si="4"/>
        <v>2017</v>
      </c>
      <c r="U294" s="274">
        <f>VLOOKUP(A294,'[1]SB35 Determination Data'!$B$4:$F$542,5,FALSE)</f>
        <v>2013</v>
      </c>
    </row>
    <row r="295" spans="1:21" s="274" customFormat="1" ht="12.75" x14ac:dyDescent="0.2">
      <c r="A295" s="282" t="s">
        <v>321</v>
      </c>
      <c r="B295" s="282" t="s">
        <v>301</v>
      </c>
      <c r="C295" s="282" t="s">
        <v>654</v>
      </c>
      <c r="D295" s="283">
        <v>2015</v>
      </c>
      <c r="E295" s="282" t="s">
        <v>650</v>
      </c>
      <c r="F295" s="284">
        <v>22</v>
      </c>
      <c r="G295" s="285">
        <v>5</v>
      </c>
      <c r="H295" s="288">
        <v>4</v>
      </c>
      <c r="I295" s="285">
        <v>1</v>
      </c>
      <c r="J295" s="285">
        <v>13</v>
      </c>
      <c r="K295" s="284">
        <v>12</v>
      </c>
      <c r="L295" s="284">
        <v>12</v>
      </c>
      <c r="M295" s="284">
        <v>0</v>
      </c>
      <c r="N295" s="284">
        <v>13</v>
      </c>
      <c r="O295" s="284">
        <v>2</v>
      </c>
      <c r="P295" s="284">
        <v>24</v>
      </c>
      <c r="Q295" s="286">
        <v>164</v>
      </c>
      <c r="R295" s="274">
        <v>72</v>
      </c>
      <c r="S295" s="274">
        <v>183</v>
      </c>
      <c r="T295" s="287">
        <f t="shared" si="4"/>
        <v>2015</v>
      </c>
      <c r="U295" s="274">
        <f>VLOOKUP(A295,'[1]SB35 Determination Data'!$B$4:$F$542,5,FALSE)</f>
        <v>2015</v>
      </c>
    </row>
    <row r="296" spans="1:21" s="274" customFormat="1" ht="12.75" x14ac:dyDescent="0.2">
      <c r="A296" s="282" t="s">
        <v>321</v>
      </c>
      <c r="B296" s="282" t="s">
        <v>301</v>
      </c>
      <c r="C296" s="282" t="s">
        <v>654</v>
      </c>
      <c r="D296" s="283">
        <v>2016</v>
      </c>
      <c r="E296" s="282" t="s">
        <v>650</v>
      </c>
      <c r="F296" s="284">
        <v>22</v>
      </c>
      <c r="G296" s="285">
        <v>2</v>
      </c>
      <c r="H296" s="288">
        <v>1</v>
      </c>
      <c r="I296" s="285">
        <v>1</v>
      </c>
      <c r="J296" s="285">
        <v>13</v>
      </c>
      <c r="K296" s="284">
        <v>1</v>
      </c>
      <c r="L296" s="284">
        <v>1</v>
      </c>
      <c r="M296" s="284">
        <v>0</v>
      </c>
      <c r="N296" s="289">
        <v>13</v>
      </c>
      <c r="O296" s="284">
        <v>1</v>
      </c>
      <c r="P296" s="284">
        <v>24</v>
      </c>
      <c r="Q296" s="286">
        <v>13</v>
      </c>
      <c r="R296" s="274">
        <v>72</v>
      </c>
      <c r="S296" s="274">
        <v>17</v>
      </c>
      <c r="T296" s="287">
        <f t="shared" si="4"/>
        <v>2016</v>
      </c>
      <c r="U296" s="274">
        <f>VLOOKUP(A296,'[1]SB35 Determination Data'!$B$4:$F$542,5,FALSE)</f>
        <v>2015</v>
      </c>
    </row>
    <row r="297" spans="1:21" s="274" customFormat="1" ht="12.75" x14ac:dyDescent="0.2">
      <c r="A297" s="282" t="s">
        <v>321</v>
      </c>
      <c r="B297" s="282" t="s">
        <v>301</v>
      </c>
      <c r="C297" s="282" t="s">
        <v>654</v>
      </c>
      <c r="D297" s="283">
        <v>2017</v>
      </c>
      <c r="E297" s="282" t="s">
        <v>650</v>
      </c>
      <c r="F297" s="284">
        <v>22</v>
      </c>
      <c r="G297" s="285">
        <v>1</v>
      </c>
      <c r="H297" s="288">
        <v>0</v>
      </c>
      <c r="I297" s="285">
        <v>1</v>
      </c>
      <c r="J297" s="285">
        <v>13</v>
      </c>
      <c r="K297" s="284">
        <v>0</v>
      </c>
      <c r="L297" s="284">
        <v>0</v>
      </c>
      <c r="M297" s="284">
        <v>0</v>
      </c>
      <c r="N297" s="284">
        <v>13</v>
      </c>
      <c r="O297" s="284">
        <v>2</v>
      </c>
      <c r="P297" s="284">
        <v>24</v>
      </c>
      <c r="Q297" s="286">
        <v>2</v>
      </c>
      <c r="R297" s="274">
        <v>72</v>
      </c>
      <c r="S297" s="274">
        <v>5</v>
      </c>
      <c r="T297" s="287">
        <f t="shared" si="4"/>
        <v>2017</v>
      </c>
      <c r="U297" s="274">
        <f>VLOOKUP(A297,'[1]SB35 Determination Data'!$B$4:$F$542,5,FALSE)</f>
        <v>2015</v>
      </c>
    </row>
    <row r="298" spans="1:21" s="274" customFormat="1" ht="12.75" x14ac:dyDescent="0.2">
      <c r="A298" s="282" t="s">
        <v>322</v>
      </c>
      <c r="B298" s="282" t="s">
        <v>436</v>
      </c>
      <c r="C298" s="282" t="s">
        <v>649</v>
      </c>
      <c r="D298" s="283">
        <v>2014</v>
      </c>
      <c r="E298" s="282" t="s">
        <v>650</v>
      </c>
      <c r="F298" s="284">
        <v>1</v>
      </c>
      <c r="G298" s="285">
        <v>0</v>
      </c>
      <c r="H298" s="288">
        <v>0</v>
      </c>
      <c r="I298" s="285">
        <v>0</v>
      </c>
      <c r="J298" s="285">
        <v>1</v>
      </c>
      <c r="K298" s="284">
        <v>0</v>
      </c>
      <c r="L298" s="284">
        <v>0</v>
      </c>
      <c r="M298" s="284">
        <v>0</v>
      </c>
      <c r="N298" s="289">
        <v>0</v>
      </c>
      <c r="O298" s="284">
        <v>50</v>
      </c>
      <c r="P298" s="284">
        <v>0</v>
      </c>
      <c r="Q298" s="286">
        <v>50</v>
      </c>
      <c r="R298" s="274">
        <v>2</v>
      </c>
      <c r="S298" s="274">
        <v>100</v>
      </c>
      <c r="T298" s="287">
        <f t="shared" si="4"/>
        <v>2014</v>
      </c>
      <c r="U298" s="274">
        <f>VLOOKUP(A298,'[1]SB35 Determination Data'!$B$4:$F$542,5,FALSE)</f>
        <v>2014</v>
      </c>
    </row>
    <row r="299" spans="1:21" s="274" customFormat="1" ht="12.75" x14ac:dyDescent="0.2">
      <c r="A299" s="282" t="s">
        <v>322</v>
      </c>
      <c r="B299" s="282" t="s">
        <v>436</v>
      </c>
      <c r="C299" s="282" t="s">
        <v>649</v>
      </c>
      <c r="D299" s="283">
        <v>2015</v>
      </c>
      <c r="E299" s="282" t="s">
        <v>650</v>
      </c>
      <c r="F299" s="284">
        <v>1</v>
      </c>
      <c r="G299" s="285">
        <v>0</v>
      </c>
      <c r="H299" s="288">
        <v>0</v>
      </c>
      <c r="I299" s="285">
        <v>0</v>
      </c>
      <c r="J299" s="285">
        <v>1</v>
      </c>
      <c r="K299" s="284">
        <v>0</v>
      </c>
      <c r="L299" s="284">
        <v>0</v>
      </c>
      <c r="M299" s="284">
        <v>0</v>
      </c>
      <c r="N299" s="284">
        <v>0</v>
      </c>
      <c r="O299" s="284">
        <v>0</v>
      </c>
      <c r="P299" s="284">
        <v>0</v>
      </c>
      <c r="Q299" s="286">
        <v>93</v>
      </c>
      <c r="R299" s="274">
        <v>2</v>
      </c>
      <c r="S299" s="274">
        <v>93</v>
      </c>
      <c r="T299" s="287">
        <f t="shared" si="4"/>
        <v>2015</v>
      </c>
      <c r="U299" s="274">
        <f>VLOOKUP(A299,'[1]SB35 Determination Data'!$B$4:$F$542,5,FALSE)</f>
        <v>2014</v>
      </c>
    </row>
    <row r="300" spans="1:21" s="274" customFormat="1" ht="12.75" x14ac:dyDescent="0.2">
      <c r="A300" s="282" t="s">
        <v>322</v>
      </c>
      <c r="B300" s="282" t="s">
        <v>436</v>
      </c>
      <c r="C300" s="282" t="s">
        <v>649</v>
      </c>
      <c r="D300" s="283">
        <v>2016</v>
      </c>
      <c r="E300" s="282" t="s">
        <v>650</v>
      </c>
      <c r="F300" s="284">
        <v>1</v>
      </c>
      <c r="G300" s="285">
        <v>0</v>
      </c>
      <c r="H300" s="288">
        <v>0</v>
      </c>
      <c r="I300" s="285">
        <v>0</v>
      </c>
      <c r="J300" s="285">
        <v>1</v>
      </c>
      <c r="K300" s="284">
        <v>0</v>
      </c>
      <c r="L300" s="284">
        <v>0</v>
      </c>
      <c r="M300" s="284">
        <v>0</v>
      </c>
      <c r="N300" s="284">
        <v>0</v>
      </c>
      <c r="O300" s="284">
        <v>0</v>
      </c>
      <c r="P300" s="284">
        <v>0</v>
      </c>
      <c r="Q300" s="286">
        <v>115</v>
      </c>
      <c r="R300" s="274">
        <v>2</v>
      </c>
      <c r="S300" s="274">
        <v>115</v>
      </c>
      <c r="T300" s="287">
        <f t="shared" si="4"/>
        <v>2016</v>
      </c>
      <c r="U300" s="274">
        <f>VLOOKUP(A300,'[1]SB35 Determination Data'!$B$4:$F$542,5,FALSE)</f>
        <v>2014</v>
      </c>
    </row>
    <row r="301" spans="1:21" s="274" customFormat="1" ht="12.75" x14ac:dyDescent="0.2">
      <c r="A301" s="282" t="s">
        <v>322</v>
      </c>
      <c r="B301" s="282" t="s">
        <v>436</v>
      </c>
      <c r="C301" s="282" t="s">
        <v>649</v>
      </c>
      <c r="D301" s="283">
        <v>2017</v>
      </c>
      <c r="E301" s="282" t="s">
        <v>650</v>
      </c>
      <c r="F301" s="284">
        <v>1</v>
      </c>
      <c r="G301" s="285">
        <v>0</v>
      </c>
      <c r="H301" s="288">
        <v>0</v>
      </c>
      <c r="I301" s="285">
        <v>0</v>
      </c>
      <c r="J301" s="285">
        <v>1</v>
      </c>
      <c r="K301" s="284">
        <v>0</v>
      </c>
      <c r="L301" s="284">
        <v>0</v>
      </c>
      <c r="M301" s="284">
        <v>0</v>
      </c>
      <c r="N301" s="284">
        <v>0</v>
      </c>
      <c r="O301" s="284">
        <v>0</v>
      </c>
      <c r="P301" s="284">
        <v>0</v>
      </c>
      <c r="Q301" s="286">
        <v>260</v>
      </c>
      <c r="R301" s="274">
        <v>2</v>
      </c>
      <c r="S301" s="274">
        <v>260</v>
      </c>
      <c r="T301" s="287">
        <f t="shared" si="4"/>
        <v>2017</v>
      </c>
      <c r="U301" s="274">
        <f>VLOOKUP(A301,'[1]SB35 Determination Data'!$B$4:$F$542,5,FALSE)</f>
        <v>2014</v>
      </c>
    </row>
    <row r="302" spans="1:21" s="274" customFormat="1" ht="12.75" x14ac:dyDescent="0.2">
      <c r="A302" s="282" t="s">
        <v>323</v>
      </c>
      <c r="B302" s="282" t="s">
        <v>669</v>
      </c>
      <c r="C302" s="282" t="s">
        <v>654</v>
      </c>
      <c r="D302" s="283">
        <v>2016</v>
      </c>
      <c r="E302" s="282" t="s">
        <v>650</v>
      </c>
      <c r="F302" s="284">
        <v>35</v>
      </c>
      <c r="G302" s="285">
        <v>1</v>
      </c>
      <c r="H302" s="288">
        <v>1</v>
      </c>
      <c r="I302" s="285">
        <v>0</v>
      </c>
      <c r="J302" s="285">
        <v>18</v>
      </c>
      <c r="K302" s="284">
        <v>3</v>
      </c>
      <c r="L302" s="284">
        <v>3</v>
      </c>
      <c r="M302" s="284">
        <v>0</v>
      </c>
      <c r="N302" s="289">
        <v>18</v>
      </c>
      <c r="O302" s="284">
        <v>0</v>
      </c>
      <c r="P302" s="284">
        <v>66</v>
      </c>
      <c r="Q302" s="286">
        <v>16</v>
      </c>
      <c r="R302" s="274">
        <v>137</v>
      </c>
      <c r="S302" s="274">
        <v>20</v>
      </c>
      <c r="T302" s="287">
        <f t="shared" si="4"/>
        <v>2016</v>
      </c>
      <c r="U302" s="274">
        <f>VLOOKUP(A302,'[1]SB35 Determination Data'!$B$4:$F$542,5,FALSE)</f>
        <v>2015</v>
      </c>
    </row>
    <row r="303" spans="1:21" s="274" customFormat="1" ht="12.75" x14ac:dyDescent="0.2">
      <c r="A303" s="282" t="s">
        <v>323</v>
      </c>
      <c r="B303" s="282" t="s">
        <v>669</v>
      </c>
      <c r="C303" s="282" t="s">
        <v>654</v>
      </c>
      <c r="D303" s="283">
        <v>2017</v>
      </c>
      <c r="E303" s="282" t="s">
        <v>650</v>
      </c>
      <c r="F303" s="284">
        <v>35</v>
      </c>
      <c r="G303" s="285">
        <v>3</v>
      </c>
      <c r="H303" s="288">
        <v>3</v>
      </c>
      <c r="I303" s="285">
        <v>0</v>
      </c>
      <c r="J303" s="285">
        <v>18</v>
      </c>
      <c r="K303" s="284">
        <v>10</v>
      </c>
      <c r="L303" s="284">
        <v>0</v>
      </c>
      <c r="M303" s="284">
        <v>10</v>
      </c>
      <c r="N303" s="284">
        <v>18</v>
      </c>
      <c r="O303" s="284">
        <v>11</v>
      </c>
      <c r="P303" s="284">
        <v>66</v>
      </c>
      <c r="Q303" s="286">
        <v>22</v>
      </c>
      <c r="R303" s="274">
        <v>137</v>
      </c>
      <c r="S303" s="274">
        <v>46</v>
      </c>
      <c r="T303" s="287">
        <f t="shared" si="4"/>
        <v>2017</v>
      </c>
      <c r="U303" s="274">
        <f>VLOOKUP(A303,'[1]SB35 Determination Data'!$B$4:$F$542,5,FALSE)</f>
        <v>2015</v>
      </c>
    </row>
    <row r="304" spans="1:21" s="274" customFormat="1" ht="12.75" x14ac:dyDescent="0.2">
      <c r="A304" s="282" t="s">
        <v>326</v>
      </c>
      <c r="B304" s="282" t="s">
        <v>262</v>
      </c>
      <c r="C304" s="282" t="s">
        <v>649</v>
      </c>
      <c r="D304" s="283">
        <v>2014</v>
      </c>
      <c r="E304" s="282" t="s">
        <v>650</v>
      </c>
      <c r="F304" s="284">
        <v>80</v>
      </c>
      <c r="G304" s="285">
        <v>0</v>
      </c>
      <c r="H304" s="288">
        <v>0</v>
      </c>
      <c r="I304" s="285">
        <v>0</v>
      </c>
      <c r="J304" s="285">
        <v>46</v>
      </c>
      <c r="K304" s="284">
        <v>0</v>
      </c>
      <c r="L304" s="284">
        <v>0</v>
      </c>
      <c r="M304" s="284">
        <v>0</v>
      </c>
      <c r="N304" s="284">
        <v>51</v>
      </c>
      <c r="O304" s="284">
        <v>0</v>
      </c>
      <c r="P304" s="284">
        <v>141</v>
      </c>
      <c r="Q304" s="286">
        <v>0</v>
      </c>
      <c r="R304" s="274">
        <v>318</v>
      </c>
      <c r="S304" s="274">
        <v>0</v>
      </c>
      <c r="T304" s="287">
        <f t="shared" si="4"/>
        <v>2014</v>
      </c>
      <c r="U304" s="274">
        <f>VLOOKUP(A304,'[1]SB35 Determination Data'!$B$4:$F$542,5,FALSE)</f>
        <v>2014</v>
      </c>
    </row>
    <row r="305" spans="1:21" s="274" customFormat="1" ht="12.75" x14ac:dyDescent="0.2">
      <c r="A305" s="282" t="s">
        <v>326</v>
      </c>
      <c r="B305" s="282" t="s">
        <v>262</v>
      </c>
      <c r="C305" s="282" t="s">
        <v>649</v>
      </c>
      <c r="D305" s="283">
        <v>2016</v>
      </c>
      <c r="E305" s="282" t="s">
        <v>650</v>
      </c>
      <c r="F305" s="284">
        <v>80</v>
      </c>
      <c r="G305" s="285">
        <v>0</v>
      </c>
      <c r="H305" s="288">
        <v>0</v>
      </c>
      <c r="I305" s="285">
        <v>0</v>
      </c>
      <c r="J305" s="285">
        <v>46</v>
      </c>
      <c r="K305" s="284">
        <v>0</v>
      </c>
      <c r="L305" s="284">
        <v>0</v>
      </c>
      <c r="M305" s="284">
        <v>0</v>
      </c>
      <c r="N305" s="284">
        <v>51</v>
      </c>
      <c r="O305" s="284">
        <v>0</v>
      </c>
      <c r="P305" s="284">
        <v>141</v>
      </c>
      <c r="Q305" s="286">
        <v>0</v>
      </c>
      <c r="R305" s="274">
        <v>318</v>
      </c>
      <c r="S305" s="274">
        <v>0</v>
      </c>
      <c r="T305" s="287">
        <f t="shared" si="4"/>
        <v>2016</v>
      </c>
      <c r="U305" s="274">
        <f>VLOOKUP(A305,'[1]SB35 Determination Data'!$B$4:$F$542,5,FALSE)</f>
        <v>2014</v>
      </c>
    </row>
    <row r="306" spans="1:21" s="274" customFormat="1" ht="12.75" x14ac:dyDescent="0.2">
      <c r="A306" s="282" t="s">
        <v>327</v>
      </c>
      <c r="B306" s="282" t="s">
        <v>262</v>
      </c>
      <c r="C306" s="282" t="s">
        <v>649</v>
      </c>
      <c r="D306" s="283">
        <v>2017</v>
      </c>
      <c r="E306" s="282" t="s">
        <v>650</v>
      </c>
      <c r="F306" s="284">
        <v>48</v>
      </c>
      <c r="G306" s="285">
        <v>6</v>
      </c>
      <c r="H306" s="288">
        <v>6</v>
      </c>
      <c r="I306" s="285">
        <v>0</v>
      </c>
      <c r="J306" s="285">
        <v>29</v>
      </c>
      <c r="K306" s="284">
        <v>0</v>
      </c>
      <c r="L306" s="284">
        <v>0</v>
      </c>
      <c r="M306" s="284">
        <v>0</v>
      </c>
      <c r="N306" s="289">
        <v>31</v>
      </c>
      <c r="O306" s="284">
        <v>0</v>
      </c>
      <c r="P306" s="284">
        <v>77</v>
      </c>
      <c r="Q306" s="286">
        <v>83</v>
      </c>
      <c r="R306" s="274">
        <v>185</v>
      </c>
      <c r="S306" s="274">
        <v>89</v>
      </c>
      <c r="T306" s="287">
        <f t="shared" si="4"/>
        <v>2017</v>
      </c>
      <c r="U306" s="274">
        <f>VLOOKUP(A306,'[1]SB35 Determination Data'!$B$4:$F$542,5,FALSE)</f>
        <v>2014</v>
      </c>
    </row>
    <row r="307" spans="1:21" s="274" customFormat="1" ht="12.75" x14ac:dyDescent="0.2">
      <c r="A307" s="282" t="s">
        <v>328</v>
      </c>
      <c r="B307" s="282" t="s">
        <v>614</v>
      </c>
      <c r="C307" s="282" t="s">
        <v>654</v>
      </c>
      <c r="D307" s="283">
        <v>2015</v>
      </c>
      <c r="E307" s="282" t="s">
        <v>650</v>
      </c>
      <c r="F307" s="284">
        <v>356</v>
      </c>
      <c r="G307" s="285">
        <v>0</v>
      </c>
      <c r="H307" s="288">
        <v>0</v>
      </c>
      <c r="I307" s="285">
        <v>0</v>
      </c>
      <c r="J307" s="285">
        <v>207</v>
      </c>
      <c r="K307" s="284">
        <v>0</v>
      </c>
      <c r="L307" s="284">
        <v>0</v>
      </c>
      <c r="M307" s="284">
        <v>0</v>
      </c>
      <c r="N307" s="284">
        <v>231</v>
      </c>
      <c r="O307" s="284">
        <v>14</v>
      </c>
      <c r="P307" s="284">
        <v>270</v>
      </c>
      <c r="Q307" s="286">
        <v>164</v>
      </c>
      <c r="R307" s="274">
        <v>1064</v>
      </c>
      <c r="S307" s="274">
        <v>178</v>
      </c>
      <c r="T307" s="287">
        <f t="shared" si="4"/>
        <v>2015</v>
      </c>
      <c r="U307" s="274">
        <f>VLOOKUP(A307,'[1]SB35 Determination Data'!$B$4:$F$542,5,FALSE)</f>
        <v>2015</v>
      </c>
    </row>
    <row r="308" spans="1:21" s="274" customFormat="1" ht="12.75" x14ac:dyDescent="0.2">
      <c r="A308" s="282" t="s">
        <v>328</v>
      </c>
      <c r="B308" s="282" t="s">
        <v>614</v>
      </c>
      <c r="C308" s="282" t="s">
        <v>654</v>
      </c>
      <c r="D308" s="283">
        <v>2016</v>
      </c>
      <c r="E308" s="282" t="s">
        <v>650</v>
      </c>
      <c r="F308" s="284">
        <v>356</v>
      </c>
      <c r="G308" s="285">
        <v>0</v>
      </c>
      <c r="H308" s="288">
        <v>0</v>
      </c>
      <c r="I308" s="285">
        <v>0</v>
      </c>
      <c r="J308" s="285">
        <v>207</v>
      </c>
      <c r="K308" s="284">
        <v>0</v>
      </c>
      <c r="L308" s="284">
        <v>0</v>
      </c>
      <c r="M308" s="284">
        <v>0</v>
      </c>
      <c r="N308" s="284">
        <v>231</v>
      </c>
      <c r="O308" s="284">
        <v>18</v>
      </c>
      <c r="P308" s="284">
        <v>270</v>
      </c>
      <c r="Q308" s="286">
        <v>9</v>
      </c>
      <c r="R308" s="274">
        <v>1064</v>
      </c>
      <c r="S308" s="274">
        <v>27</v>
      </c>
      <c r="T308" s="287">
        <f t="shared" si="4"/>
        <v>2016</v>
      </c>
      <c r="U308" s="274">
        <f>VLOOKUP(A308,'[1]SB35 Determination Data'!$B$4:$F$542,5,FALSE)</f>
        <v>2015</v>
      </c>
    </row>
    <row r="309" spans="1:21" s="274" customFormat="1" ht="12.75" x14ac:dyDescent="0.2">
      <c r="A309" s="282" t="s">
        <v>328</v>
      </c>
      <c r="B309" s="282" t="s">
        <v>614</v>
      </c>
      <c r="C309" s="282" t="s">
        <v>654</v>
      </c>
      <c r="D309" s="283">
        <v>2017</v>
      </c>
      <c r="E309" s="282" t="s">
        <v>650</v>
      </c>
      <c r="F309" s="284">
        <v>356</v>
      </c>
      <c r="G309" s="285">
        <v>0</v>
      </c>
      <c r="H309" s="288">
        <v>0</v>
      </c>
      <c r="I309" s="285">
        <v>0</v>
      </c>
      <c r="J309" s="285">
        <v>207</v>
      </c>
      <c r="K309" s="284">
        <v>0</v>
      </c>
      <c r="L309" s="284">
        <v>0</v>
      </c>
      <c r="M309" s="284">
        <v>0</v>
      </c>
      <c r="N309" s="284">
        <v>231</v>
      </c>
      <c r="O309" s="284">
        <v>12</v>
      </c>
      <c r="P309" s="284">
        <v>270</v>
      </c>
      <c r="Q309" s="286">
        <v>16</v>
      </c>
      <c r="R309" s="274">
        <v>1064</v>
      </c>
      <c r="S309" s="274">
        <v>28</v>
      </c>
      <c r="T309" s="287">
        <f t="shared" si="4"/>
        <v>2017</v>
      </c>
      <c r="U309" s="274">
        <f>VLOOKUP(A309,'[1]SB35 Determination Data'!$B$4:$F$542,5,FALSE)</f>
        <v>2015</v>
      </c>
    </row>
    <row r="310" spans="1:21" s="274" customFormat="1" ht="12.75" x14ac:dyDescent="0.2">
      <c r="A310" s="282" t="s">
        <v>329</v>
      </c>
      <c r="B310" s="282" t="s">
        <v>436</v>
      </c>
      <c r="C310" s="282" t="s">
        <v>649</v>
      </c>
      <c r="D310" s="283">
        <v>2014</v>
      </c>
      <c r="E310" s="282" t="s">
        <v>650</v>
      </c>
      <c r="F310" s="284">
        <v>71</v>
      </c>
      <c r="G310" s="285">
        <v>0</v>
      </c>
      <c r="H310" s="288">
        <v>0</v>
      </c>
      <c r="I310" s="285">
        <v>0</v>
      </c>
      <c r="J310" s="285">
        <v>50</v>
      </c>
      <c r="K310" s="284">
        <v>0</v>
      </c>
      <c r="L310" s="284">
        <v>0</v>
      </c>
      <c r="M310" s="284">
        <v>0</v>
      </c>
      <c r="N310" s="284">
        <v>56</v>
      </c>
      <c r="O310" s="284">
        <v>0</v>
      </c>
      <c r="P310" s="284">
        <v>131</v>
      </c>
      <c r="Q310" s="286">
        <v>39</v>
      </c>
      <c r="R310" s="274">
        <v>308</v>
      </c>
      <c r="S310" s="274">
        <v>39</v>
      </c>
      <c r="T310" s="287">
        <f t="shared" si="4"/>
        <v>2014</v>
      </c>
      <c r="U310" s="274">
        <f>VLOOKUP(A310,'[1]SB35 Determination Data'!$B$4:$F$542,5,FALSE)</f>
        <v>2014</v>
      </c>
    </row>
    <row r="311" spans="1:21" s="274" customFormat="1" ht="12.75" x14ac:dyDescent="0.2">
      <c r="A311" s="282" t="s">
        <v>329</v>
      </c>
      <c r="B311" s="282" t="s">
        <v>436</v>
      </c>
      <c r="C311" s="282" t="s">
        <v>649</v>
      </c>
      <c r="D311" s="283">
        <v>2015</v>
      </c>
      <c r="E311" s="282" t="s">
        <v>650</v>
      </c>
      <c r="F311" s="284">
        <v>71</v>
      </c>
      <c r="G311" s="285">
        <v>5</v>
      </c>
      <c r="H311" s="288">
        <v>5</v>
      </c>
      <c r="I311" s="285">
        <v>0</v>
      </c>
      <c r="J311" s="285">
        <v>50</v>
      </c>
      <c r="K311" s="284">
        <v>3</v>
      </c>
      <c r="L311" s="284">
        <v>3</v>
      </c>
      <c r="M311" s="284">
        <v>0</v>
      </c>
      <c r="N311" s="289">
        <v>56</v>
      </c>
      <c r="O311" s="284">
        <v>2</v>
      </c>
      <c r="P311" s="284">
        <v>131</v>
      </c>
      <c r="Q311" s="286">
        <v>5</v>
      </c>
      <c r="R311" s="274">
        <v>308</v>
      </c>
      <c r="S311" s="274">
        <v>15</v>
      </c>
      <c r="T311" s="287">
        <f t="shared" si="4"/>
        <v>2015</v>
      </c>
      <c r="U311" s="274">
        <f>VLOOKUP(A311,'[1]SB35 Determination Data'!$B$4:$F$542,5,FALSE)</f>
        <v>2014</v>
      </c>
    </row>
    <row r="312" spans="1:21" s="274" customFormat="1" ht="12.75" x14ac:dyDescent="0.2">
      <c r="A312" s="282" t="s">
        <v>329</v>
      </c>
      <c r="B312" s="282" t="s">
        <v>436</v>
      </c>
      <c r="C312" s="282" t="s">
        <v>649</v>
      </c>
      <c r="D312" s="283">
        <v>2016</v>
      </c>
      <c r="E312" s="282" t="s">
        <v>650</v>
      </c>
      <c r="F312" s="284">
        <v>71</v>
      </c>
      <c r="G312" s="285">
        <v>0</v>
      </c>
      <c r="H312" s="288">
        <v>0</v>
      </c>
      <c r="I312" s="285">
        <v>0</v>
      </c>
      <c r="J312" s="285">
        <v>50</v>
      </c>
      <c r="K312" s="284">
        <v>3</v>
      </c>
      <c r="L312" s="284">
        <v>3</v>
      </c>
      <c r="M312" s="284">
        <v>0</v>
      </c>
      <c r="N312" s="284">
        <v>56</v>
      </c>
      <c r="O312" s="284">
        <v>4</v>
      </c>
      <c r="P312" s="284">
        <v>131</v>
      </c>
      <c r="Q312" s="286">
        <v>132</v>
      </c>
      <c r="R312" s="274">
        <v>308</v>
      </c>
      <c r="S312" s="274">
        <v>139</v>
      </c>
      <c r="T312" s="287">
        <f t="shared" si="4"/>
        <v>2016</v>
      </c>
      <c r="U312" s="274">
        <f>VLOOKUP(A312,'[1]SB35 Determination Data'!$B$4:$F$542,5,FALSE)</f>
        <v>2014</v>
      </c>
    </row>
    <row r="313" spans="1:21" s="274" customFormat="1" ht="12.75" x14ac:dyDescent="0.2">
      <c r="A313" s="282" t="s">
        <v>329</v>
      </c>
      <c r="B313" s="282" t="s">
        <v>436</v>
      </c>
      <c r="C313" s="282" t="s">
        <v>649</v>
      </c>
      <c r="D313" s="283">
        <v>2017</v>
      </c>
      <c r="E313" s="282" t="s">
        <v>650</v>
      </c>
      <c r="F313" s="284">
        <v>71</v>
      </c>
      <c r="G313" s="285">
        <v>4</v>
      </c>
      <c r="H313" s="288">
        <v>4</v>
      </c>
      <c r="I313" s="285">
        <v>0</v>
      </c>
      <c r="J313" s="285">
        <v>50</v>
      </c>
      <c r="K313" s="284">
        <v>2</v>
      </c>
      <c r="L313" s="284">
        <v>2</v>
      </c>
      <c r="M313" s="284">
        <v>0</v>
      </c>
      <c r="N313" s="284">
        <v>56</v>
      </c>
      <c r="O313" s="284">
        <v>0</v>
      </c>
      <c r="P313" s="284">
        <v>131</v>
      </c>
      <c r="Q313" s="286">
        <v>144</v>
      </c>
      <c r="R313" s="274">
        <v>308</v>
      </c>
      <c r="S313" s="274">
        <v>150</v>
      </c>
      <c r="T313" s="287">
        <f t="shared" si="4"/>
        <v>2017</v>
      </c>
      <c r="U313" s="274">
        <f>VLOOKUP(A313,'[1]SB35 Determination Data'!$B$4:$F$542,5,FALSE)</f>
        <v>2014</v>
      </c>
    </row>
    <row r="314" spans="1:21" s="274" customFormat="1" ht="12.75" x14ac:dyDescent="0.2">
      <c r="A314" s="282" t="s">
        <v>330</v>
      </c>
      <c r="B314" s="282" t="s">
        <v>595</v>
      </c>
      <c r="C314" s="282" t="s">
        <v>654</v>
      </c>
      <c r="D314" s="283">
        <v>2014</v>
      </c>
      <c r="E314" s="282" t="s">
        <v>650</v>
      </c>
      <c r="F314" s="284">
        <v>400</v>
      </c>
      <c r="G314" s="285">
        <v>0</v>
      </c>
      <c r="H314" s="288">
        <v>0</v>
      </c>
      <c r="I314" s="285">
        <v>0</v>
      </c>
      <c r="J314" s="285">
        <v>188</v>
      </c>
      <c r="K314" s="284">
        <v>0</v>
      </c>
      <c r="L314" s="284">
        <v>0</v>
      </c>
      <c r="M314" s="284">
        <v>0</v>
      </c>
      <c r="N314" s="284">
        <v>221</v>
      </c>
      <c r="O314" s="284">
        <v>10</v>
      </c>
      <c r="P314" s="284">
        <v>541</v>
      </c>
      <c r="Q314" s="286">
        <v>10</v>
      </c>
      <c r="R314" s="274">
        <v>1350</v>
      </c>
      <c r="S314" s="274">
        <v>20</v>
      </c>
      <c r="T314" s="287">
        <f t="shared" si="4"/>
        <v>2015</v>
      </c>
      <c r="U314" s="274">
        <f>VLOOKUP(A314,'[1]SB35 Determination Data'!$B$4:$F$542,5,FALSE)</f>
        <v>2015</v>
      </c>
    </row>
    <row r="315" spans="1:21" s="274" customFormat="1" ht="12.75" x14ac:dyDescent="0.2">
      <c r="A315" s="282" t="s">
        <v>330</v>
      </c>
      <c r="B315" s="282" t="s">
        <v>595</v>
      </c>
      <c r="C315" s="282" t="s">
        <v>654</v>
      </c>
      <c r="D315" s="283">
        <v>2015</v>
      </c>
      <c r="E315" s="282" t="s">
        <v>650</v>
      </c>
      <c r="F315" s="284">
        <v>400</v>
      </c>
      <c r="G315" s="285">
        <v>38</v>
      </c>
      <c r="H315" s="288">
        <v>38</v>
      </c>
      <c r="I315" s="285">
        <v>0</v>
      </c>
      <c r="J315" s="285">
        <v>188</v>
      </c>
      <c r="K315" s="284">
        <v>15</v>
      </c>
      <c r="L315" s="284">
        <v>15</v>
      </c>
      <c r="M315" s="284">
        <v>0</v>
      </c>
      <c r="N315" s="289">
        <v>221</v>
      </c>
      <c r="O315" s="284">
        <v>14</v>
      </c>
      <c r="P315" s="284">
        <v>541</v>
      </c>
      <c r="Q315" s="286">
        <v>89</v>
      </c>
      <c r="R315" s="274">
        <v>1350</v>
      </c>
      <c r="S315" s="274">
        <v>156</v>
      </c>
      <c r="T315" s="287">
        <f t="shared" si="4"/>
        <v>2015</v>
      </c>
      <c r="U315" s="274">
        <f>VLOOKUP(A315,'[1]SB35 Determination Data'!$B$4:$F$542,5,FALSE)</f>
        <v>2015</v>
      </c>
    </row>
    <row r="316" spans="1:21" s="274" customFormat="1" ht="12.75" x14ac:dyDescent="0.2">
      <c r="A316" s="282" t="s">
        <v>330</v>
      </c>
      <c r="B316" s="282" t="s">
        <v>595</v>
      </c>
      <c r="C316" s="282" t="s">
        <v>654</v>
      </c>
      <c r="D316" s="283">
        <v>2016</v>
      </c>
      <c r="E316" s="282" t="s">
        <v>650</v>
      </c>
      <c r="F316" s="284">
        <v>400</v>
      </c>
      <c r="G316" s="285">
        <v>0</v>
      </c>
      <c r="H316" s="288">
        <v>0</v>
      </c>
      <c r="I316" s="285">
        <v>0</v>
      </c>
      <c r="J316" s="285">
        <v>188</v>
      </c>
      <c r="K316" s="284">
        <v>7</v>
      </c>
      <c r="L316" s="284">
        <v>7</v>
      </c>
      <c r="M316" s="284">
        <v>0</v>
      </c>
      <c r="N316" s="284">
        <v>221</v>
      </c>
      <c r="O316" s="284">
        <v>17</v>
      </c>
      <c r="P316" s="284">
        <v>541</v>
      </c>
      <c r="Q316" s="286">
        <v>140</v>
      </c>
      <c r="R316" s="274">
        <v>1350</v>
      </c>
      <c r="S316" s="274">
        <v>164</v>
      </c>
      <c r="T316" s="287">
        <f t="shared" si="4"/>
        <v>2016</v>
      </c>
      <c r="U316" s="274">
        <f>VLOOKUP(A316,'[1]SB35 Determination Data'!$B$4:$F$542,5,FALSE)</f>
        <v>2015</v>
      </c>
    </row>
    <row r="317" spans="1:21" s="274" customFormat="1" ht="12.75" x14ac:dyDescent="0.2">
      <c r="A317" s="282" t="s">
        <v>330</v>
      </c>
      <c r="B317" s="282" t="s">
        <v>595</v>
      </c>
      <c r="C317" s="282" t="s">
        <v>654</v>
      </c>
      <c r="D317" s="283">
        <v>2017</v>
      </c>
      <c r="E317" s="282" t="s">
        <v>650</v>
      </c>
      <c r="F317" s="284">
        <v>400</v>
      </c>
      <c r="G317" s="285">
        <v>21</v>
      </c>
      <c r="H317" s="288">
        <v>21</v>
      </c>
      <c r="I317" s="285">
        <v>0</v>
      </c>
      <c r="J317" s="285">
        <v>188</v>
      </c>
      <c r="K317" s="284">
        <v>200</v>
      </c>
      <c r="L317" s="284">
        <v>183</v>
      </c>
      <c r="M317" s="284">
        <v>17</v>
      </c>
      <c r="N317" s="284">
        <v>221</v>
      </c>
      <c r="O317" s="284">
        <v>18</v>
      </c>
      <c r="P317" s="284">
        <v>541</v>
      </c>
      <c r="Q317" s="286">
        <v>17</v>
      </c>
      <c r="R317" s="274">
        <v>1350</v>
      </c>
      <c r="S317" s="274">
        <v>256</v>
      </c>
      <c r="T317" s="287">
        <f t="shared" si="4"/>
        <v>2017</v>
      </c>
      <c r="U317" s="274">
        <f>VLOOKUP(A317,'[1]SB35 Determination Data'!$B$4:$F$542,5,FALSE)</f>
        <v>2015</v>
      </c>
    </row>
    <row r="318" spans="1:21" s="274" customFormat="1" ht="12.75" x14ac:dyDescent="0.2">
      <c r="A318" s="282" t="s">
        <v>331</v>
      </c>
      <c r="B318" s="282" t="s">
        <v>436</v>
      </c>
      <c r="C318" s="282" t="s">
        <v>649</v>
      </c>
      <c r="D318" s="283">
        <v>2014</v>
      </c>
      <c r="E318" s="282" t="s">
        <v>650</v>
      </c>
      <c r="F318" s="284">
        <v>76</v>
      </c>
      <c r="G318" s="285">
        <v>0</v>
      </c>
      <c r="H318" s="288">
        <v>0</v>
      </c>
      <c r="I318" s="285">
        <v>0</v>
      </c>
      <c r="J318" s="285">
        <v>53</v>
      </c>
      <c r="K318" s="284">
        <v>0</v>
      </c>
      <c r="L318" s="284">
        <v>0</v>
      </c>
      <c r="M318" s="284">
        <v>0</v>
      </c>
      <c r="N318" s="284">
        <v>61</v>
      </c>
      <c r="O318" s="284">
        <v>3</v>
      </c>
      <c r="P318" s="284">
        <v>137</v>
      </c>
      <c r="Q318" s="286">
        <v>12</v>
      </c>
      <c r="R318" s="274">
        <v>327</v>
      </c>
      <c r="S318" s="274">
        <v>15</v>
      </c>
      <c r="T318" s="287">
        <f t="shared" si="4"/>
        <v>2014</v>
      </c>
      <c r="U318" s="274">
        <f>VLOOKUP(A318,'[1]SB35 Determination Data'!$B$4:$F$542,5,FALSE)</f>
        <v>2014</v>
      </c>
    </row>
    <row r="319" spans="1:21" s="274" customFormat="1" ht="12.75" x14ac:dyDescent="0.2">
      <c r="A319" s="282" t="s">
        <v>331</v>
      </c>
      <c r="B319" s="282" t="s">
        <v>436</v>
      </c>
      <c r="C319" s="282" t="s">
        <v>649</v>
      </c>
      <c r="D319" s="283">
        <v>2015</v>
      </c>
      <c r="E319" s="282" t="s">
        <v>650</v>
      </c>
      <c r="F319" s="284">
        <v>76</v>
      </c>
      <c r="G319" s="285">
        <v>0</v>
      </c>
      <c r="H319" s="288">
        <v>0</v>
      </c>
      <c r="I319" s="285">
        <v>0</v>
      </c>
      <c r="J319" s="285">
        <v>53</v>
      </c>
      <c r="K319" s="284">
        <v>0</v>
      </c>
      <c r="L319" s="284">
        <v>0</v>
      </c>
      <c r="M319" s="284">
        <v>0</v>
      </c>
      <c r="N319" s="284">
        <v>61</v>
      </c>
      <c r="O319" s="284">
        <v>2</v>
      </c>
      <c r="P319" s="284">
        <v>137</v>
      </c>
      <c r="Q319" s="286">
        <v>36</v>
      </c>
      <c r="R319" s="274">
        <v>327</v>
      </c>
      <c r="S319" s="274">
        <v>38</v>
      </c>
      <c r="T319" s="287">
        <f t="shared" si="4"/>
        <v>2015</v>
      </c>
      <c r="U319" s="274">
        <f>VLOOKUP(A319,'[1]SB35 Determination Data'!$B$4:$F$542,5,FALSE)</f>
        <v>2014</v>
      </c>
    </row>
    <row r="320" spans="1:21" s="274" customFormat="1" ht="12.75" x14ac:dyDescent="0.2">
      <c r="A320" s="282" t="s">
        <v>331</v>
      </c>
      <c r="B320" s="282" t="s">
        <v>436</v>
      </c>
      <c r="C320" s="282" t="s">
        <v>649</v>
      </c>
      <c r="D320" s="283">
        <v>2016</v>
      </c>
      <c r="E320" s="282" t="s">
        <v>650</v>
      </c>
      <c r="F320" s="284">
        <v>76</v>
      </c>
      <c r="G320" s="285">
        <v>0</v>
      </c>
      <c r="H320" s="288">
        <v>0</v>
      </c>
      <c r="I320" s="285">
        <v>0</v>
      </c>
      <c r="J320" s="285">
        <v>53</v>
      </c>
      <c r="K320" s="284">
        <v>0</v>
      </c>
      <c r="L320" s="284">
        <v>0</v>
      </c>
      <c r="M320" s="284">
        <v>0</v>
      </c>
      <c r="N320" s="289">
        <v>61</v>
      </c>
      <c r="O320" s="284">
        <v>4</v>
      </c>
      <c r="P320" s="284">
        <v>137</v>
      </c>
      <c r="Q320" s="286">
        <v>34</v>
      </c>
      <c r="R320" s="274">
        <v>327</v>
      </c>
      <c r="S320" s="274">
        <v>38</v>
      </c>
      <c r="T320" s="287">
        <f t="shared" si="4"/>
        <v>2016</v>
      </c>
      <c r="U320" s="274">
        <f>VLOOKUP(A320,'[1]SB35 Determination Data'!$B$4:$F$542,5,FALSE)</f>
        <v>2014</v>
      </c>
    </row>
    <row r="321" spans="1:21" s="274" customFormat="1" ht="12.75" x14ac:dyDescent="0.2">
      <c r="A321" s="282" t="s">
        <v>331</v>
      </c>
      <c r="B321" s="282" t="s">
        <v>436</v>
      </c>
      <c r="C321" s="282" t="s">
        <v>649</v>
      </c>
      <c r="D321" s="283">
        <v>2017</v>
      </c>
      <c r="E321" s="282" t="s">
        <v>650</v>
      </c>
      <c r="F321" s="284">
        <v>76</v>
      </c>
      <c r="G321" s="285">
        <v>0</v>
      </c>
      <c r="H321" s="288">
        <v>0</v>
      </c>
      <c r="I321" s="285">
        <v>0</v>
      </c>
      <c r="J321" s="285">
        <v>53</v>
      </c>
      <c r="K321" s="284">
        <v>0</v>
      </c>
      <c r="L321" s="284">
        <v>0</v>
      </c>
      <c r="M321" s="284">
        <v>0</v>
      </c>
      <c r="N321" s="284">
        <v>61</v>
      </c>
      <c r="O321" s="284">
        <v>8</v>
      </c>
      <c r="P321" s="284">
        <v>137</v>
      </c>
      <c r="Q321" s="286">
        <v>60</v>
      </c>
      <c r="R321" s="274">
        <v>327</v>
      </c>
      <c r="S321" s="274">
        <v>68</v>
      </c>
      <c r="T321" s="287">
        <f t="shared" si="4"/>
        <v>2017</v>
      </c>
      <c r="U321" s="274">
        <f>VLOOKUP(A321,'[1]SB35 Determination Data'!$B$4:$F$542,5,FALSE)</f>
        <v>2014</v>
      </c>
    </row>
    <row r="322" spans="1:21" s="274" customFormat="1" ht="12.75" x14ac:dyDescent="0.2">
      <c r="A322" s="282" t="s">
        <v>276</v>
      </c>
      <c r="B322" s="282" t="s">
        <v>120</v>
      </c>
      <c r="C322" s="282" t="s">
        <v>654</v>
      </c>
      <c r="D322" s="283">
        <v>2015</v>
      </c>
      <c r="E322" s="282" t="s">
        <v>650</v>
      </c>
      <c r="F322" s="284">
        <v>196</v>
      </c>
      <c r="G322" s="285">
        <v>0</v>
      </c>
      <c r="H322" s="288">
        <v>0</v>
      </c>
      <c r="I322" s="285">
        <v>0</v>
      </c>
      <c r="J322" s="285">
        <v>111</v>
      </c>
      <c r="K322" s="284">
        <v>1</v>
      </c>
      <c r="L322" s="284">
        <v>0</v>
      </c>
      <c r="M322" s="284">
        <v>1</v>
      </c>
      <c r="N322" s="284">
        <v>124</v>
      </c>
      <c r="O322" s="284">
        <v>13</v>
      </c>
      <c r="P322" s="284">
        <v>126</v>
      </c>
      <c r="Q322" s="286">
        <v>87</v>
      </c>
      <c r="R322" s="274">
        <v>557</v>
      </c>
      <c r="S322" s="274">
        <v>101</v>
      </c>
      <c r="T322" s="287">
        <f t="shared" si="4"/>
        <v>2015</v>
      </c>
      <c r="U322" s="274">
        <f>VLOOKUP(A322,'[1]SB35 Determination Data'!$B$4:$F$542,5,FALSE)</f>
        <v>2015</v>
      </c>
    </row>
    <row r="323" spans="1:21" s="274" customFormat="1" ht="12.75" x14ac:dyDescent="0.2">
      <c r="A323" s="282" t="s">
        <v>276</v>
      </c>
      <c r="B323" s="282" t="s">
        <v>120</v>
      </c>
      <c r="C323" s="282" t="s">
        <v>654</v>
      </c>
      <c r="D323" s="283">
        <v>2016</v>
      </c>
      <c r="E323" s="282" t="s">
        <v>650</v>
      </c>
      <c r="F323" s="284">
        <v>196</v>
      </c>
      <c r="G323" s="285">
        <v>0</v>
      </c>
      <c r="H323" s="288">
        <v>0</v>
      </c>
      <c r="I323" s="285">
        <v>0</v>
      </c>
      <c r="J323" s="285">
        <v>111</v>
      </c>
      <c r="K323" s="284">
        <v>2</v>
      </c>
      <c r="L323" s="284">
        <v>2</v>
      </c>
      <c r="M323" s="284">
        <v>0</v>
      </c>
      <c r="N323" s="284">
        <v>124</v>
      </c>
      <c r="O323" s="284">
        <v>4</v>
      </c>
      <c r="P323" s="284">
        <v>126</v>
      </c>
      <c r="Q323" s="286">
        <v>50</v>
      </c>
      <c r="R323" s="274">
        <v>557</v>
      </c>
      <c r="S323" s="274">
        <v>56</v>
      </c>
      <c r="T323" s="287">
        <f t="shared" si="4"/>
        <v>2016</v>
      </c>
      <c r="U323" s="274">
        <f>VLOOKUP(A323,'[1]SB35 Determination Data'!$B$4:$F$542,5,FALSE)</f>
        <v>2015</v>
      </c>
    </row>
    <row r="324" spans="1:21" s="274" customFormat="1" ht="12.75" x14ac:dyDescent="0.2">
      <c r="A324" s="282" t="s">
        <v>276</v>
      </c>
      <c r="B324" s="282" t="s">
        <v>120</v>
      </c>
      <c r="C324" s="282" t="s">
        <v>654</v>
      </c>
      <c r="D324" s="283">
        <v>2017</v>
      </c>
      <c r="E324" s="282" t="s">
        <v>650</v>
      </c>
      <c r="F324" s="284">
        <v>196</v>
      </c>
      <c r="G324" s="285">
        <v>0</v>
      </c>
      <c r="H324" s="288">
        <v>0</v>
      </c>
      <c r="I324" s="285">
        <v>0</v>
      </c>
      <c r="J324" s="285">
        <v>111</v>
      </c>
      <c r="K324" s="284">
        <v>5</v>
      </c>
      <c r="L324" s="284">
        <v>0</v>
      </c>
      <c r="M324" s="284">
        <v>5</v>
      </c>
      <c r="N324" s="289">
        <v>124</v>
      </c>
      <c r="O324" s="284">
        <v>7</v>
      </c>
      <c r="P324" s="284">
        <v>126</v>
      </c>
      <c r="Q324" s="286">
        <v>36</v>
      </c>
      <c r="R324" s="274">
        <v>557</v>
      </c>
      <c r="S324" s="274">
        <v>48</v>
      </c>
      <c r="T324" s="287">
        <f t="shared" ref="T324:T387" si="5">IF(D324&gt;U324,D324,U324)</f>
        <v>2017</v>
      </c>
      <c r="U324" s="274">
        <f>VLOOKUP(A324,'[1]SB35 Determination Data'!$B$4:$F$542,5,FALSE)</f>
        <v>2015</v>
      </c>
    </row>
    <row r="325" spans="1:21" s="274" customFormat="1" ht="12.75" x14ac:dyDescent="0.2">
      <c r="A325" s="282" t="s">
        <v>332</v>
      </c>
      <c r="B325" s="282" t="s">
        <v>757</v>
      </c>
      <c r="C325" s="282" t="s">
        <v>685</v>
      </c>
      <c r="D325" s="283">
        <v>2013</v>
      </c>
      <c r="E325" s="282" t="s">
        <v>650</v>
      </c>
      <c r="F325" s="284">
        <v>248</v>
      </c>
      <c r="G325" s="285">
        <v>0</v>
      </c>
      <c r="H325" s="288">
        <v>0</v>
      </c>
      <c r="I325" s="285">
        <v>0</v>
      </c>
      <c r="J325" s="285">
        <v>174</v>
      </c>
      <c r="K325" s="284">
        <v>3</v>
      </c>
      <c r="L325" s="284">
        <v>0</v>
      </c>
      <c r="M325" s="284">
        <v>3</v>
      </c>
      <c r="N325" s="284">
        <v>198</v>
      </c>
      <c r="O325" s="284">
        <v>13</v>
      </c>
      <c r="P325" s="284">
        <v>446</v>
      </c>
      <c r="Q325" s="286">
        <v>38</v>
      </c>
      <c r="R325" s="274">
        <v>1066</v>
      </c>
      <c r="S325" s="274">
        <v>54</v>
      </c>
      <c r="T325" s="287">
        <f t="shared" si="5"/>
        <v>2014</v>
      </c>
      <c r="U325" s="274">
        <f>VLOOKUP(A325,'[1]SB35 Determination Data'!$B$4:$F$542,5,FALSE)</f>
        <v>2014</v>
      </c>
    </row>
    <row r="326" spans="1:21" s="274" customFormat="1" ht="12.75" x14ac:dyDescent="0.2">
      <c r="A326" s="282" t="s">
        <v>332</v>
      </c>
      <c r="B326" s="282" t="s">
        <v>757</v>
      </c>
      <c r="C326" s="282" t="s">
        <v>685</v>
      </c>
      <c r="D326" s="283">
        <v>2014</v>
      </c>
      <c r="E326" s="282" t="s">
        <v>650</v>
      </c>
      <c r="F326" s="284">
        <v>248</v>
      </c>
      <c r="G326" s="285">
        <v>0</v>
      </c>
      <c r="H326" s="288">
        <v>0</v>
      </c>
      <c r="I326" s="285">
        <v>0</v>
      </c>
      <c r="J326" s="285">
        <v>174</v>
      </c>
      <c r="K326" s="284">
        <v>2</v>
      </c>
      <c r="L326" s="284">
        <v>0</v>
      </c>
      <c r="M326" s="284">
        <v>2</v>
      </c>
      <c r="N326" s="284">
        <v>198</v>
      </c>
      <c r="O326" s="284">
        <v>5</v>
      </c>
      <c r="P326" s="284">
        <v>446</v>
      </c>
      <c r="Q326" s="286">
        <v>6</v>
      </c>
      <c r="R326" s="274">
        <v>1066</v>
      </c>
      <c r="S326" s="274">
        <v>13</v>
      </c>
      <c r="T326" s="287">
        <f t="shared" si="5"/>
        <v>2014</v>
      </c>
      <c r="U326" s="274">
        <f>VLOOKUP(A326,'[1]SB35 Determination Data'!$B$4:$F$542,5,FALSE)</f>
        <v>2014</v>
      </c>
    </row>
    <row r="327" spans="1:21" s="274" customFormat="1" ht="12.75" x14ac:dyDescent="0.2">
      <c r="A327" s="282" t="s">
        <v>332</v>
      </c>
      <c r="B327" s="282" t="s">
        <v>757</v>
      </c>
      <c r="C327" s="282" t="s">
        <v>685</v>
      </c>
      <c r="D327" s="283">
        <v>2015</v>
      </c>
      <c r="E327" s="282" t="s">
        <v>650</v>
      </c>
      <c r="F327" s="284">
        <v>248</v>
      </c>
      <c r="G327" s="285">
        <v>0</v>
      </c>
      <c r="H327" s="288">
        <v>0</v>
      </c>
      <c r="I327" s="285">
        <v>0</v>
      </c>
      <c r="J327" s="285">
        <v>174</v>
      </c>
      <c r="K327" s="284">
        <v>8</v>
      </c>
      <c r="L327" s="284">
        <v>0</v>
      </c>
      <c r="M327" s="284">
        <v>8</v>
      </c>
      <c r="N327" s="289">
        <v>198</v>
      </c>
      <c r="O327" s="284">
        <v>3</v>
      </c>
      <c r="P327" s="284">
        <v>446</v>
      </c>
      <c r="Q327" s="286">
        <v>94</v>
      </c>
      <c r="R327" s="274">
        <v>1066</v>
      </c>
      <c r="S327" s="274">
        <v>105</v>
      </c>
      <c r="T327" s="287">
        <f t="shared" si="5"/>
        <v>2015</v>
      </c>
      <c r="U327" s="274">
        <f>VLOOKUP(A327,'[1]SB35 Determination Data'!$B$4:$F$542,5,FALSE)</f>
        <v>2014</v>
      </c>
    </row>
    <row r="328" spans="1:21" s="274" customFormat="1" ht="12.75" x14ac:dyDescent="0.2">
      <c r="A328" s="282" t="s">
        <v>332</v>
      </c>
      <c r="B328" s="282" t="s">
        <v>757</v>
      </c>
      <c r="C328" s="282" t="s">
        <v>685</v>
      </c>
      <c r="D328" s="283">
        <v>2016</v>
      </c>
      <c r="E328" s="282" t="s">
        <v>650</v>
      </c>
      <c r="F328" s="284">
        <v>248</v>
      </c>
      <c r="G328" s="285">
        <v>42</v>
      </c>
      <c r="H328" s="288">
        <v>42</v>
      </c>
      <c r="I328" s="285">
        <v>0</v>
      </c>
      <c r="J328" s="285">
        <v>174</v>
      </c>
      <c r="K328" s="284">
        <v>27</v>
      </c>
      <c r="L328" s="284">
        <v>19</v>
      </c>
      <c r="M328" s="284">
        <v>8</v>
      </c>
      <c r="N328" s="284">
        <v>198</v>
      </c>
      <c r="O328" s="284">
        <v>16</v>
      </c>
      <c r="P328" s="284">
        <v>446</v>
      </c>
      <c r="Q328" s="286">
        <v>183</v>
      </c>
      <c r="R328" s="274">
        <v>1066</v>
      </c>
      <c r="S328" s="274">
        <v>268</v>
      </c>
      <c r="T328" s="287">
        <f t="shared" si="5"/>
        <v>2016</v>
      </c>
      <c r="U328" s="274">
        <f>VLOOKUP(A328,'[1]SB35 Determination Data'!$B$4:$F$542,5,FALSE)</f>
        <v>2014</v>
      </c>
    </row>
    <row r="329" spans="1:21" s="274" customFormat="1" ht="12.75" x14ac:dyDescent="0.2">
      <c r="A329" s="282" t="s">
        <v>332</v>
      </c>
      <c r="B329" s="282" t="s">
        <v>757</v>
      </c>
      <c r="C329" s="282" t="s">
        <v>685</v>
      </c>
      <c r="D329" s="283">
        <v>2017</v>
      </c>
      <c r="E329" s="282" t="s">
        <v>650</v>
      </c>
      <c r="F329" s="284">
        <v>248</v>
      </c>
      <c r="G329" s="285">
        <v>1</v>
      </c>
      <c r="H329" s="288">
        <v>1</v>
      </c>
      <c r="I329" s="285">
        <v>0</v>
      </c>
      <c r="J329" s="285">
        <v>174</v>
      </c>
      <c r="K329" s="284">
        <v>10</v>
      </c>
      <c r="L329" s="284">
        <v>10</v>
      </c>
      <c r="M329" s="284">
        <v>0</v>
      </c>
      <c r="N329" s="284">
        <v>198</v>
      </c>
      <c r="O329" s="284">
        <v>15</v>
      </c>
      <c r="P329" s="284">
        <v>446</v>
      </c>
      <c r="Q329" s="286">
        <v>188</v>
      </c>
      <c r="R329" s="274">
        <v>1066</v>
      </c>
      <c r="S329" s="274">
        <v>214</v>
      </c>
      <c r="T329" s="287">
        <f t="shared" si="5"/>
        <v>2017</v>
      </c>
      <c r="U329" s="274">
        <f>VLOOKUP(A329,'[1]SB35 Determination Data'!$B$4:$F$542,5,FALSE)</f>
        <v>2014</v>
      </c>
    </row>
    <row r="330" spans="1:21" s="274" customFormat="1" ht="12.75" x14ac:dyDescent="0.2">
      <c r="A330" s="282" t="s">
        <v>333</v>
      </c>
      <c r="B330" s="282" t="s">
        <v>557</v>
      </c>
      <c r="C330" s="282" t="s">
        <v>758</v>
      </c>
      <c r="D330" s="283">
        <v>2013</v>
      </c>
      <c r="E330" s="282" t="s">
        <v>650</v>
      </c>
      <c r="F330" s="284">
        <v>7</v>
      </c>
      <c r="G330" s="285">
        <v>0</v>
      </c>
      <c r="H330" s="288">
        <v>0</v>
      </c>
      <c r="I330" s="285">
        <v>0</v>
      </c>
      <c r="J330" s="285">
        <v>5</v>
      </c>
      <c r="K330" s="284">
        <v>0</v>
      </c>
      <c r="L330" s="284">
        <v>0</v>
      </c>
      <c r="M330" s="284">
        <v>0</v>
      </c>
      <c r="N330" s="284">
        <v>15</v>
      </c>
      <c r="O330" s="284">
        <v>0</v>
      </c>
      <c r="P330" s="284">
        <v>34</v>
      </c>
      <c r="Q330" s="286">
        <v>7</v>
      </c>
      <c r="R330" s="274">
        <v>61</v>
      </c>
      <c r="S330" s="274">
        <v>7</v>
      </c>
      <c r="T330" s="287">
        <f t="shared" si="5"/>
        <v>2013</v>
      </c>
      <c r="U330" s="274">
        <f>VLOOKUP(A330,'[1]SB35 Determination Data'!$B$4:$F$542,5,FALSE)</f>
        <v>2013</v>
      </c>
    </row>
    <row r="331" spans="1:21" s="274" customFormat="1" ht="12.75" x14ac:dyDescent="0.2">
      <c r="A331" s="282" t="s">
        <v>333</v>
      </c>
      <c r="B331" s="282" t="s">
        <v>557</v>
      </c>
      <c r="C331" s="282" t="s">
        <v>758</v>
      </c>
      <c r="D331" s="283">
        <v>2014</v>
      </c>
      <c r="E331" s="282" t="s">
        <v>650</v>
      </c>
      <c r="F331" s="284">
        <v>7</v>
      </c>
      <c r="G331" s="285">
        <v>0</v>
      </c>
      <c r="H331" s="288">
        <v>0</v>
      </c>
      <c r="I331" s="285">
        <v>0</v>
      </c>
      <c r="J331" s="285">
        <v>5</v>
      </c>
      <c r="K331" s="284">
        <v>0</v>
      </c>
      <c r="L331" s="284">
        <v>0</v>
      </c>
      <c r="M331" s="284">
        <v>0</v>
      </c>
      <c r="N331" s="284">
        <v>15</v>
      </c>
      <c r="O331" s="284">
        <v>0</v>
      </c>
      <c r="P331" s="284">
        <v>34</v>
      </c>
      <c r="Q331" s="286">
        <v>3</v>
      </c>
      <c r="R331" s="274">
        <v>61</v>
      </c>
      <c r="S331" s="274">
        <v>3</v>
      </c>
      <c r="T331" s="287">
        <f t="shared" si="5"/>
        <v>2014</v>
      </c>
      <c r="U331" s="274">
        <f>VLOOKUP(A331,'[1]SB35 Determination Data'!$B$4:$F$542,5,FALSE)</f>
        <v>2013</v>
      </c>
    </row>
    <row r="332" spans="1:21" s="274" customFormat="1" ht="12.75" x14ac:dyDescent="0.2">
      <c r="A332" s="282" t="s">
        <v>333</v>
      </c>
      <c r="B332" s="282" t="s">
        <v>557</v>
      </c>
      <c r="C332" s="282" t="s">
        <v>758</v>
      </c>
      <c r="D332" s="283">
        <v>2015</v>
      </c>
      <c r="E332" s="282" t="s">
        <v>650</v>
      </c>
      <c r="F332" s="284">
        <v>7</v>
      </c>
      <c r="G332" s="285">
        <v>0</v>
      </c>
      <c r="H332" s="288">
        <v>0</v>
      </c>
      <c r="I332" s="285">
        <v>0</v>
      </c>
      <c r="J332" s="285">
        <v>5</v>
      </c>
      <c r="K332" s="284">
        <v>0</v>
      </c>
      <c r="L332" s="284">
        <v>0</v>
      </c>
      <c r="M332" s="284">
        <v>0</v>
      </c>
      <c r="N332" s="284">
        <v>15</v>
      </c>
      <c r="O332" s="284">
        <v>0</v>
      </c>
      <c r="P332" s="284">
        <v>34</v>
      </c>
      <c r="Q332" s="286">
        <v>4</v>
      </c>
      <c r="R332" s="274">
        <v>61</v>
      </c>
      <c r="S332" s="274">
        <v>4</v>
      </c>
      <c r="T332" s="287">
        <f t="shared" si="5"/>
        <v>2015</v>
      </c>
      <c r="U332" s="274">
        <f>VLOOKUP(A332,'[1]SB35 Determination Data'!$B$4:$F$542,5,FALSE)</f>
        <v>2013</v>
      </c>
    </row>
    <row r="333" spans="1:21" s="274" customFormat="1" ht="12.75" x14ac:dyDescent="0.2">
      <c r="A333" s="282" t="s">
        <v>333</v>
      </c>
      <c r="B333" s="282" t="s">
        <v>557</v>
      </c>
      <c r="C333" s="282" t="s">
        <v>758</v>
      </c>
      <c r="D333" s="283">
        <v>2016</v>
      </c>
      <c r="E333" s="282" t="s">
        <v>650</v>
      </c>
      <c r="F333" s="284">
        <v>7</v>
      </c>
      <c r="G333" s="285">
        <v>0</v>
      </c>
      <c r="H333" s="288">
        <v>0</v>
      </c>
      <c r="I333" s="285">
        <v>0</v>
      </c>
      <c r="J333" s="285">
        <v>5</v>
      </c>
      <c r="K333" s="284">
        <v>0</v>
      </c>
      <c r="L333" s="284">
        <v>0</v>
      </c>
      <c r="M333" s="284">
        <v>0</v>
      </c>
      <c r="N333" s="284">
        <v>15</v>
      </c>
      <c r="O333" s="284">
        <v>0</v>
      </c>
      <c r="P333" s="284">
        <v>34</v>
      </c>
      <c r="Q333" s="286">
        <v>11</v>
      </c>
      <c r="R333" s="274">
        <v>61</v>
      </c>
      <c r="S333" s="274">
        <v>11</v>
      </c>
      <c r="T333" s="287">
        <f t="shared" si="5"/>
        <v>2016</v>
      </c>
      <c r="U333" s="274">
        <f>VLOOKUP(A333,'[1]SB35 Determination Data'!$B$4:$F$542,5,FALSE)</f>
        <v>2013</v>
      </c>
    </row>
    <row r="334" spans="1:21" s="274" customFormat="1" ht="12.75" x14ac:dyDescent="0.2">
      <c r="A334" s="282" t="s">
        <v>333</v>
      </c>
      <c r="B334" s="282" t="s">
        <v>557</v>
      </c>
      <c r="C334" s="282" t="s">
        <v>758</v>
      </c>
      <c r="D334" s="283">
        <v>2017</v>
      </c>
      <c r="E334" s="282" t="s">
        <v>650</v>
      </c>
      <c r="F334" s="284">
        <v>7</v>
      </c>
      <c r="G334" s="285">
        <v>0</v>
      </c>
      <c r="H334" s="288">
        <v>0</v>
      </c>
      <c r="I334" s="285">
        <v>0</v>
      </c>
      <c r="J334" s="285">
        <v>5</v>
      </c>
      <c r="K334" s="284">
        <v>0</v>
      </c>
      <c r="L334" s="284">
        <v>0</v>
      </c>
      <c r="M334" s="284">
        <v>0</v>
      </c>
      <c r="N334" s="284">
        <v>15</v>
      </c>
      <c r="O334" s="284">
        <v>0</v>
      </c>
      <c r="P334" s="284">
        <v>34</v>
      </c>
      <c r="Q334" s="286">
        <v>7</v>
      </c>
      <c r="R334" s="274">
        <v>61</v>
      </c>
      <c r="S334" s="274">
        <v>7</v>
      </c>
      <c r="T334" s="287">
        <f t="shared" si="5"/>
        <v>2017</v>
      </c>
      <c r="U334" s="274">
        <f>VLOOKUP(A334,'[1]SB35 Determination Data'!$B$4:$F$542,5,FALSE)</f>
        <v>2013</v>
      </c>
    </row>
    <row r="335" spans="1:21" s="274" customFormat="1" ht="12.75" x14ac:dyDescent="0.2">
      <c r="A335" s="282" t="s">
        <v>335</v>
      </c>
      <c r="B335" s="282" t="s">
        <v>122</v>
      </c>
      <c r="C335" s="282" t="s">
        <v>660</v>
      </c>
      <c r="D335" s="283">
        <v>2014</v>
      </c>
      <c r="E335" s="282" t="s">
        <v>650</v>
      </c>
      <c r="F335" s="284">
        <v>60</v>
      </c>
      <c r="G335" s="285">
        <v>3</v>
      </c>
      <c r="H335" s="288">
        <v>0</v>
      </c>
      <c r="I335" s="285">
        <v>3</v>
      </c>
      <c r="J335" s="285">
        <v>37</v>
      </c>
      <c r="K335" s="284">
        <v>1</v>
      </c>
      <c r="L335" s="284">
        <v>1</v>
      </c>
      <c r="M335" s="284">
        <v>0</v>
      </c>
      <c r="N335" s="284">
        <v>30</v>
      </c>
      <c r="O335" s="284">
        <v>3</v>
      </c>
      <c r="P335" s="284">
        <v>106</v>
      </c>
      <c r="Q335" s="286">
        <v>4</v>
      </c>
      <c r="R335" s="274">
        <v>233</v>
      </c>
      <c r="S335" s="274">
        <v>11</v>
      </c>
      <c r="T335" s="287">
        <f t="shared" si="5"/>
        <v>2014</v>
      </c>
      <c r="U335" s="274">
        <f>VLOOKUP(A335,'[1]SB35 Determination Data'!$B$4:$F$542,5,FALSE)</f>
        <v>2014</v>
      </c>
    </row>
    <row r="336" spans="1:21" s="274" customFormat="1" ht="12.75" x14ac:dyDescent="0.2">
      <c r="A336" s="282" t="s">
        <v>335</v>
      </c>
      <c r="B336" s="282" t="s">
        <v>122</v>
      </c>
      <c r="C336" s="282" t="s">
        <v>660</v>
      </c>
      <c r="D336" s="283">
        <v>2015</v>
      </c>
      <c r="E336" s="282" t="s">
        <v>650</v>
      </c>
      <c r="F336" s="284">
        <v>60</v>
      </c>
      <c r="G336" s="285">
        <v>4</v>
      </c>
      <c r="H336" s="288">
        <v>0</v>
      </c>
      <c r="I336" s="285">
        <v>4</v>
      </c>
      <c r="J336" s="285">
        <v>37</v>
      </c>
      <c r="K336" s="284">
        <v>4</v>
      </c>
      <c r="L336" s="284">
        <v>0</v>
      </c>
      <c r="M336" s="284">
        <v>4</v>
      </c>
      <c r="N336" s="289">
        <v>30</v>
      </c>
      <c r="O336" s="284">
        <v>4</v>
      </c>
      <c r="P336" s="284">
        <v>106</v>
      </c>
      <c r="Q336" s="286">
        <v>17</v>
      </c>
      <c r="R336" s="274">
        <v>233</v>
      </c>
      <c r="S336" s="274">
        <v>29</v>
      </c>
      <c r="T336" s="287">
        <f t="shared" si="5"/>
        <v>2015</v>
      </c>
      <c r="U336" s="274">
        <f>VLOOKUP(A336,'[1]SB35 Determination Data'!$B$4:$F$542,5,FALSE)</f>
        <v>2014</v>
      </c>
    </row>
    <row r="337" spans="1:21" s="274" customFormat="1" ht="12.75" x14ac:dyDescent="0.2">
      <c r="A337" s="282" t="s">
        <v>335</v>
      </c>
      <c r="B337" s="282" t="s">
        <v>122</v>
      </c>
      <c r="C337" s="282" t="s">
        <v>660</v>
      </c>
      <c r="D337" s="283">
        <v>2016</v>
      </c>
      <c r="E337" s="282" t="s">
        <v>650</v>
      </c>
      <c r="F337" s="284">
        <v>60</v>
      </c>
      <c r="G337" s="285">
        <v>3</v>
      </c>
      <c r="H337" s="288">
        <v>0</v>
      </c>
      <c r="I337" s="285">
        <v>3</v>
      </c>
      <c r="J337" s="285">
        <v>37</v>
      </c>
      <c r="K337" s="284">
        <v>0</v>
      </c>
      <c r="L337" s="284">
        <v>0</v>
      </c>
      <c r="M337" s="284">
        <v>0</v>
      </c>
      <c r="N337" s="284">
        <v>30</v>
      </c>
      <c r="O337" s="284">
        <v>4</v>
      </c>
      <c r="P337" s="284">
        <v>106</v>
      </c>
      <c r="Q337" s="286">
        <v>17</v>
      </c>
      <c r="R337" s="274">
        <v>233</v>
      </c>
      <c r="S337" s="274">
        <v>24</v>
      </c>
      <c r="T337" s="287">
        <f t="shared" si="5"/>
        <v>2016</v>
      </c>
      <c r="U337" s="274">
        <f>VLOOKUP(A337,'[1]SB35 Determination Data'!$B$4:$F$542,5,FALSE)</f>
        <v>2014</v>
      </c>
    </row>
    <row r="338" spans="1:21" s="274" customFormat="1" ht="12.75" x14ac:dyDescent="0.2">
      <c r="A338" s="282" t="s">
        <v>335</v>
      </c>
      <c r="B338" s="282" t="s">
        <v>122</v>
      </c>
      <c r="C338" s="282" t="s">
        <v>660</v>
      </c>
      <c r="D338" s="283">
        <v>2017</v>
      </c>
      <c r="E338" s="282" t="s">
        <v>650</v>
      </c>
      <c r="F338" s="284">
        <v>60</v>
      </c>
      <c r="G338" s="285">
        <v>9</v>
      </c>
      <c r="H338" s="288">
        <v>0</v>
      </c>
      <c r="I338" s="285">
        <v>9</v>
      </c>
      <c r="J338" s="285">
        <v>37</v>
      </c>
      <c r="K338" s="284">
        <v>8</v>
      </c>
      <c r="L338" s="284">
        <v>0</v>
      </c>
      <c r="M338" s="284">
        <v>8</v>
      </c>
      <c r="N338" s="284">
        <v>30</v>
      </c>
      <c r="O338" s="284">
        <v>3</v>
      </c>
      <c r="P338" s="284">
        <v>106</v>
      </c>
      <c r="Q338" s="286">
        <v>14</v>
      </c>
      <c r="R338" s="274">
        <v>233</v>
      </c>
      <c r="S338" s="274">
        <v>34</v>
      </c>
      <c r="T338" s="287">
        <f t="shared" si="5"/>
        <v>2017</v>
      </c>
      <c r="U338" s="274">
        <f>VLOOKUP(A338,'[1]SB35 Determination Data'!$B$4:$F$542,5,FALSE)</f>
        <v>2014</v>
      </c>
    </row>
    <row r="339" spans="1:21" s="274" customFormat="1" ht="12.75" x14ac:dyDescent="0.2">
      <c r="A339" s="282" t="s">
        <v>337</v>
      </c>
      <c r="B339" s="282" t="s">
        <v>220</v>
      </c>
      <c r="C339" s="282" t="s">
        <v>531</v>
      </c>
      <c r="D339" s="283">
        <v>2015</v>
      </c>
      <c r="E339" s="282" t="s">
        <v>650</v>
      </c>
      <c r="F339" s="284">
        <v>396</v>
      </c>
      <c r="G339" s="285">
        <v>0</v>
      </c>
      <c r="H339" s="288">
        <v>0</v>
      </c>
      <c r="I339" s="285">
        <v>0</v>
      </c>
      <c r="J339" s="285">
        <v>277</v>
      </c>
      <c r="K339" s="284">
        <v>0</v>
      </c>
      <c r="L339" s="284">
        <v>0</v>
      </c>
      <c r="M339" s="284">
        <v>0</v>
      </c>
      <c r="N339" s="284">
        <v>243</v>
      </c>
      <c r="O339" s="284">
        <v>2</v>
      </c>
      <c r="P339" s="284">
        <v>546</v>
      </c>
      <c r="Q339" s="286">
        <v>0</v>
      </c>
      <c r="R339" s="274">
        <v>1462</v>
      </c>
      <c r="S339" s="274">
        <v>2</v>
      </c>
      <c r="T339" s="287">
        <f t="shared" si="5"/>
        <v>2016</v>
      </c>
      <c r="U339" s="274">
        <f>VLOOKUP(A339,'[1]SB35 Determination Data'!$B$4:$F$542,5,FALSE)</f>
        <v>2016</v>
      </c>
    </row>
    <row r="340" spans="1:21" s="274" customFormat="1" ht="12.75" x14ac:dyDescent="0.2">
      <c r="A340" s="282" t="s">
        <v>337</v>
      </c>
      <c r="B340" s="282" t="s">
        <v>220</v>
      </c>
      <c r="C340" s="282" t="s">
        <v>531</v>
      </c>
      <c r="D340" s="283">
        <v>2016</v>
      </c>
      <c r="E340" s="282" t="s">
        <v>650</v>
      </c>
      <c r="F340" s="284">
        <v>396</v>
      </c>
      <c r="G340" s="285">
        <v>0</v>
      </c>
      <c r="H340" s="288">
        <v>0</v>
      </c>
      <c r="I340" s="285">
        <v>0</v>
      </c>
      <c r="J340" s="285">
        <v>277</v>
      </c>
      <c r="K340" s="284">
        <v>0</v>
      </c>
      <c r="L340" s="284">
        <v>0</v>
      </c>
      <c r="M340" s="284">
        <v>0</v>
      </c>
      <c r="N340" s="284">
        <v>243</v>
      </c>
      <c r="O340" s="284">
        <v>44</v>
      </c>
      <c r="P340" s="284">
        <v>546</v>
      </c>
      <c r="Q340" s="286">
        <v>1</v>
      </c>
      <c r="R340" s="274">
        <v>1462</v>
      </c>
      <c r="S340" s="274">
        <v>45</v>
      </c>
      <c r="T340" s="287">
        <f t="shared" si="5"/>
        <v>2016</v>
      </c>
      <c r="U340" s="274">
        <f>VLOOKUP(A340,'[1]SB35 Determination Data'!$B$4:$F$542,5,FALSE)</f>
        <v>2016</v>
      </c>
    </row>
    <row r="341" spans="1:21" s="274" customFormat="1" ht="12.75" x14ac:dyDescent="0.2">
      <c r="A341" s="282" t="s">
        <v>337</v>
      </c>
      <c r="B341" s="282" t="s">
        <v>220</v>
      </c>
      <c r="C341" s="282" t="s">
        <v>531</v>
      </c>
      <c r="D341" s="283">
        <v>2017</v>
      </c>
      <c r="E341" s="282" t="s">
        <v>650</v>
      </c>
      <c r="F341" s="284">
        <v>396</v>
      </c>
      <c r="G341" s="285">
        <v>0</v>
      </c>
      <c r="H341" s="288">
        <v>0</v>
      </c>
      <c r="I341" s="285">
        <v>0</v>
      </c>
      <c r="J341" s="285">
        <v>277</v>
      </c>
      <c r="K341" s="284">
        <v>0</v>
      </c>
      <c r="L341" s="284">
        <v>0</v>
      </c>
      <c r="M341" s="284">
        <v>0</v>
      </c>
      <c r="N341" s="289">
        <v>243</v>
      </c>
      <c r="O341" s="284">
        <v>9</v>
      </c>
      <c r="P341" s="284">
        <v>546</v>
      </c>
      <c r="Q341" s="286">
        <v>21</v>
      </c>
      <c r="R341" s="274">
        <v>1462</v>
      </c>
      <c r="S341" s="274">
        <v>30</v>
      </c>
      <c r="T341" s="287">
        <f t="shared" si="5"/>
        <v>2017</v>
      </c>
      <c r="U341" s="274">
        <f>VLOOKUP(A341,'[1]SB35 Determination Data'!$B$4:$F$542,5,FALSE)</f>
        <v>2016</v>
      </c>
    </row>
    <row r="342" spans="1:21" s="274" customFormat="1" ht="12.75" x14ac:dyDescent="0.2">
      <c r="A342" s="282" t="s">
        <v>339</v>
      </c>
      <c r="B342" s="282" t="s">
        <v>481</v>
      </c>
      <c r="C342" s="282" t="s">
        <v>649</v>
      </c>
      <c r="D342" s="283">
        <v>2017</v>
      </c>
      <c r="E342" s="282" t="s">
        <v>650</v>
      </c>
      <c r="F342" s="284">
        <v>946</v>
      </c>
      <c r="G342" s="285">
        <v>43</v>
      </c>
      <c r="H342" s="288">
        <v>0</v>
      </c>
      <c r="I342" s="285">
        <v>43</v>
      </c>
      <c r="J342" s="285">
        <v>661</v>
      </c>
      <c r="K342" s="284">
        <v>0</v>
      </c>
      <c r="L342" s="284">
        <v>0</v>
      </c>
      <c r="M342" s="284">
        <v>0</v>
      </c>
      <c r="N342" s="284">
        <v>772</v>
      </c>
      <c r="O342" s="284">
        <v>0</v>
      </c>
      <c r="P342" s="284">
        <v>1817</v>
      </c>
      <c r="Q342" s="286">
        <v>0</v>
      </c>
      <c r="R342" s="274">
        <v>4196</v>
      </c>
      <c r="S342" s="274">
        <v>43</v>
      </c>
      <c r="T342" s="287">
        <f t="shared" si="5"/>
        <v>2017</v>
      </c>
      <c r="U342" s="274">
        <f>VLOOKUP(A342,'[1]SB35 Determination Data'!$B$4:$F$542,5,FALSE)</f>
        <v>2014</v>
      </c>
    </row>
    <row r="343" spans="1:21" s="274" customFormat="1" ht="12.75" x14ac:dyDescent="0.2">
      <c r="A343" s="282" t="s">
        <v>340</v>
      </c>
      <c r="B343" s="282" t="s">
        <v>262</v>
      </c>
      <c r="C343" s="282" t="s">
        <v>649</v>
      </c>
      <c r="D343" s="283">
        <v>2014</v>
      </c>
      <c r="E343" s="282" t="s">
        <v>650</v>
      </c>
      <c r="F343" s="284">
        <v>308</v>
      </c>
      <c r="G343" s="285">
        <v>0</v>
      </c>
      <c r="H343" s="288">
        <v>0</v>
      </c>
      <c r="I343" s="285">
        <v>0</v>
      </c>
      <c r="J343" s="285">
        <v>182</v>
      </c>
      <c r="K343" s="284">
        <v>0</v>
      </c>
      <c r="L343" s="284">
        <v>0</v>
      </c>
      <c r="M343" s="284">
        <v>0</v>
      </c>
      <c r="N343" s="284">
        <v>190</v>
      </c>
      <c r="O343" s="284">
        <v>0</v>
      </c>
      <c r="P343" s="284">
        <v>466</v>
      </c>
      <c r="Q343" s="286">
        <v>52</v>
      </c>
      <c r="R343" s="274">
        <v>1146</v>
      </c>
      <c r="S343" s="274">
        <v>52</v>
      </c>
      <c r="T343" s="287">
        <f t="shared" si="5"/>
        <v>2014</v>
      </c>
      <c r="U343" s="274">
        <f>VLOOKUP(A343,'[1]SB35 Determination Data'!$B$4:$F$542,5,FALSE)</f>
        <v>2014</v>
      </c>
    </row>
    <row r="344" spans="1:21" s="274" customFormat="1" ht="12.75" x14ac:dyDescent="0.2">
      <c r="A344" s="282" t="s">
        <v>340</v>
      </c>
      <c r="B344" s="282" t="s">
        <v>262</v>
      </c>
      <c r="C344" s="282" t="s">
        <v>649</v>
      </c>
      <c r="D344" s="283">
        <v>2015</v>
      </c>
      <c r="E344" s="282" t="s">
        <v>650</v>
      </c>
      <c r="F344" s="284">
        <v>308</v>
      </c>
      <c r="G344" s="285">
        <v>0</v>
      </c>
      <c r="H344" s="288">
        <v>0</v>
      </c>
      <c r="I344" s="285">
        <v>0</v>
      </c>
      <c r="J344" s="285">
        <v>182</v>
      </c>
      <c r="K344" s="284">
        <v>0</v>
      </c>
      <c r="L344" s="284">
        <v>0</v>
      </c>
      <c r="M344" s="284">
        <v>0</v>
      </c>
      <c r="N344" s="284">
        <v>190</v>
      </c>
      <c r="O344" s="284">
        <v>0</v>
      </c>
      <c r="P344" s="284">
        <v>466</v>
      </c>
      <c r="Q344" s="286">
        <v>127</v>
      </c>
      <c r="R344" s="274">
        <v>1146</v>
      </c>
      <c r="S344" s="274">
        <v>127</v>
      </c>
      <c r="T344" s="287">
        <f t="shared" si="5"/>
        <v>2015</v>
      </c>
      <c r="U344" s="274">
        <f>VLOOKUP(A344,'[1]SB35 Determination Data'!$B$4:$F$542,5,FALSE)</f>
        <v>2014</v>
      </c>
    </row>
    <row r="345" spans="1:21" s="274" customFormat="1" ht="12.75" x14ac:dyDescent="0.2">
      <c r="A345" s="282" t="s">
        <v>340</v>
      </c>
      <c r="B345" s="282" t="s">
        <v>262</v>
      </c>
      <c r="C345" s="282" t="s">
        <v>649</v>
      </c>
      <c r="D345" s="283">
        <v>2016</v>
      </c>
      <c r="E345" s="282" t="s">
        <v>650</v>
      </c>
      <c r="F345" s="284">
        <v>308</v>
      </c>
      <c r="G345" s="285">
        <v>0</v>
      </c>
      <c r="H345" s="288">
        <v>0</v>
      </c>
      <c r="I345" s="285">
        <v>0</v>
      </c>
      <c r="J345" s="285">
        <v>182</v>
      </c>
      <c r="K345" s="284">
        <v>0</v>
      </c>
      <c r="L345" s="284">
        <v>0</v>
      </c>
      <c r="M345" s="284">
        <v>0</v>
      </c>
      <c r="N345" s="284">
        <v>190</v>
      </c>
      <c r="O345" s="284">
        <v>0</v>
      </c>
      <c r="P345" s="284">
        <v>466</v>
      </c>
      <c r="Q345" s="286">
        <v>15</v>
      </c>
      <c r="R345" s="274">
        <v>1146</v>
      </c>
      <c r="S345" s="274">
        <v>15</v>
      </c>
      <c r="T345" s="287">
        <f t="shared" si="5"/>
        <v>2016</v>
      </c>
      <c r="U345" s="274">
        <f>VLOOKUP(A345,'[1]SB35 Determination Data'!$B$4:$F$542,5,FALSE)</f>
        <v>2014</v>
      </c>
    </row>
    <row r="346" spans="1:21" s="274" customFormat="1" ht="12.75" x14ac:dyDescent="0.2">
      <c r="A346" s="282" t="s">
        <v>340</v>
      </c>
      <c r="B346" s="282" t="s">
        <v>262</v>
      </c>
      <c r="C346" s="282" t="s">
        <v>649</v>
      </c>
      <c r="D346" s="283">
        <v>2017</v>
      </c>
      <c r="E346" s="282" t="s">
        <v>650</v>
      </c>
      <c r="F346" s="284">
        <v>308</v>
      </c>
      <c r="G346" s="285">
        <v>0</v>
      </c>
      <c r="H346" s="288">
        <v>0</v>
      </c>
      <c r="I346" s="285">
        <v>0</v>
      </c>
      <c r="J346" s="285">
        <v>182</v>
      </c>
      <c r="K346" s="284">
        <v>0</v>
      </c>
      <c r="L346" s="284">
        <v>0</v>
      </c>
      <c r="M346" s="284">
        <v>0</v>
      </c>
      <c r="N346" s="289">
        <v>190</v>
      </c>
      <c r="O346" s="284">
        <v>0</v>
      </c>
      <c r="P346" s="284">
        <v>466</v>
      </c>
      <c r="Q346" s="286">
        <v>77</v>
      </c>
      <c r="R346" s="274">
        <v>1146</v>
      </c>
      <c r="S346" s="274">
        <v>77</v>
      </c>
      <c r="T346" s="287">
        <f t="shared" si="5"/>
        <v>2017</v>
      </c>
      <c r="U346" s="274">
        <f>VLOOKUP(A346,'[1]SB35 Determination Data'!$B$4:$F$542,5,FALSE)</f>
        <v>2014</v>
      </c>
    </row>
    <row r="347" spans="1:21" s="274" customFormat="1" ht="12.75" x14ac:dyDescent="0.2">
      <c r="A347" s="282" t="s">
        <v>341</v>
      </c>
      <c r="B347" s="282" t="s">
        <v>714</v>
      </c>
      <c r="C347" s="282" t="s">
        <v>531</v>
      </c>
      <c r="D347" s="283">
        <v>2015</v>
      </c>
      <c r="E347" s="282" t="s">
        <v>650</v>
      </c>
      <c r="F347" s="284">
        <v>211</v>
      </c>
      <c r="G347" s="285">
        <v>0</v>
      </c>
      <c r="H347" s="288">
        <v>0</v>
      </c>
      <c r="I347" s="285">
        <v>0</v>
      </c>
      <c r="J347" s="285">
        <v>163</v>
      </c>
      <c r="K347" s="284">
        <v>64</v>
      </c>
      <c r="L347" s="284">
        <v>0</v>
      </c>
      <c r="M347" s="284">
        <v>64</v>
      </c>
      <c r="N347" s="284">
        <v>121</v>
      </c>
      <c r="O347" s="284">
        <v>50</v>
      </c>
      <c r="P347" s="284">
        <v>470</v>
      </c>
      <c r="Q347" s="286">
        <v>0</v>
      </c>
      <c r="R347" s="274">
        <v>965</v>
      </c>
      <c r="S347" s="274">
        <v>114</v>
      </c>
      <c r="T347" s="287">
        <f t="shared" si="5"/>
        <v>2016</v>
      </c>
      <c r="U347" s="274">
        <f>VLOOKUP(A347,'[1]SB35 Determination Data'!$B$4:$F$542,5,FALSE)</f>
        <v>2016</v>
      </c>
    </row>
    <row r="348" spans="1:21" s="274" customFormat="1" ht="12.75" x14ac:dyDescent="0.2">
      <c r="A348" s="282" t="s">
        <v>341</v>
      </c>
      <c r="B348" s="282" t="s">
        <v>714</v>
      </c>
      <c r="C348" s="282" t="s">
        <v>531</v>
      </c>
      <c r="D348" s="283">
        <v>2016</v>
      </c>
      <c r="E348" s="282" t="s">
        <v>650</v>
      </c>
      <c r="F348" s="284">
        <v>211</v>
      </c>
      <c r="G348" s="285">
        <v>0</v>
      </c>
      <c r="H348" s="288">
        <v>0</v>
      </c>
      <c r="I348" s="285">
        <v>0</v>
      </c>
      <c r="J348" s="285">
        <v>163</v>
      </c>
      <c r="K348" s="284">
        <v>9</v>
      </c>
      <c r="L348" s="284">
        <v>0</v>
      </c>
      <c r="M348" s="284">
        <v>9</v>
      </c>
      <c r="N348" s="284">
        <v>121</v>
      </c>
      <c r="O348" s="284">
        <v>12</v>
      </c>
      <c r="P348" s="284">
        <v>470</v>
      </c>
      <c r="Q348" s="286">
        <v>0</v>
      </c>
      <c r="R348" s="274">
        <v>965</v>
      </c>
      <c r="S348" s="274">
        <v>21</v>
      </c>
      <c r="T348" s="287">
        <f t="shared" si="5"/>
        <v>2016</v>
      </c>
      <c r="U348" s="274">
        <f>VLOOKUP(A348,'[1]SB35 Determination Data'!$B$4:$F$542,5,FALSE)</f>
        <v>2016</v>
      </c>
    </row>
    <row r="349" spans="1:21" s="274" customFormat="1" ht="12.75" x14ac:dyDescent="0.2">
      <c r="A349" s="282" t="s">
        <v>341</v>
      </c>
      <c r="B349" s="282" t="s">
        <v>714</v>
      </c>
      <c r="C349" s="282" t="s">
        <v>531</v>
      </c>
      <c r="D349" s="283">
        <v>2017</v>
      </c>
      <c r="E349" s="282" t="s">
        <v>650</v>
      </c>
      <c r="F349" s="284">
        <v>211</v>
      </c>
      <c r="G349" s="285">
        <v>43</v>
      </c>
      <c r="H349" s="288">
        <v>43</v>
      </c>
      <c r="I349" s="285">
        <v>0</v>
      </c>
      <c r="J349" s="285">
        <v>163</v>
      </c>
      <c r="K349" s="284">
        <v>19</v>
      </c>
      <c r="L349" s="284">
        <v>0</v>
      </c>
      <c r="M349" s="284">
        <v>19</v>
      </c>
      <c r="N349" s="284">
        <v>121</v>
      </c>
      <c r="O349" s="284">
        <v>46</v>
      </c>
      <c r="P349" s="284">
        <v>470</v>
      </c>
      <c r="Q349" s="286">
        <v>11</v>
      </c>
      <c r="R349" s="274">
        <v>965</v>
      </c>
      <c r="S349" s="274">
        <v>119</v>
      </c>
      <c r="T349" s="287">
        <f t="shared" si="5"/>
        <v>2017</v>
      </c>
      <c r="U349" s="274">
        <f>VLOOKUP(A349,'[1]SB35 Determination Data'!$B$4:$F$542,5,FALSE)</f>
        <v>2016</v>
      </c>
    </row>
    <row r="350" spans="1:21" s="274" customFormat="1" ht="12.75" x14ac:dyDescent="0.2">
      <c r="A350" s="282" t="s">
        <v>342</v>
      </c>
      <c r="B350" s="282" t="s">
        <v>663</v>
      </c>
      <c r="C350" s="282" t="s">
        <v>654</v>
      </c>
      <c r="D350" s="283">
        <v>2015</v>
      </c>
      <c r="E350" s="282" t="s">
        <v>650</v>
      </c>
      <c r="F350" s="284">
        <v>50</v>
      </c>
      <c r="G350" s="285">
        <v>0</v>
      </c>
      <c r="H350" s="288">
        <v>0</v>
      </c>
      <c r="I350" s="285">
        <v>0</v>
      </c>
      <c r="J350" s="285">
        <v>24</v>
      </c>
      <c r="K350" s="284">
        <v>0</v>
      </c>
      <c r="L350" s="284">
        <v>0</v>
      </c>
      <c r="M350" s="284">
        <v>0</v>
      </c>
      <c r="N350" s="289">
        <v>30</v>
      </c>
      <c r="O350" s="284">
        <v>59</v>
      </c>
      <c r="P350" s="284">
        <v>93</v>
      </c>
      <c r="Q350" s="286">
        <v>0</v>
      </c>
      <c r="R350" s="274">
        <v>197</v>
      </c>
      <c r="S350" s="274">
        <v>59</v>
      </c>
      <c r="T350" s="287">
        <f t="shared" si="5"/>
        <v>2015</v>
      </c>
      <c r="U350" s="274">
        <f>VLOOKUP(A350,'[1]SB35 Determination Data'!$B$4:$F$542,5,FALSE)</f>
        <v>2015</v>
      </c>
    </row>
    <row r="351" spans="1:21" s="274" customFormat="1" ht="12.75" x14ac:dyDescent="0.2">
      <c r="A351" s="282" t="s">
        <v>342</v>
      </c>
      <c r="B351" s="282" t="s">
        <v>663</v>
      </c>
      <c r="C351" s="282" t="s">
        <v>654</v>
      </c>
      <c r="D351" s="283">
        <v>2016</v>
      </c>
      <c r="E351" s="282" t="s">
        <v>650</v>
      </c>
      <c r="F351" s="284">
        <v>50</v>
      </c>
      <c r="G351" s="285">
        <v>0</v>
      </c>
      <c r="H351" s="288">
        <v>0</v>
      </c>
      <c r="I351" s="285">
        <v>0</v>
      </c>
      <c r="J351" s="285">
        <v>24</v>
      </c>
      <c r="K351" s="284">
        <v>54</v>
      </c>
      <c r="L351" s="284">
        <v>54</v>
      </c>
      <c r="M351" s="284">
        <v>0</v>
      </c>
      <c r="N351" s="289">
        <v>30</v>
      </c>
      <c r="O351" s="284">
        <v>0</v>
      </c>
      <c r="P351" s="284">
        <v>93</v>
      </c>
      <c r="Q351" s="286">
        <v>43</v>
      </c>
      <c r="R351" s="274">
        <v>197</v>
      </c>
      <c r="S351" s="274">
        <v>97</v>
      </c>
      <c r="T351" s="287">
        <f t="shared" si="5"/>
        <v>2016</v>
      </c>
      <c r="U351" s="274">
        <f>VLOOKUP(A351,'[1]SB35 Determination Data'!$B$4:$F$542,5,FALSE)</f>
        <v>2015</v>
      </c>
    </row>
    <row r="352" spans="1:21" s="274" customFormat="1" ht="12.75" x14ac:dyDescent="0.2">
      <c r="A352" s="282" t="s">
        <v>342</v>
      </c>
      <c r="B352" s="282" t="s">
        <v>663</v>
      </c>
      <c r="C352" s="282" t="s">
        <v>654</v>
      </c>
      <c r="D352" s="283">
        <v>2017</v>
      </c>
      <c r="E352" s="282" t="s">
        <v>650</v>
      </c>
      <c r="F352" s="284">
        <v>50</v>
      </c>
      <c r="G352" s="285">
        <v>0</v>
      </c>
      <c r="H352" s="288">
        <v>0</v>
      </c>
      <c r="I352" s="285">
        <v>0</v>
      </c>
      <c r="J352" s="285">
        <v>24</v>
      </c>
      <c r="K352" s="284">
        <v>0</v>
      </c>
      <c r="L352" s="284">
        <v>0</v>
      </c>
      <c r="M352" s="284">
        <v>0</v>
      </c>
      <c r="N352" s="284">
        <v>30</v>
      </c>
      <c r="O352" s="284">
        <v>0</v>
      </c>
      <c r="P352" s="284">
        <v>93</v>
      </c>
      <c r="Q352" s="286">
        <v>104</v>
      </c>
      <c r="R352" s="274">
        <v>197</v>
      </c>
      <c r="S352" s="274">
        <v>104</v>
      </c>
      <c r="T352" s="287">
        <f t="shared" si="5"/>
        <v>2017</v>
      </c>
      <c r="U352" s="274">
        <f>VLOOKUP(A352,'[1]SB35 Determination Data'!$B$4:$F$542,5,FALSE)</f>
        <v>2015</v>
      </c>
    </row>
    <row r="353" spans="1:21" s="274" customFormat="1" ht="12.75" x14ac:dyDescent="0.2">
      <c r="A353" s="282" t="s">
        <v>344</v>
      </c>
      <c r="B353" s="282" t="s">
        <v>651</v>
      </c>
      <c r="C353" s="282" t="s">
        <v>660</v>
      </c>
      <c r="D353" s="283">
        <v>2014</v>
      </c>
      <c r="E353" s="282" t="s">
        <v>650</v>
      </c>
      <c r="F353" s="284">
        <v>3</v>
      </c>
      <c r="G353" s="285">
        <v>0</v>
      </c>
      <c r="H353" s="288">
        <v>0</v>
      </c>
      <c r="I353" s="285">
        <v>0</v>
      </c>
      <c r="J353" s="285">
        <v>2</v>
      </c>
      <c r="K353" s="284">
        <v>0</v>
      </c>
      <c r="L353" s="284">
        <v>0</v>
      </c>
      <c r="M353" s="284">
        <v>0</v>
      </c>
      <c r="N353" s="284">
        <v>2</v>
      </c>
      <c r="O353" s="284">
        <v>0</v>
      </c>
      <c r="P353" s="284">
        <v>5</v>
      </c>
      <c r="Q353" s="286">
        <v>0</v>
      </c>
      <c r="R353" s="274">
        <v>12</v>
      </c>
      <c r="S353" s="274">
        <v>0</v>
      </c>
      <c r="T353" s="287">
        <f t="shared" si="5"/>
        <v>2014</v>
      </c>
      <c r="U353" s="274">
        <f>VLOOKUP(A353,'[1]SB35 Determination Data'!$B$4:$F$542,5,FALSE)</f>
        <v>2014</v>
      </c>
    </row>
    <row r="354" spans="1:21" s="274" customFormat="1" ht="12.75" x14ac:dyDescent="0.2">
      <c r="A354" s="282" t="s">
        <v>344</v>
      </c>
      <c r="B354" s="282" t="s">
        <v>651</v>
      </c>
      <c r="C354" s="282" t="s">
        <v>660</v>
      </c>
      <c r="D354" s="283">
        <v>2015</v>
      </c>
      <c r="E354" s="282" t="s">
        <v>650</v>
      </c>
      <c r="F354" s="284">
        <v>3</v>
      </c>
      <c r="G354" s="285">
        <v>0</v>
      </c>
      <c r="H354" s="288">
        <v>0</v>
      </c>
      <c r="I354" s="285">
        <v>0</v>
      </c>
      <c r="J354" s="285">
        <v>2</v>
      </c>
      <c r="K354" s="284">
        <v>1</v>
      </c>
      <c r="L354" s="284">
        <v>1</v>
      </c>
      <c r="M354" s="284">
        <v>0</v>
      </c>
      <c r="N354" s="284">
        <v>2</v>
      </c>
      <c r="O354" s="284">
        <v>1</v>
      </c>
      <c r="P354" s="284">
        <v>5</v>
      </c>
      <c r="Q354" s="286">
        <v>0</v>
      </c>
      <c r="R354" s="274">
        <v>12</v>
      </c>
      <c r="S354" s="274">
        <v>2</v>
      </c>
      <c r="T354" s="287">
        <f t="shared" si="5"/>
        <v>2015</v>
      </c>
      <c r="U354" s="274">
        <f>VLOOKUP(A354,'[1]SB35 Determination Data'!$B$4:$F$542,5,FALSE)</f>
        <v>2014</v>
      </c>
    </row>
    <row r="355" spans="1:21" s="274" customFormat="1" ht="12.75" x14ac:dyDescent="0.2">
      <c r="A355" s="282" t="s">
        <v>344</v>
      </c>
      <c r="B355" s="282" t="s">
        <v>651</v>
      </c>
      <c r="C355" s="282" t="s">
        <v>660</v>
      </c>
      <c r="D355" s="283">
        <v>2017</v>
      </c>
      <c r="E355" s="282" t="s">
        <v>650</v>
      </c>
      <c r="F355" s="284">
        <v>3</v>
      </c>
      <c r="G355" s="285">
        <v>0</v>
      </c>
      <c r="H355" s="288">
        <v>0</v>
      </c>
      <c r="I355" s="285">
        <v>0</v>
      </c>
      <c r="J355" s="285">
        <v>2</v>
      </c>
      <c r="K355" s="284">
        <v>0</v>
      </c>
      <c r="L355" s="284">
        <v>0</v>
      </c>
      <c r="M355" s="284">
        <v>0</v>
      </c>
      <c r="N355" s="284">
        <v>2</v>
      </c>
      <c r="O355" s="284">
        <v>0</v>
      </c>
      <c r="P355" s="284">
        <v>5</v>
      </c>
      <c r="Q355" s="286">
        <v>0</v>
      </c>
      <c r="R355" s="274">
        <v>12</v>
      </c>
      <c r="S355" s="274">
        <v>0</v>
      </c>
      <c r="T355" s="287">
        <f t="shared" si="5"/>
        <v>2017</v>
      </c>
      <c r="U355" s="274">
        <f>VLOOKUP(A355,'[1]SB35 Determination Data'!$B$4:$F$542,5,FALSE)</f>
        <v>2014</v>
      </c>
    </row>
    <row r="356" spans="1:21" s="274" customFormat="1" ht="12.75" x14ac:dyDescent="0.2">
      <c r="A356" s="282" t="s">
        <v>346</v>
      </c>
      <c r="B356" s="282" t="s">
        <v>262</v>
      </c>
      <c r="C356" s="282" t="s">
        <v>649</v>
      </c>
      <c r="D356" s="283">
        <v>2014</v>
      </c>
      <c r="E356" s="282" t="s">
        <v>650</v>
      </c>
      <c r="F356" s="284">
        <v>210</v>
      </c>
      <c r="G356" s="285">
        <v>0</v>
      </c>
      <c r="H356" s="288">
        <v>0</v>
      </c>
      <c r="I356" s="285">
        <v>0</v>
      </c>
      <c r="J356" s="285">
        <v>123</v>
      </c>
      <c r="K356" s="284">
        <v>0</v>
      </c>
      <c r="L356" s="284">
        <v>0</v>
      </c>
      <c r="M356" s="284">
        <v>0</v>
      </c>
      <c r="N356" s="289">
        <v>135</v>
      </c>
      <c r="O356" s="284">
        <v>20</v>
      </c>
      <c r="P356" s="284">
        <v>346</v>
      </c>
      <c r="Q356" s="286">
        <v>12</v>
      </c>
      <c r="R356" s="274">
        <v>814</v>
      </c>
      <c r="S356" s="274">
        <v>32</v>
      </c>
      <c r="T356" s="287">
        <f t="shared" si="5"/>
        <v>2014</v>
      </c>
      <c r="U356" s="274">
        <f>VLOOKUP(A356,'[1]SB35 Determination Data'!$B$4:$F$542,5,FALSE)</f>
        <v>2014</v>
      </c>
    </row>
    <row r="357" spans="1:21" s="274" customFormat="1" ht="12.75" x14ac:dyDescent="0.2">
      <c r="A357" s="282" t="s">
        <v>346</v>
      </c>
      <c r="B357" s="282" t="s">
        <v>262</v>
      </c>
      <c r="C357" s="282" t="s">
        <v>649</v>
      </c>
      <c r="D357" s="283">
        <v>2015</v>
      </c>
      <c r="E357" s="282" t="s">
        <v>650</v>
      </c>
      <c r="F357" s="284">
        <v>210</v>
      </c>
      <c r="G357" s="285">
        <v>0</v>
      </c>
      <c r="H357" s="288">
        <v>0</v>
      </c>
      <c r="I357" s="285">
        <v>0</v>
      </c>
      <c r="J357" s="285">
        <v>123</v>
      </c>
      <c r="K357" s="284">
        <v>0</v>
      </c>
      <c r="L357" s="284">
        <v>0</v>
      </c>
      <c r="M357" s="284">
        <v>0</v>
      </c>
      <c r="N357" s="284">
        <v>135</v>
      </c>
      <c r="O357" s="284">
        <v>50</v>
      </c>
      <c r="P357" s="284">
        <v>346</v>
      </c>
      <c r="Q357" s="286">
        <v>13</v>
      </c>
      <c r="R357" s="274">
        <v>814</v>
      </c>
      <c r="S357" s="274">
        <v>63</v>
      </c>
      <c r="T357" s="287">
        <f t="shared" si="5"/>
        <v>2015</v>
      </c>
      <c r="U357" s="274">
        <f>VLOOKUP(A357,'[1]SB35 Determination Data'!$B$4:$F$542,5,FALSE)</f>
        <v>2014</v>
      </c>
    </row>
    <row r="358" spans="1:21" s="274" customFormat="1" ht="12.75" x14ac:dyDescent="0.2">
      <c r="A358" s="282" t="s">
        <v>346</v>
      </c>
      <c r="B358" s="282" t="s">
        <v>262</v>
      </c>
      <c r="C358" s="282" t="s">
        <v>649</v>
      </c>
      <c r="D358" s="283">
        <v>2016</v>
      </c>
      <c r="E358" s="282" t="s">
        <v>650</v>
      </c>
      <c r="F358" s="284">
        <v>210</v>
      </c>
      <c r="G358" s="285">
        <v>0</v>
      </c>
      <c r="H358" s="288">
        <v>0</v>
      </c>
      <c r="I358" s="285">
        <v>0</v>
      </c>
      <c r="J358" s="285">
        <v>123</v>
      </c>
      <c r="K358" s="284">
        <v>6</v>
      </c>
      <c r="L358" s="284">
        <v>6</v>
      </c>
      <c r="M358" s="284">
        <v>0</v>
      </c>
      <c r="N358" s="284">
        <v>135</v>
      </c>
      <c r="O358" s="284">
        <v>0</v>
      </c>
      <c r="P358" s="284">
        <v>346</v>
      </c>
      <c r="Q358" s="286">
        <v>44</v>
      </c>
      <c r="R358" s="274">
        <v>814</v>
      </c>
      <c r="S358" s="274">
        <v>50</v>
      </c>
      <c r="T358" s="287">
        <f t="shared" si="5"/>
        <v>2016</v>
      </c>
      <c r="U358" s="274">
        <f>VLOOKUP(A358,'[1]SB35 Determination Data'!$B$4:$F$542,5,FALSE)</f>
        <v>2014</v>
      </c>
    </row>
    <row r="359" spans="1:21" s="274" customFormat="1" ht="12.75" x14ac:dyDescent="0.2">
      <c r="A359" s="282" t="s">
        <v>346</v>
      </c>
      <c r="B359" s="282" t="s">
        <v>262</v>
      </c>
      <c r="C359" s="282" t="s">
        <v>649</v>
      </c>
      <c r="D359" s="283">
        <v>2017</v>
      </c>
      <c r="E359" s="282" t="s">
        <v>650</v>
      </c>
      <c r="F359" s="284">
        <v>210</v>
      </c>
      <c r="G359" s="285">
        <v>0</v>
      </c>
      <c r="H359" s="288">
        <v>0</v>
      </c>
      <c r="I359" s="285">
        <v>0</v>
      </c>
      <c r="J359" s="285">
        <v>123</v>
      </c>
      <c r="K359" s="284">
        <v>0</v>
      </c>
      <c r="L359" s="284">
        <v>0</v>
      </c>
      <c r="M359" s="284">
        <v>0</v>
      </c>
      <c r="N359" s="284">
        <v>135</v>
      </c>
      <c r="O359" s="284">
        <v>0</v>
      </c>
      <c r="P359" s="284">
        <v>346</v>
      </c>
      <c r="Q359" s="286">
        <v>135</v>
      </c>
      <c r="R359" s="274">
        <v>814</v>
      </c>
      <c r="S359" s="274">
        <v>135</v>
      </c>
      <c r="T359" s="287">
        <f t="shared" si="5"/>
        <v>2017</v>
      </c>
      <c r="U359" s="274">
        <f>VLOOKUP(A359,'[1]SB35 Determination Data'!$B$4:$F$542,5,FALSE)</f>
        <v>2014</v>
      </c>
    </row>
    <row r="360" spans="1:21" s="274" customFormat="1" ht="12.75" x14ac:dyDescent="0.2">
      <c r="A360" s="282" t="s">
        <v>348</v>
      </c>
      <c r="B360" s="282" t="s">
        <v>262</v>
      </c>
      <c r="C360" s="282" t="s">
        <v>649</v>
      </c>
      <c r="D360" s="283">
        <v>2014</v>
      </c>
      <c r="E360" s="282" t="s">
        <v>650</v>
      </c>
      <c r="F360" s="284">
        <v>87</v>
      </c>
      <c r="G360" s="285">
        <v>0</v>
      </c>
      <c r="H360" s="288">
        <v>0</v>
      </c>
      <c r="I360" s="285">
        <v>0</v>
      </c>
      <c r="J360" s="285">
        <v>53</v>
      </c>
      <c r="K360" s="284">
        <v>0</v>
      </c>
      <c r="L360" s="284">
        <v>0</v>
      </c>
      <c r="M360" s="284">
        <v>0</v>
      </c>
      <c r="N360" s="284">
        <v>55</v>
      </c>
      <c r="O360" s="284">
        <v>0</v>
      </c>
      <c r="P360" s="284">
        <v>142</v>
      </c>
      <c r="Q360" s="286">
        <v>0</v>
      </c>
      <c r="R360" s="274">
        <v>337</v>
      </c>
      <c r="S360" s="274">
        <v>0</v>
      </c>
      <c r="T360" s="287">
        <f t="shared" si="5"/>
        <v>2014</v>
      </c>
      <c r="U360" s="274">
        <f>VLOOKUP(A360,'[1]SB35 Determination Data'!$B$4:$F$542,5,FALSE)</f>
        <v>2014</v>
      </c>
    </row>
    <row r="361" spans="1:21" s="274" customFormat="1" ht="12.75" x14ac:dyDescent="0.2">
      <c r="A361" s="282" t="s">
        <v>348</v>
      </c>
      <c r="B361" s="282" t="s">
        <v>262</v>
      </c>
      <c r="C361" s="282" t="s">
        <v>649</v>
      </c>
      <c r="D361" s="283">
        <v>2015</v>
      </c>
      <c r="E361" s="282" t="s">
        <v>650</v>
      </c>
      <c r="F361" s="284">
        <v>87</v>
      </c>
      <c r="G361" s="285">
        <v>42</v>
      </c>
      <c r="H361" s="288">
        <v>42</v>
      </c>
      <c r="I361" s="285">
        <v>0</v>
      </c>
      <c r="J361" s="285">
        <v>53</v>
      </c>
      <c r="K361" s="284">
        <v>1</v>
      </c>
      <c r="L361" s="284">
        <v>1</v>
      </c>
      <c r="M361" s="284">
        <v>0</v>
      </c>
      <c r="N361" s="284">
        <v>55</v>
      </c>
      <c r="O361" s="284">
        <v>0</v>
      </c>
      <c r="P361" s="284">
        <v>142</v>
      </c>
      <c r="Q361" s="286">
        <v>0</v>
      </c>
      <c r="R361" s="274">
        <v>337</v>
      </c>
      <c r="S361" s="274">
        <v>43</v>
      </c>
      <c r="T361" s="287">
        <f t="shared" si="5"/>
        <v>2015</v>
      </c>
      <c r="U361" s="274">
        <f>VLOOKUP(A361,'[1]SB35 Determination Data'!$B$4:$F$542,5,FALSE)</f>
        <v>2014</v>
      </c>
    </row>
    <row r="362" spans="1:21" s="274" customFormat="1" ht="12.75" x14ac:dyDescent="0.2">
      <c r="A362" s="282" t="s">
        <v>348</v>
      </c>
      <c r="B362" s="282" t="s">
        <v>262</v>
      </c>
      <c r="C362" s="282" t="s">
        <v>649</v>
      </c>
      <c r="D362" s="283">
        <v>2016</v>
      </c>
      <c r="E362" s="282" t="s">
        <v>650</v>
      </c>
      <c r="F362" s="284">
        <v>87</v>
      </c>
      <c r="G362" s="285">
        <v>0</v>
      </c>
      <c r="H362" s="288">
        <v>0</v>
      </c>
      <c r="I362" s="285">
        <v>0</v>
      </c>
      <c r="J362" s="285">
        <v>53</v>
      </c>
      <c r="K362" s="284">
        <v>0</v>
      </c>
      <c r="L362" s="284">
        <v>0</v>
      </c>
      <c r="M362" s="284">
        <v>0</v>
      </c>
      <c r="N362" s="289">
        <v>55</v>
      </c>
      <c r="O362" s="284">
        <v>2</v>
      </c>
      <c r="P362" s="284">
        <v>142</v>
      </c>
      <c r="Q362" s="286">
        <v>0</v>
      </c>
      <c r="R362" s="274">
        <v>337</v>
      </c>
      <c r="S362" s="274">
        <v>2</v>
      </c>
      <c r="T362" s="287">
        <f t="shared" si="5"/>
        <v>2016</v>
      </c>
      <c r="U362" s="274">
        <f>VLOOKUP(A362,'[1]SB35 Determination Data'!$B$4:$F$542,5,FALSE)</f>
        <v>2014</v>
      </c>
    </row>
    <row r="363" spans="1:21" s="274" customFormat="1" ht="12.75" x14ac:dyDescent="0.2">
      <c r="A363" s="282" t="s">
        <v>348</v>
      </c>
      <c r="B363" s="282" t="s">
        <v>262</v>
      </c>
      <c r="C363" s="282" t="s">
        <v>649</v>
      </c>
      <c r="D363" s="283">
        <v>2017</v>
      </c>
      <c r="E363" s="282" t="s">
        <v>650</v>
      </c>
      <c r="F363" s="284">
        <v>87</v>
      </c>
      <c r="G363" s="285">
        <v>0</v>
      </c>
      <c r="H363" s="288">
        <v>0</v>
      </c>
      <c r="I363" s="285">
        <v>0</v>
      </c>
      <c r="J363" s="285">
        <v>53</v>
      </c>
      <c r="K363" s="284">
        <v>0</v>
      </c>
      <c r="L363" s="284">
        <v>0</v>
      </c>
      <c r="M363" s="284">
        <v>0</v>
      </c>
      <c r="N363" s="284">
        <v>55</v>
      </c>
      <c r="O363" s="284">
        <v>1</v>
      </c>
      <c r="P363" s="284">
        <v>142</v>
      </c>
      <c r="Q363" s="286">
        <v>1</v>
      </c>
      <c r="R363" s="274">
        <v>337</v>
      </c>
      <c r="S363" s="274">
        <v>2</v>
      </c>
      <c r="T363" s="287">
        <f t="shared" si="5"/>
        <v>2017</v>
      </c>
      <c r="U363" s="274">
        <f>VLOOKUP(A363,'[1]SB35 Determination Data'!$B$4:$F$542,5,FALSE)</f>
        <v>2014</v>
      </c>
    </row>
    <row r="364" spans="1:21" s="274" customFormat="1" ht="12.75" x14ac:dyDescent="0.2">
      <c r="A364" s="282" t="s">
        <v>148</v>
      </c>
      <c r="B364" s="282" t="s">
        <v>40</v>
      </c>
      <c r="C364" s="282" t="s">
        <v>654</v>
      </c>
      <c r="D364" s="283">
        <v>2015</v>
      </c>
      <c r="E364" s="282" t="s">
        <v>650</v>
      </c>
      <c r="F364" s="284">
        <v>796</v>
      </c>
      <c r="G364" s="285">
        <v>26</v>
      </c>
      <c r="H364" s="288">
        <v>26</v>
      </c>
      <c r="I364" s="285">
        <v>0</v>
      </c>
      <c r="J364" s="285">
        <v>446</v>
      </c>
      <c r="K364" s="284">
        <v>39</v>
      </c>
      <c r="L364" s="284">
        <v>39</v>
      </c>
      <c r="M364" s="284">
        <v>0</v>
      </c>
      <c r="N364" s="284">
        <v>425</v>
      </c>
      <c r="O364" s="284">
        <v>4</v>
      </c>
      <c r="P364" s="284">
        <v>618</v>
      </c>
      <c r="Q364" s="286">
        <v>839</v>
      </c>
      <c r="R364" s="274">
        <v>2285</v>
      </c>
      <c r="S364" s="274">
        <v>908</v>
      </c>
      <c r="T364" s="287">
        <f t="shared" si="5"/>
        <v>2015</v>
      </c>
      <c r="U364" s="274">
        <f>VLOOKUP(A364,'[1]SB35 Determination Data'!$B$4:$F$542,5,FALSE)</f>
        <v>2015</v>
      </c>
    </row>
    <row r="365" spans="1:21" s="274" customFormat="1" ht="12.75" x14ac:dyDescent="0.2">
      <c r="A365" s="282" t="s">
        <v>148</v>
      </c>
      <c r="B365" s="282" t="s">
        <v>40</v>
      </c>
      <c r="C365" s="282" t="s">
        <v>654</v>
      </c>
      <c r="D365" s="283">
        <v>2016</v>
      </c>
      <c r="E365" s="282" t="s">
        <v>650</v>
      </c>
      <c r="F365" s="284">
        <v>796</v>
      </c>
      <c r="G365" s="285">
        <v>0</v>
      </c>
      <c r="H365" s="288">
        <v>0</v>
      </c>
      <c r="I365" s="285">
        <v>0</v>
      </c>
      <c r="J365" s="285">
        <v>446</v>
      </c>
      <c r="K365" s="284">
        <v>0</v>
      </c>
      <c r="L365" s="284">
        <v>0</v>
      </c>
      <c r="M365" s="284">
        <v>0</v>
      </c>
      <c r="N365" s="284">
        <v>425</v>
      </c>
      <c r="O365" s="284">
        <v>2</v>
      </c>
      <c r="P365" s="284">
        <v>618</v>
      </c>
      <c r="Q365" s="286">
        <v>612</v>
      </c>
      <c r="R365" s="274">
        <v>2285</v>
      </c>
      <c r="S365" s="274">
        <v>614</v>
      </c>
      <c r="T365" s="287">
        <f t="shared" si="5"/>
        <v>2016</v>
      </c>
      <c r="U365" s="274">
        <f>VLOOKUP(A365,'[1]SB35 Determination Data'!$B$4:$F$542,5,FALSE)</f>
        <v>2015</v>
      </c>
    </row>
    <row r="366" spans="1:21" s="274" customFormat="1" ht="12.75" x14ac:dyDescent="0.2">
      <c r="A366" s="282" t="s">
        <v>148</v>
      </c>
      <c r="B366" s="282" t="s">
        <v>40</v>
      </c>
      <c r="C366" s="282" t="s">
        <v>654</v>
      </c>
      <c r="D366" s="283">
        <v>2017</v>
      </c>
      <c r="E366" s="282" t="s">
        <v>650</v>
      </c>
      <c r="F366" s="284">
        <v>796</v>
      </c>
      <c r="G366" s="285">
        <v>0</v>
      </c>
      <c r="H366" s="288">
        <v>0</v>
      </c>
      <c r="I366" s="285">
        <v>0</v>
      </c>
      <c r="J366" s="285">
        <v>446</v>
      </c>
      <c r="K366" s="284">
        <v>0</v>
      </c>
      <c r="L366" s="284">
        <v>0</v>
      </c>
      <c r="M366" s="284">
        <v>0</v>
      </c>
      <c r="N366" s="284">
        <v>425</v>
      </c>
      <c r="O366" s="284">
        <v>8</v>
      </c>
      <c r="P366" s="284">
        <v>618</v>
      </c>
      <c r="Q366" s="286">
        <v>1187</v>
      </c>
      <c r="R366" s="274">
        <v>2285</v>
      </c>
      <c r="S366" s="274">
        <v>1195</v>
      </c>
      <c r="T366" s="287">
        <f t="shared" si="5"/>
        <v>2017</v>
      </c>
      <c r="U366" s="274">
        <f>VLOOKUP(A366,'[1]SB35 Determination Data'!$B$4:$F$542,5,FALSE)</f>
        <v>2015</v>
      </c>
    </row>
    <row r="367" spans="1:21" s="274" customFormat="1" ht="12.75" x14ac:dyDescent="0.2">
      <c r="A367" s="282" t="s">
        <v>349</v>
      </c>
      <c r="B367" s="282" t="s">
        <v>651</v>
      </c>
      <c r="C367" s="282" t="s">
        <v>660</v>
      </c>
      <c r="D367" s="283">
        <v>2014</v>
      </c>
      <c r="E367" s="282" t="s">
        <v>650</v>
      </c>
      <c r="F367" s="284">
        <v>6</v>
      </c>
      <c r="G367" s="285">
        <v>0</v>
      </c>
      <c r="H367" s="288">
        <v>0</v>
      </c>
      <c r="I367" s="285">
        <v>0</v>
      </c>
      <c r="J367" s="285">
        <v>4</v>
      </c>
      <c r="K367" s="284">
        <v>0</v>
      </c>
      <c r="L367" s="284">
        <v>0</v>
      </c>
      <c r="M367" s="284">
        <v>0</v>
      </c>
      <c r="N367" s="284">
        <v>4</v>
      </c>
      <c r="O367" s="284">
        <v>0</v>
      </c>
      <c r="P367" s="284">
        <v>9</v>
      </c>
      <c r="Q367" s="286">
        <v>0</v>
      </c>
      <c r="R367" s="274">
        <v>23</v>
      </c>
      <c r="S367" s="274">
        <v>0</v>
      </c>
      <c r="T367" s="287">
        <f t="shared" si="5"/>
        <v>2014</v>
      </c>
      <c r="U367" s="274">
        <f>VLOOKUP(A367,'[1]SB35 Determination Data'!$B$4:$F$542,5,FALSE)</f>
        <v>2014</v>
      </c>
    </row>
    <row r="368" spans="1:21" s="274" customFormat="1" ht="12.75" x14ac:dyDescent="0.2">
      <c r="A368" s="282" t="s">
        <v>349</v>
      </c>
      <c r="B368" s="282" t="s">
        <v>651</v>
      </c>
      <c r="C368" s="282" t="s">
        <v>660</v>
      </c>
      <c r="D368" s="283">
        <v>2015</v>
      </c>
      <c r="E368" s="282" t="s">
        <v>650</v>
      </c>
      <c r="F368" s="284">
        <v>6</v>
      </c>
      <c r="G368" s="285">
        <v>0</v>
      </c>
      <c r="H368" s="288">
        <v>0</v>
      </c>
      <c r="I368" s="285">
        <v>0</v>
      </c>
      <c r="J368" s="285">
        <v>4</v>
      </c>
      <c r="K368" s="284">
        <v>0</v>
      </c>
      <c r="L368" s="284">
        <v>0</v>
      </c>
      <c r="M368" s="284">
        <v>0</v>
      </c>
      <c r="N368" s="284">
        <v>4</v>
      </c>
      <c r="O368" s="284">
        <v>0</v>
      </c>
      <c r="P368" s="284">
        <v>9</v>
      </c>
      <c r="Q368" s="286">
        <v>1</v>
      </c>
      <c r="R368" s="274">
        <v>23</v>
      </c>
      <c r="S368" s="274">
        <v>1</v>
      </c>
      <c r="T368" s="287">
        <f t="shared" si="5"/>
        <v>2015</v>
      </c>
      <c r="U368" s="274">
        <f>VLOOKUP(A368,'[1]SB35 Determination Data'!$B$4:$F$542,5,FALSE)</f>
        <v>2014</v>
      </c>
    </row>
    <row r="369" spans="1:21" s="274" customFormat="1" ht="12.75" x14ac:dyDescent="0.2">
      <c r="A369" s="282" t="s">
        <v>349</v>
      </c>
      <c r="B369" s="282" t="s">
        <v>651</v>
      </c>
      <c r="C369" s="282" t="s">
        <v>660</v>
      </c>
      <c r="D369" s="283">
        <v>2016</v>
      </c>
      <c r="E369" s="282" t="s">
        <v>650</v>
      </c>
      <c r="F369" s="284">
        <v>6</v>
      </c>
      <c r="G369" s="285">
        <v>0</v>
      </c>
      <c r="H369" s="288">
        <v>0</v>
      </c>
      <c r="I369" s="285">
        <v>0</v>
      </c>
      <c r="J369" s="285">
        <v>4</v>
      </c>
      <c r="K369" s="284">
        <v>0</v>
      </c>
      <c r="L369" s="284">
        <v>0</v>
      </c>
      <c r="M369" s="284">
        <v>0</v>
      </c>
      <c r="N369" s="284">
        <v>4</v>
      </c>
      <c r="O369" s="284">
        <v>0</v>
      </c>
      <c r="P369" s="284">
        <v>9</v>
      </c>
      <c r="Q369" s="286">
        <v>1</v>
      </c>
      <c r="R369" s="274">
        <v>23</v>
      </c>
      <c r="S369" s="274">
        <v>1</v>
      </c>
      <c r="T369" s="287">
        <f t="shared" si="5"/>
        <v>2016</v>
      </c>
      <c r="U369" s="274">
        <f>VLOOKUP(A369,'[1]SB35 Determination Data'!$B$4:$F$542,5,FALSE)</f>
        <v>2014</v>
      </c>
    </row>
    <row r="370" spans="1:21" s="274" customFormat="1" ht="12.75" x14ac:dyDescent="0.2">
      <c r="A370" s="282" t="s">
        <v>349</v>
      </c>
      <c r="B370" s="282" t="s">
        <v>651</v>
      </c>
      <c r="C370" s="282" t="s">
        <v>660</v>
      </c>
      <c r="D370" s="283">
        <v>2017</v>
      </c>
      <c r="E370" s="282" t="s">
        <v>650</v>
      </c>
      <c r="F370" s="284">
        <v>6</v>
      </c>
      <c r="G370" s="285">
        <v>0</v>
      </c>
      <c r="H370" s="288">
        <v>0</v>
      </c>
      <c r="I370" s="285">
        <v>0</v>
      </c>
      <c r="J370" s="285">
        <v>4</v>
      </c>
      <c r="K370" s="284">
        <v>0</v>
      </c>
      <c r="L370" s="284">
        <v>0</v>
      </c>
      <c r="M370" s="284">
        <v>0</v>
      </c>
      <c r="N370" s="289">
        <v>4</v>
      </c>
      <c r="O370" s="284">
        <v>0</v>
      </c>
      <c r="P370" s="284">
        <v>9</v>
      </c>
      <c r="Q370" s="286">
        <v>1</v>
      </c>
      <c r="R370" s="274">
        <v>23</v>
      </c>
      <c r="S370" s="274">
        <v>1</v>
      </c>
      <c r="T370" s="287">
        <f t="shared" si="5"/>
        <v>2017</v>
      </c>
      <c r="U370" s="274">
        <f>VLOOKUP(A370,'[1]SB35 Determination Data'!$B$4:$F$542,5,FALSE)</f>
        <v>2014</v>
      </c>
    </row>
    <row r="371" spans="1:21" s="274" customFormat="1" ht="12.75" x14ac:dyDescent="0.2">
      <c r="A371" s="282" t="s">
        <v>350</v>
      </c>
      <c r="B371" s="282" t="s">
        <v>595</v>
      </c>
      <c r="C371" s="282" t="s">
        <v>654</v>
      </c>
      <c r="D371" s="283">
        <v>2015</v>
      </c>
      <c r="E371" s="282" t="s">
        <v>650</v>
      </c>
      <c r="F371" s="284">
        <v>64</v>
      </c>
      <c r="G371" s="285">
        <v>0</v>
      </c>
      <c r="H371" s="288">
        <v>0</v>
      </c>
      <c r="I371" s="285">
        <v>0</v>
      </c>
      <c r="J371" s="285">
        <v>54</v>
      </c>
      <c r="K371" s="284">
        <v>8</v>
      </c>
      <c r="L371" s="284">
        <v>8</v>
      </c>
      <c r="M371" s="284">
        <v>0</v>
      </c>
      <c r="N371" s="284">
        <v>83</v>
      </c>
      <c r="O371" s="284">
        <v>0</v>
      </c>
      <c r="P371" s="284">
        <v>266</v>
      </c>
      <c r="Q371" s="286">
        <v>0</v>
      </c>
      <c r="R371" s="274">
        <v>467</v>
      </c>
      <c r="S371" s="274">
        <v>8</v>
      </c>
      <c r="T371" s="287">
        <f t="shared" si="5"/>
        <v>2015</v>
      </c>
      <c r="U371" s="274">
        <f>VLOOKUP(A371,'[1]SB35 Determination Data'!$B$4:$F$542,5,FALSE)</f>
        <v>2015</v>
      </c>
    </row>
    <row r="372" spans="1:21" s="274" customFormat="1" ht="12.75" x14ac:dyDescent="0.2">
      <c r="A372" s="282" t="s">
        <v>350</v>
      </c>
      <c r="B372" s="282" t="s">
        <v>595</v>
      </c>
      <c r="C372" s="282" t="s">
        <v>654</v>
      </c>
      <c r="D372" s="283">
        <v>2016</v>
      </c>
      <c r="E372" s="282" t="s">
        <v>650</v>
      </c>
      <c r="F372" s="284">
        <v>64</v>
      </c>
      <c r="G372" s="285">
        <v>0</v>
      </c>
      <c r="H372" s="288">
        <v>0</v>
      </c>
      <c r="I372" s="285">
        <v>0</v>
      </c>
      <c r="J372" s="285">
        <v>54</v>
      </c>
      <c r="K372" s="284">
        <v>0</v>
      </c>
      <c r="L372" s="284">
        <v>0</v>
      </c>
      <c r="M372" s="284">
        <v>0</v>
      </c>
      <c r="N372" s="284">
        <v>83</v>
      </c>
      <c r="O372" s="284">
        <v>33</v>
      </c>
      <c r="P372" s="284">
        <v>266</v>
      </c>
      <c r="Q372" s="286">
        <v>0</v>
      </c>
      <c r="R372" s="274">
        <v>467</v>
      </c>
      <c r="S372" s="274">
        <v>33</v>
      </c>
      <c r="T372" s="287">
        <f t="shared" si="5"/>
        <v>2016</v>
      </c>
      <c r="U372" s="274">
        <f>VLOOKUP(A372,'[1]SB35 Determination Data'!$B$4:$F$542,5,FALSE)</f>
        <v>2015</v>
      </c>
    </row>
    <row r="373" spans="1:21" s="274" customFormat="1" ht="12.75" x14ac:dyDescent="0.2">
      <c r="A373" s="282" t="s">
        <v>350</v>
      </c>
      <c r="B373" s="282" t="s">
        <v>595</v>
      </c>
      <c r="C373" s="282" t="s">
        <v>654</v>
      </c>
      <c r="D373" s="283">
        <v>2017</v>
      </c>
      <c r="E373" s="282" t="s">
        <v>650</v>
      </c>
      <c r="F373" s="284">
        <v>64</v>
      </c>
      <c r="G373" s="285">
        <v>16</v>
      </c>
      <c r="H373" s="288">
        <v>16</v>
      </c>
      <c r="I373" s="285">
        <v>0</v>
      </c>
      <c r="J373" s="285">
        <v>54</v>
      </c>
      <c r="K373" s="284">
        <v>24</v>
      </c>
      <c r="L373" s="284">
        <v>24</v>
      </c>
      <c r="M373" s="284">
        <v>0</v>
      </c>
      <c r="N373" s="284">
        <v>83</v>
      </c>
      <c r="O373" s="284">
        <v>0</v>
      </c>
      <c r="P373" s="284">
        <v>266</v>
      </c>
      <c r="Q373" s="286">
        <v>5</v>
      </c>
      <c r="R373" s="274">
        <v>467</v>
      </c>
      <c r="S373" s="274">
        <v>45</v>
      </c>
      <c r="T373" s="287">
        <f t="shared" si="5"/>
        <v>2017</v>
      </c>
      <c r="U373" s="274">
        <f>VLOOKUP(A373,'[1]SB35 Determination Data'!$B$4:$F$542,5,FALSE)</f>
        <v>2015</v>
      </c>
    </row>
    <row r="374" spans="1:21" s="274" customFormat="1" ht="12.75" x14ac:dyDescent="0.2">
      <c r="A374" s="282" t="s">
        <v>351</v>
      </c>
      <c r="B374" s="282" t="s">
        <v>481</v>
      </c>
      <c r="C374" s="282" t="s">
        <v>649</v>
      </c>
      <c r="D374" s="283">
        <v>2014</v>
      </c>
      <c r="E374" s="282" t="s">
        <v>650</v>
      </c>
      <c r="F374" s="284">
        <v>374</v>
      </c>
      <c r="G374" s="285">
        <v>0</v>
      </c>
      <c r="H374" s="288">
        <v>0</v>
      </c>
      <c r="I374" s="285">
        <v>0</v>
      </c>
      <c r="J374" s="285">
        <v>250</v>
      </c>
      <c r="K374" s="284">
        <v>0</v>
      </c>
      <c r="L374" s="284">
        <v>0</v>
      </c>
      <c r="M374" s="284">
        <v>0</v>
      </c>
      <c r="N374" s="284">
        <v>274</v>
      </c>
      <c r="O374" s="284">
        <v>0</v>
      </c>
      <c r="P374" s="284">
        <v>565</v>
      </c>
      <c r="Q374" s="286">
        <v>429</v>
      </c>
      <c r="R374" s="274">
        <v>1463</v>
      </c>
      <c r="S374" s="274">
        <v>429</v>
      </c>
      <c r="T374" s="287">
        <f t="shared" si="5"/>
        <v>2014</v>
      </c>
      <c r="U374" s="274">
        <f>VLOOKUP(A374,'[1]SB35 Determination Data'!$B$4:$F$542,5,FALSE)</f>
        <v>2014</v>
      </c>
    </row>
    <row r="375" spans="1:21" s="274" customFormat="1" ht="12.75" x14ac:dyDescent="0.2">
      <c r="A375" s="282" t="s">
        <v>351</v>
      </c>
      <c r="B375" s="282" t="s">
        <v>481</v>
      </c>
      <c r="C375" s="282" t="s">
        <v>649</v>
      </c>
      <c r="D375" s="283">
        <v>2015</v>
      </c>
      <c r="E375" s="282" t="s">
        <v>650</v>
      </c>
      <c r="F375" s="284">
        <v>374</v>
      </c>
      <c r="G375" s="285">
        <v>0</v>
      </c>
      <c r="H375" s="288">
        <v>0</v>
      </c>
      <c r="I375" s="285">
        <v>0</v>
      </c>
      <c r="J375" s="285">
        <v>250</v>
      </c>
      <c r="K375" s="284">
        <v>0</v>
      </c>
      <c r="L375" s="284">
        <v>0</v>
      </c>
      <c r="M375" s="284">
        <v>0</v>
      </c>
      <c r="N375" s="284">
        <v>274</v>
      </c>
      <c r="O375" s="284">
        <v>0</v>
      </c>
      <c r="P375" s="284">
        <v>565</v>
      </c>
      <c r="Q375" s="286">
        <v>306</v>
      </c>
      <c r="R375" s="274">
        <v>1463</v>
      </c>
      <c r="S375" s="274">
        <v>306</v>
      </c>
      <c r="T375" s="287">
        <f t="shared" si="5"/>
        <v>2015</v>
      </c>
      <c r="U375" s="274">
        <f>VLOOKUP(A375,'[1]SB35 Determination Data'!$B$4:$F$542,5,FALSE)</f>
        <v>2014</v>
      </c>
    </row>
    <row r="376" spans="1:21" s="274" customFormat="1" ht="12.75" x14ac:dyDescent="0.2">
      <c r="A376" s="282" t="s">
        <v>351</v>
      </c>
      <c r="B376" s="282" t="s">
        <v>481</v>
      </c>
      <c r="C376" s="282" t="s">
        <v>649</v>
      </c>
      <c r="D376" s="283">
        <v>2016</v>
      </c>
      <c r="E376" s="282" t="s">
        <v>650</v>
      </c>
      <c r="F376" s="284">
        <v>374</v>
      </c>
      <c r="G376" s="285">
        <v>0</v>
      </c>
      <c r="H376" s="288">
        <v>0</v>
      </c>
      <c r="I376" s="285">
        <v>0</v>
      </c>
      <c r="J376" s="285">
        <v>250</v>
      </c>
      <c r="K376" s="284">
        <v>0</v>
      </c>
      <c r="L376" s="284">
        <v>0</v>
      </c>
      <c r="M376" s="284">
        <v>0</v>
      </c>
      <c r="N376" s="284">
        <v>274</v>
      </c>
      <c r="O376" s="284">
        <v>0</v>
      </c>
      <c r="P376" s="284">
        <v>565</v>
      </c>
      <c r="Q376" s="286">
        <v>515</v>
      </c>
      <c r="R376" s="274">
        <v>1463</v>
      </c>
      <c r="S376" s="274">
        <v>515</v>
      </c>
      <c r="T376" s="287">
        <f t="shared" si="5"/>
        <v>2016</v>
      </c>
      <c r="U376" s="274">
        <f>VLOOKUP(A376,'[1]SB35 Determination Data'!$B$4:$F$542,5,FALSE)</f>
        <v>2014</v>
      </c>
    </row>
    <row r="377" spans="1:21" s="274" customFormat="1" ht="12.75" x14ac:dyDescent="0.2">
      <c r="A377" s="282" t="s">
        <v>351</v>
      </c>
      <c r="B377" s="282" t="s">
        <v>481</v>
      </c>
      <c r="C377" s="282" t="s">
        <v>649</v>
      </c>
      <c r="D377" s="283">
        <v>2017</v>
      </c>
      <c r="E377" s="282" t="s">
        <v>650</v>
      </c>
      <c r="F377" s="284">
        <v>374</v>
      </c>
      <c r="G377" s="285">
        <v>0</v>
      </c>
      <c r="H377" s="288">
        <v>0</v>
      </c>
      <c r="I377" s="285">
        <v>0</v>
      </c>
      <c r="J377" s="285">
        <v>250</v>
      </c>
      <c r="K377" s="284">
        <v>0</v>
      </c>
      <c r="L377" s="284">
        <v>0</v>
      </c>
      <c r="M377" s="284">
        <v>0</v>
      </c>
      <c r="N377" s="284">
        <v>274</v>
      </c>
      <c r="O377" s="284">
        <v>0</v>
      </c>
      <c r="P377" s="284">
        <v>565</v>
      </c>
      <c r="Q377" s="286">
        <v>233</v>
      </c>
      <c r="R377" s="274">
        <v>1463</v>
      </c>
      <c r="S377" s="274">
        <v>233</v>
      </c>
      <c r="T377" s="287">
        <f t="shared" si="5"/>
        <v>2017</v>
      </c>
      <c r="U377" s="274">
        <f>VLOOKUP(A377,'[1]SB35 Determination Data'!$B$4:$F$542,5,FALSE)</f>
        <v>2014</v>
      </c>
    </row>
    <row r="378" spans="1:21" s="274" customFormat="1" ht="12.75" x14ac:dyDescent="0.2">
      <c r="A378" s="282" t="s">
        <v>352</v>
      </c>
      <c r="B378" s="282" t="s">
        <v>557</v>
      </c>
      <c r="C378" s="282" t="s">
        <v>758</v>
      </c>
      <c r="D378" s="283">
        <v>2013</v>
      </c>
      <c r="E378" s="282" t="s">
        <v>650</v>
      </c>
      <c r="F378" s="284">
        <v>1448</v>
      </c>
      <c r="G378" s="285">
        <v>48</v>
      </c>
      <c r="H378" s="288">
        <v>48</v>
      </c>
      <c r="I378" s="285">
        <v>0</v>
      </c>
      <c r="J378" s="285">
        <v>1101</v>
      </c>
      <c r="K378" s="284">
        <v>2</v>
      </c>
      <c r="L378" s="284">
        <v>2</v>
      </c>
      <c r="M378" s="284">
        <v>0</v>
      </c>
      <c r="N378" s="284">
        <v>1019</v>
      </c>
      <c r="O378" s="284">
        <v>24</v>
      </c>
      <c r="P378" s="284">
        <v>2237</v>
      </c>
      <c r="Q378" s="286">
        <v>12</v>
      </c>
      <c r="R378" s="274">
        <v>5805</v>
      </c>
      <c r="S378" s="274">
        <v>86</v>
      </c>
      <c r="T378" s="287">
        <f t="shared" si="5"/>
        <v>2013</v>
      </c>
      <c r="U378" s="274">
        <f>VLOOKUP(A378,'[1]SB35 Determination Data'!$B$4:$F$542,5,FALSE)</f>
        <v>2013</v>
      </c>
    </row>
    <row r="379" spans="1:21" s="274" customFormat="1" ht="12.75" x14ac:dyDescent="0.2">
      <c r="A379" s="282" t="s">
        <v>352</v>
      </c>
      <c r="B379" s="282" t="s">
        <v>557</v>
      </c>
      <c r="C379" s="282" t="s">
        <v>758</v>
      </c>
      <c r="D379" s="283">
        <v>2014</v>
      </c>
      <c r="E379" s="282" t="s">
        <v>650</v>
      </c>
      <c r="F379" s="284">
        <v>1448</v>
      </c>
      <c r="G379" s="285">
        <v>0</v>
      </c>
      <c r="H379" s="288">
        <v>0</v>
      </c>
      <c r="I379" s="285">
        <v>0</v>
      </c>
      <c r="J379" s="285">
        <v>1101</v>
      </c>
      <c r="K379" s="284">
        <v>0</v>
      </c>
      <c r="L379" s="284">
        <v>0</v>
      </c>
      <c r="M379" s="284">
        <v>0</v>
      </c>
      <c r="N379" s="284">
        <v>1019</v>
      </c>
      <c r="O379" s="284">
        <v>8</v>
      </c>
      <c r="P379" s="284">
        <v>2237</v>
      </c>
      <c r="Q379" s="286">
        <v>24</v>
      </c>
      <c r="R379" s="274">
        <v>5805</v>
      </c>
      <c r="S379" s="274">
        <v>32</v>
      </c>
      <c r="T379" s="287">
        <f t="shared" si="5"/>
        <v>2014</v>
      </c>
      <c r="U379" s="274">
        <f>VLOOKUP(A379,'[1]SB35 Determination Data'!$B$4:$F$542,5,FALSE)</f>
        <v>2013</v>
      </c>
    </row>
    <row r="380" spans="1:21" s="274" customFormat="1" ht="12.75" x14ac:dyDescent="0.2">
      <c r="A380" s="282" t="s">
        <v>352</v>
      </c>
      <c r="B380" s="282" t="s">
        <v>557</v>
      </c>
      <c r="C380" s="282" t="s">
        <v>758</v>
      </c>
      <c r="D380" s="283">
        <v>2015</v>
      </c>
      <c r="E380" s="282" t="s">
        <v>650</v>
      </c>
      <c r="F380" s="284">
        <v>1448</v>
      </c>
      <c r="G380" s="285">
        <v>0</v>
      </c>
      <c r="H380" s="288">
        <v>0</v>
      </c>
      <c r="I380" s="285">
        <v>0</v>
      </c>
      <c r="J380" s="285">
        <v>1101</v>
      </c>
      <c r="K380" s="284">
        <v>1</v>
      </c>
      <c r="L380" s="284">
        <v>1</v>
      </c>
      <c r="M380" s="284">
        <v>0</v>
      </c>
      <c r="N380" s="289">
        <v>1019</v>
      </c>
      <c r="O380" s="284">
        <v>2</v>
      </c>
      <c r="P380" s="284">
        <v>2237</v>
      </c>
      <c r="Q380" s="286">
        <v>23</v>
      </c>
      <c r="R380" s="274">
        <v>5805</v>
      </c>
      <c r="S380" s="274">
        <v>26</v>
      </c>
      <c r="T380" s="287">
        <f t="shared" si="5"/>
        <v>2015</v>
      </c>
      <c r="U380" s="274">
        <f>VLOOKUP(A380,'[1]SB35 Determination Data'!$B$4:$F$542,5,FALSE)</f>
        <v>2013</v>
      </c>
    </row>
    <row r="381" spans="1:21" s="274" customFormat="1" ht="12.75" x14ac:dyDescent="0.2">
      <c r="A381" s="282" t="s">
        <v>352</v>
      </c>
      <c r="B381" s="282" t="s">
        <v>557</v>
      </c>
      <c r="C381" s="282" t="s">
        <v>758</v>
      </c>
      <c r="D381" s="283">
        <v>2016</v>
      </c>
      <c r="E381" s="282" t="s">
        <v>650</v>
      </c>
      <c r="F381" s="284">
        <v>1448</v>
      </c>
      <c r="G381" s="285">
        <v>0</v>
      </c>
      <c r="H381" s="288">
        <v>0</v>
      </c>
      <c r="I381" s="285">
        <v>0</v>
      </c>
      <c r="J381" s="285">
        <v>1101</v>
      </c>
      <c r="K381" s="284">
        <v>6</v>
      </c>
      <c r="L381" s="284">
        <v>6</v>
      </c>
      <c r="M381" s="284">
        <v>0</v>
      </c>
      <c r="N381" s="284">
        <v>1019</v>
      </c>
      <c r="O381" s="284">
        <v>0</v>
      </c>
      <c r="P381" s="284">
        <v>2237</v>
      </c>
      <c r="Q381" s="286">
        <v>78</v>
      </c>
      <c r="R381" s="274">
        <v>5805</v>
      </c>
      <c r="S381" s="274">
        <v>84</v>
      </c>
      <c r="T381" s="287">
        <f t="shared" si="5"/>
        <v>2016</v>
      </c>
      <c r="U381" s="274">
        <f>VLOOKUP(A381,'[1]SB35 Determination Data'!$B$4:$F$542,5,FALSE)</f>
        <v>2013</v>
      </c>
    </row>
    <row r="382" spans="1:21" s="274" customFormat="1" ht="12.75" x14ac:dyDescent="0.2">
      <c r="A382" s="282" t="s">
        <v>352</v>
      </c>
      <c r="B382" s="282" t="s">
        <v>557</v>
      </c>
      <c r="C382" s="282" t="s">
        <v>758</v>
      </c>
      <c r="D382" s="283">
        <v>2017</v>
      </c>
      <c r="E382" s="282" t="s">
        <v>650</v>
      </c>
      <c r="F382" s="284">
        <v>1448</v>
      </c>
      <c r="G382" s="285">
        <v>0</v>
      </c>
      <c r="H382" s="288">
        <v>0</v>
      </c>
      <c r="I382" s="285">
        <v>0</v>
      </c>
      <c r="J382" s="285">
        <v>1101</v>
      </c>
      <c r="K382" s="284">
        <v>0</v>
      </c>
      <c r="L382" s="284">
        <v>0</v>
      </c>
      <c r="M382" s="284">
        <v>0</v>
      </c>
      <c r="N382" s="284">
        <v>1019</v>
      </c>
      <c r="O382" s="284">
        <v>0</v>
      </c>
      <c r="P382" s="284">
        <v>2237</v>
      </c>
      <c r="Q382" s="286">
        <v>51</v>
      </c>
      <c r="R382" s="274">
        <v>5805</v>
      </c>
      <c r="S382" s="274">
        <v>51</v>
      </c>
      <c r="T382" s="287">
        <f t="shared" si="5"/>
        <v>2017</v>
      </c>
      <c r="U382" s="274">
        <f>VLOOKUP(A382,'[1]SB35 Determination Data'!$B$4:$F$542,5,FALSE)</f>
        <v>2013</v>
      </c>
    </row>
    <row r="383" spans="1:21" s="274" customFormat="1" ht="12.75" x14ac:dyDescent="0.2">
      <c r="A383" s="282" t="s">
        <v>355</v>
      </c>
      <c r="B383" s="282" t="s">
        <v>189</v>
      </c>
      <c r="C383" s="282" t="s">
        <v>649</v>
      </c>
      <c r="D383" s="283">
        <v>2014</v>
      </c>
      <c r="E383" s="282" t="s">
        <v>650</v>
      </c>
      <c r="F383" s="284">
        <v>487</v>
      </c>
      <c r="G383" s="285">
        <v>0</v>
      </c>
      <c r="H383" s="288">
        <v>0</v>
      </c>
      <c r="I383" s="285">
        <v>0</v>
      </c>
      <c r="J383" s="285">
        <v>300</v>
      </c>
      <c r="K383" s="284">
        <v>3</v>
      </c>
      <c r="L383" s="284">
        <v>3</v>
      </c>
      <c r="M383" s="284">
        <v>0</v>
      </c>
      <c r="N383" s="284">
        <v>297</v>
      </c>
      <c r="O383" s="284">
        <v>0</v>
      </c>
      <c r="P383" s="284">
        <v>840</v>
      </c>
      <c r="Q383" s="286">
        <v>43</v>
      </c>
      <c r="R383" s="274">
        <v>1924</v>
      </c>
      <c r="S383" s="274">
        <v>46</v>
      </c>
      <c r="T383" s="287">
        <f t="shared" si="5"/>
        <v>2014</v>
      </c>
      <c r="U383" s="274">
        <f>VLOOKUP(A383,'[1]SB35 Determination Data'!$B$4:$F$542,5,FALSE)</f>
        <v>2014</v>
      </c>
    </row>
    <row r="384" spans="1:21" s="274" customFormat="1" ht="12.75" x14ac:dyDescent="0.2">
      <c r="A384" s="282" t="s">
        <v>355</v>
      </c>
      <c r="B384" s="282" t="s">
        <v>189</v>
      </c>
      <c r="C384" s="282" t="s">
        <v>649</v>
      </c>
      <c r="D384" s="283">
        <v>2015</v>
      </c>
      <c r="E384" s="282" t="s">
        <v>650</v>
      </c>
      <c r="F384" s="284">
        <v>487</v>
      </c>
      <c r="G384" s="285">
        <v>0</v>
      </c>
      <c r="H384" s="288">
        <v>0</v>
      </c>
      <c r="I384" s="285">
        <v>0</v>
      </c>
      <c r="J384" s="285">
        <v>300</v>
      </c>
      <c r="K384" s="284">
        <v>5</v>
      </c>
      <c r="L384" s="284">
        <v>5</v>
      </c>
      <c r="M384" s="284">
        <v>0</v>
      </c>
      <c r="N384" s="284">
        <v>297</v>
      </c>
      <c r="O384" s="284">
        <v>84</v>
      </c>
      <c r="P384" s="284">
        <v>840</v>
      </c>
      <c r="Q384" s="286">
        <v>11</v>
      </c>
      <c r="R384" s="274">
        <v>1924</v>
      </c>
      <c r="S384" s="274">
        <v>100</v>
      </c>
      <c r="T384" s="287">
        <f t="shared" si="5"/>
        <v>2015</v>
      </c>
      <c r="U384" s="274">
        <f>VLOOKUP(A384,'[1]SB35 Determination Data'!$B$4:$F$542,5,FALSE)</f>
        <v>2014</v>
      </c>
    </row>
    <row r="385" spans="1:21" s="274" customFormat="1" ht="12.75" x14ac:dyDescent="0.2">
      <c r="A385" s="282" t="s">
        <v>355</v>
      </c>
      <c r="B385" s="282" t="s">
        <v>189</v>
      </c>
      <c r="C385" s="282" t="s">
        <v>649</v>
      </c>
      <c r="D385" s="283">
        <v>2016</v>
      </c>
      <c r="E385" s="282" t="s">
        <v>650</v>
      </c>
      <c r="F385" s="284">
        <v>487</v>
      </c>
      <c r="G385" s="285">
        <v>0</v>
      </c>
      <c r="H385" s="288">
        <v>0</v>
      </c>
      <c r="I385" s="285">
        <v>0</v>
      </c>
      <c r="J385" s="285">
        <v>300</v>
      </c>
      <c r="K385" s="284">
        <v>6</v>
      </c>
      <c r="L385" s="284">
        <v>6</v>
      </c>
      <c r="M385" s="284">
        <v>0</v>
      </c>
      <c r="N385" s="284">
        <v>297</v>
      </c>
      <c r="O385" s="284">
        <v>0</v>
      </c>
      <c r="P385" s="284">
        <v>840</v>
      </c>
      <c r="Q385" s="286">
        <v>4</v>
      </c>
      <c r="R385" s="274">
        <v>1924</v>
      </c>
      <c r="S385" s="274">
        <v>10</v>
      </c>
      <c r="T385" s="287">
        <f t="shared" si="5"/>
        <v>2016</v>
      </c>
      <c r="U385" s="274">
        <f>VLOOKUP(A385,'[1]SB35 Determination Data'!$B$4:$F$542,5,FALSE)</f>
        <v>2014</v>
      </c>
    </row>
    <row r="386" spans="1:21" s="274" customFormat="1" ht="12.75" x14ac:dyDescent="0.2">
      <c r="A386" s="282" t="s">
        <v>355</v>
      </c>
      <c r="B386" s="282" t="s">
        <v>189</v>
      </c>
      <c r="C386" s="282" t="s">
        <v>649</v>
      </c>
      <c r="D386" s="283">
        <v>2017</v>
      </c>
      <c r="E386" s="282" t="s">
        <v>650</v>
      </c>
      <c r="F386" s="284">
        <v>487</v>
      </c>
      <c r="G386" s="285">
        <v>0</v>
      </c>
      <c r="H386" s="288">
        <v>0</v>
      </c>
      <c r="I386" s="285">
        <v>0</v>
      </c>
      <c r="J386" s="285">
        <v>300</v>
      </c>
      <c r="K386" s="284">
        <v>67</v>
      </c>
      <c r="L386" s="284">
        <v>0</v>
      </c>
      <c r="M386" s="284">
        <v>67</v>
      </c>
      <c r="N386" s="284">
        <v>297</v>
      </c>
      <c r="O386" s="284">
        <v>7</v>
      </c>
      <c r="P386" s="284">
        <v>840</v>
      </c>
      <c r="Q386" s="286">
        <v>0</v>
      </c>
      <c r="R386" s="274">
        <v>1924</v>
      </c>
      <c r="S386" s="274">
        <v>74</v>
      </c>
      <c r="T386" s="287">
        <f t="shared" si="5"/>
        <v>2017</v>
      </c>
      <c r="U386" s="274">
        <f>VLOOKUP(A386,'[1]SB35 Determination Data'!$B$4:$F$542,5,FALSE)</f>
        <v>2014</v>
      </c>
    </row>
    <row r="387" spans="1:21" s="274" customFormat="1" ht="12.75" x14ac:dyDescent="0.2">
      <c r="A387" s="282" t="s">
        <v>279</v>
      </c>
      <c r="B387" s="282" t="s">
        <v>120</v>
      </c>
      <c r="C387" s="282" t="s">
        <v>654</v>
      </c>
      <c r="D387" s="283">
        <v>2014</v>
      </c>
      <c r="E387" s="282" t="s">
        <v>650</v>
      </c>
      <c r="F387" s="284">
        <v>100</v>
      </c>
      <c r="G387" s="285">
        <v>56</v>
      </c>
      <c r="H387" s="288">
        <v>56</v>
      </c>
      <c r="I387" s="285">
        <v>0</v>
      </c>
      <c r="J387" s="285">
        <v>63</v>
      </c>
      <c r="K387" s="284">
        <v>0</v>
      </c>
      <c r="L387" s="284">
        <v>0</v>
      </c>
      <c r="M387" s="284">
        <v>0</v>
      </c>
      <c r="N387" s="284">
        <v>69</v>
      </c>
      <c r="O387" s="284">
        <v>0</v>
      </c>
      <c r="P387" s="284">
        <v>166</v>
      </c>
      <c r="Q387" s="286">
        <v>6</v>
      </c>
      <c r="R387" s="274">
        <v>398</v>
      </c>
      <c r="S387" s="274">
        <v>62</v>
      </c>
      <c r="T387" s="287">
        <f t="shared" si="5"/>
        <v>2015</v>
      </c>
      <c r="U387" s="274">
        <f>VLOOKUP(A387,'[1]SB35 Determination Data'!$B$4:$F$542,5,FALSE)</f>
        <v>2015</v>
      </c>
    </row>
    <row r="388" spans="1:21" s="274" customFormat="1" ht="12.75" x14ac:dyDescent="0.2">
      <c r="A388" s="282" t="s">
        <v>279</v>
      </c>
      <c r="B388" s="282" t="s">
        <v>120</v>
      </c>
      <c r="C388" s="282" t="s">
        <v>654</v>
      </c>
      <c r="D388" s="283">
        <v>2015</v>
      </c>
      <c r="E388" s="282" t="s">
        <v>650</v>
      </c>
      <c r="F388" s="284">
        <v>100</v>
      </c>
      <c r="G388" s="285">
        <v>0</v>
      </c>
      <c r="H388" s="288">
        <v>0</v>
      </c>
      <c r="I388" s="285">
        <v>0</v>
      </c>
      <c r="J388" s="285">
        <v>63</v>
      </c>
      <c r="K388" s="284">
        <v>6</v>
      </c>
      <c r="L388" s="284">
        <v>6</v>
      </c>
      <c r="M388" s="284">
        <v>0</v>
      </c>
      <c r="N388" s="284">
        <v>69</v>
      </c>
      <c r="O388" s="284">
        <v>26</v>
      </c>
      <c r="P388" s="284">
        <v>166</v>
      </c>
      <c r="Q388" s="286">
        <v>229</v>
      </c>
      <c r="R388" s="274">
        <v>398</v>
      </c>
      <c r="S388" s="274">
        <v>261</v>
      </c>
      <c r="T388" s="287">
        <f t="shared" ref="T388:T451" si="6">IF(D388&gt;U388,D388,U388)</f>
        <v>2015</v>
      </c>
      <c r="U388" s="274">
        <f>VLOOKUP(A388,'[1]SB35 Determination Data'!$B$4:$F$542,5,FALSE)</f>
        <v>2015</v>
      </c>
    </row>
    <row r="389" spans="1:21" s="274" customFormat="1" ht="12.75" x14ac:dyDescent="0.2">
      <c r="A389" s="282" t="s">
        <v>279</v>
      </c>
      <c r="B389" s="282" t="s">
        <v>120</v>
      </c>
      <c r="C389" s="282" t="s">
        <v>654</v>
      </c>
      <c r="D389" s="283">
        <v>2016</v>
      </c>
      <c r="E389" s="282" t="s">
        <v>650</v>
      </c>
      <c r="F389" s="284">
        <v>100</v>
      </c>
      <c r="G389" s="285">
        <v>0</v>
      </c>
      <c r="H389" s="288">
        <v>0</v>
      </c>
      <c r="I389" s="285">
        <v>0</v>
      </c>
      <c r="J389" s="285">
        <v>63</v>
      </c>
      <c r="K389" s="284">
        <v>0</v>
      </c>
      <c r="L389" s="284">
        <v>0</v>
      </c>
      <c r="M389" s="284">
        <v>0</v>
      </c>
      <c r="N389" s="289">
        <v>69</v>
      </c>
      <c r="O389" s="284">
        <v>0</v>
      </c>
      <c r="P389" s="284">
        <v>166</v>
      </c>
      <c r="Q389" s="286">
        <v>7</v>
      </c>
      <c r="R389" s="274">
        <v>398</v>
      </c>
      <c r="S389" s="274">
        <v>7</v>
      </c>
      <c r="T389" s="287">
        <f t="shared" si="6"/>
        <v>2016</v>
      </c>
      <c r="U389" s="274">
        <f>VLOOKUP(A389,'[1]SB35 Determination Data'!$B$4:$F$542,5,FALSE)</f>
        <v>2015</v>
      </c>
    </row>
    <row r="390" spans="1:21" s="274" customFormat="1" ht="12.75" x14ac:dyDescent="0.2">
      <c r="A390" s="282" t="s">
        <v>279</v>
      </c>
      <c r="B390" s="282" t="s">
        <v>120</v>
      </c>
      <c r="C390" s="282" t="s">
        <v>654</v>
      </c>
      <c r="D390" s="283">
        <v>2017</v>
      </c>
      <c r="E390" s="282" t="s">
        <v>650</v>
      </c>
      <c r="F390" s="284">
        <v>100</v>
      </c>
      <c r="G390" s="285">
        <v>62</v>
      </c>
      <c r="H390" s="288">
        <v>62</v>
      </c>
      <c r="I390" s="285">
        <v>0</v>
      </c>
      <c r="J390" s="285">
        <v>63</v>
      </c>
      <c r="K390" s="284">
        <v>0</v>
      </c>
      <c r="L390" s="284">
        <v>0</v>
      </c>
      <c r="M390" s="284">
        <v>0</v>
      </c>
      <c r="N390" s="284">
        <v>69</v>
      </c>
      <c r="O390" s="284">
        <v>0</v>
      </c>
      <c r="P390" s="284">
        <v>166</v>
      </c>
      <c r="Q390" s="286">
        <v>7</v>
      </c>
      <c r="R390" s="274">
        <v>398</v>
      </c>
      <c r="S390" s="274">
        <v>69</v>
      </c>
      <c r="T390" s="287">
        <f t="shared" si="6"/>
        <v>2017</v>
      </c>
      <c r="U390" s="274">
        <f>VLOOKUP(A390,'[1]SB35 Determination Data'!$B$4:$F$542,5,FALSE)</f>
        <v>2015</v>
      </c>
    </row>
    <row r="391" spans="1:21" s="274" customFormat="1" ht="12.75" x14ac:dyDescent="0.2">
      <c r="A391" s="282" t="s">
        <v>338</v>
      </c>
      <c r="B391" s="282" t="s">
        <v>123</v>
      </c>
      <c r="C391" s="282" t="s">
        <v>685</v>
      </c>
      <c r="D391" s="283">
        <v>2013</v>
      </c>
      <c r="E391" s="282" t="s">
        <v>650</v>
      </c>
      <c r="F391" s="284">
        <v>1086</v>
      </c>
      <c r="G391" s="285">
        <v>42</v>
      </c>
      <c r="H391" s="288">
        <v>42</v>
      </c>
      <c r="I391" s="285">
        <v>0</v>
      </c>
      <c r="J391" s="285">
        <v>762</v>
      </c>
      <c r="K391" s="284">
        <v>29</v>
      </c>
      <c r="L391" s="284">
        <v>29</v>
      </c>
      <c r="M391" s="284">
        <v>0</v>
      </c>
      <c r="N391" s="284">
        <v>823</v>
      </c>
      <c r="O391" s="284">
        <v>7</v>
      </c>
      <c r="P391" s="284">
        <v>1757</v>
      </c>
      <c r="Q391" s="286">
        <v>685</v>
      </c>
      <c r="R391" s="274">
        <v>4428</v>
      </c>
      <c r="S391" s="274">
        <v>763</v>
      </c>
      <c r="T391" s="287">
        <f t="shared" si="6"/>
        <v>2014</v>
      </c>
      <c r="U391" s="274">
        <f>VLOOKUP(A391,'[1]SB35 Determination Data'!$B$4:$F$542,5,FALSE)</f>
        <v>2014</v>
      </c>
    </row>
    <row r="392" spans="1:21" s="274" customFormat="1" ht="12.75" x14ac:dyDescent="0.2">
      <c r="A392" s="282" t="s">
        <v>338</v>
      </c>
      <c r="B392" s="282" t="s">
        <v>123</v>
      </c>
      <c r="C392" s="282" t="s">
        <v>685</v>
      </c>
      <c r="D392" s="283">
        <v>2014</v>
      </c>
      <c r="E392" s="282" t="s">
        <v>650</v>
      </c>
      <c r="F392" s="284">
        <v>1086</v>
      </c>
      <c r="G392" s="285">
        <v>1</v>
      </c>
      <c r="H392" s="288">
        <v>1</v>
      </c>
      <c r="I392" s="285">
        <v>0</v>
      </c>
      <c r="J392" s="285">
        <v>762</v>
      </c>
      <c r="K392" s="284">
        <v>55</v>
      </c>
      <c r="L392" s="284">
        <v>55</v>
      </c>
      <c r="M392" s="284">
        <v>0</v>
      </c>
      <c r="N392" s="284">
        <v>823</v>
      </c>
      <c r="O392" s="284">
        <v>13</v>
      </c>
      <c r="P392" s="284">
        <v>1757</v>
      </c>
      <c r="Q392" s="286">
        <v>343</v>
      </c>
      <c r="R392" s="274">
        <v>4428</v>
      </c>
      <c r="S392" s="274">
        <v>412</v>
      </c>
      <c r="T392" s="287">
        <f t="shared" si="6"/>
        <v>2014</v>
      </c>
      <c r="U392" s="274">
        <f>VLOOKUP(A392,'[1]SB35 Determination Data'!$B$4:$F$542,5,FALSE)</f>
        <v>2014</v>
      </c>
    </row>
    <row r="393" spans="1:21" s="274" customFormat="1" ht="12.75" x14ac:dyDescent="0.2">
      <c r="A393" s="282" t="s">
        <v>338</v>
      </c>
      <c r="B393" s="282" t="s">
        <v>123</v>
      </c>
      <c r="C393" s="282" t="s">
        <v>685</v>
      </c>
      <c r="D393" s="283">
        <v>2015</v>
      </c>
      <c r="E393" s="282" t="s">
        <v>650</v>
      </c>
      <c r="F393" s="284">
        <v>1086</v>
      </c>
      <c r="G393" s="285">
        <v>0</v>
      </c>
      <c r="H393" s="288">
        <v>0</v>
      </c>
      <c r="I393" s="285">
        <v>0</v>
      </c>
      <c r="J393" s="285">
        <v>762</v>
      </c>
      <c r="K393" s="284">
        <v>53</v>
      </c>
      <c r="L393" s="284">
        <v>53</v>
      </c>
      <c r="M393" s="284">
        <v>0</v>
      </c>
      <c r="N393" s="284">
        <v>823</v>
      </c>
      <c r="O393" s="284">
        <v>0</v>
      </c>
      <c r="P393" s="284">
        <v>1757</v>
      </c>
      <c r="Q393" s="286">
        <v>512</v>
      </c>
      <c r="R393" s="274">
        <v>4428</v>
      </c>
      <c r="S393" s="274">
        <v>565</v>
      </c>
      <c r="T393" s="287">
        <f t="shared" si="6"/>
        <v>2015</v>
      </c>
      <c r="U393" s="274">
        <f>VLOOKUP(A393,'[1]SB35 Determination Data'!$B$4:$F$542,5,FALSE)</f>
        <v>2014</v>
      </c>
    </row>
    <row r="394" spans="1:21" s="274" customFormat="1" ht="12.75" x14ac:dyDescent="0.2">
      <c r="A394" s="282" t="s">
        <v>338</v>
      </c>
      <c r="B394" s="282" t="s">
        <v>123</v>
      </c>
      <c r="C394" s="282" t="s">
        <v>685</v>
      </c>
      <c r="D394" s="283">
        <v>2016</v>
      </c>
      <c r="E394" s="282" t="s">
        <v>650</v>
      </c>
      <c r="F394" s="284">
        <v>1086</v>
      </c>
      <c r="G394" s="285">
        <v>0</v>
      </c>
      <c r="H394" s="288">
        <v>0</v>
      </c>
      <c r="I394" s="285">
        <v>0</v>
      </c>
      <c r="J394" s="285">
        <v>762</v>
      </c>
      <c r="K394" s="284">
        <v>57</v>
      </c>
      <c r="L394" s="284">
        <v>57</v>
      </c>
      <c r="M394" s="284">
        <v>0</v>
      </c>
      <c r="N394" s="284">
        <v>823</v>
      </c>
      <c r="O394" s="284">
        <v>12</v>
      </c>
      <c r="P394" s="284">
        <v>1757</v>
      </c>
      <c r="Q394" s="286">
        <v>656</v>
      </c>
      <c r="R394" s="274">
        <v>4428</v>
      </c>
      <c r="S394" s="274">
        <v>725</v>
      </c>
      <c r="T394" s="287">
        <f t="shared" si="6"/>
        <v>2016</v>
      </c>
      <c r="U394" s="274">
        <f>VLOOKUP(A394,'[1]SB35 Determination Data'!$B$4:$F$542,5,FALSE)</f>
        <v>2014</v>
      </c>
    </row>
    <row r="395" spans="1:21" s="274" customFormat="1" ht="12.75" x14ac:dyDescent="0.2">
      <c r="A395" s="282" t="s">
        <v>338</v>
      </c>
      <c r="B395" s="282" t="s">
        <v>123</v>
      </c>
      <c r="C395" s="282" t="s">
        <v>685</v>
      </c>
      <c r="D395" s="283">
        <v>2017</v>
      </c>
      <c r="E395" s="282" t="s">
        <v>650</v>
      </c>
      <c r="F395" s="284">
        <v>1086</v>
      </c>
      <c r="G395" s="285">
        <v>16</v>
      </c>
      <c r="H395" s="288">
        <v>16</v>
      </c>
      <c r="I395" s="285">
        <v>0</v>
      </c>
      <c r="J395" s="285">
        <v>762</v>
      </c>
      <c r="K395" s="284">
        <v>59</v>
      </c>
      <c r="L395" s="284">
        <v>31</v>
      </c>
      <c r="M395" s="284">
        <v>28</v>
      </c>
      <c r="N395" s="284">
        <v>823</v>
      </c>
      <c r="O395" s="284">
        <v>15</v>
      </c>
      <c r="P395" s="284">
        <v>1757</v>
      </c>
      <c r="Q395" s="286">
        <v>697</v>
      </c>
      <c r="R395" s="274">
        <v>4428</v>
      </c>
      <c r="S395" s="274">
        <v>787</v>
      </c>
      <c r="T395" s="287">
        <f t="shared" si="6"/>
        <v>2017</v>
      </c>
      <c r="U395" s="274">
        <f>VLOOKUP(A395,'[1]SB35 Determination Data'!$B$4:$F$542,5,FALSE)</f>
        <v>2014</v>
      </c>
    </row>
    <row r="396" spans="1:21" s="274" customFormat="1" ht="12.75" x14ac:dyDescent="0.2">
      <c r="A396" s="282" t="s">
        <v>357</v>
      </c>
      <c r="B396" s="282" t="s">
        <v>262</v>
      </c>
      <c r="C396" s="282" t="s">
        <v>649</v>
      </c>
      <c r="D396" s="283">
        <v>2014</v>
      </c>
      <c r="E396" s="282" t="s">
        <v>650</v>
      </c>
      <c r="F396" s="284">
        <v>529</v>
      </c>
      <c r="G396" s="285">
        <v>41</v>
      </c>
      <c r="H396" s="288">
        <v>41</v>
      </c>
      <c r="I396" s="285">
        <v>0</v>
      </c>
      <c r="J396" s="285">
        <v>315</v>
      </c>
      <c r="K396" s="284">
        <v>0</v>
      </c>
      <c r="L396" s="284">
        <v>0</v>
      </c>
      <c r="M396" s="284">
        <v>0</v>
      </c>
      <c r="N396" s="284">
        <v>352</v>
      </c>
      <c r="O396" s="284">
        <v>2</v>
      </c>
      <c r="P396" s="284">
        <v>946</v>
      </c>
      <c r="Q396" s="286">
        <v>20</v>
      </c>
      <c r="R396" s="274">
        <v>2142</v>
      </c>
      <c r="S396" s="274">
        <v>63</v>
      </c>
      <c r="T396" s="287">
        <f t="shared" si="6"/>
        <v>2014</v>
      </c>
      <c r="U396" s="274">
        <f>VLOOKUP(A396,'[1]SB35 Determination Data'!$B$4:$F$542,5,FALSE)</f>
        <v>2014</v>
      </c>
    </row>
    <row r="397" spans="1:21" s="274" customFormat="1" ht="12.75" x14ac:dyDescent="0.2">
      <c r="A397" s="282" t="s">
        <v>357</v>
      </c>
      <c r="B397" s="282" t="s">
        <v>262</v>
      </c>
      <c r="C397" s="282" t="s">
        <v>649</v>
      </c>
      <c r="D397" s="283">
        <v>2015</v>
      </c>
      <c r="E397" s="282" t="s">
        <v>650</v>
      </c>
      <c r="F397" s="284">
        <v>529</v>
      </c>
      <c r="G397" s="285">
        <v>96</v>
      </c>
      <c r="H397" s="288">
        <v>96</v>
      </c>
      <c r="I397" s="285">
        <v>0</v>
      </c>
      <c r="J397" s="285">
        <v>315</v>
      </c>
      <c r="K397" s="284">
        <v>36</v>
      </c>
      <c r="L397" s="284">
        <v>36</v>
      </c>
      <c r="M397" s="284">
        <v>0</v>
      </c>
      <c r="N397" s="284">
        <v>352</v>
      </c>
      <c r="O397" s="284">
        <v>0</v>
      </c>
      <c r="P397" s="284">
        <v>946</v>
      </c>
      <c r="Q397" s="286">
        <v>8</v>
      </c>
      <c r="R397" s="274">
        <v>2142</v>
      </c>
      <c r="S397" s="274">
        <v>140</v>
      </c>
      <c r="T397" s="287">
        <f t="shared" si="6"/>
        <v>2015</v>
      </c>
      <c r="U397" s="274">
        <f>VLOOKUP(A397,'[1]SB35 Determination Data'!$B$4:$F$542,5,FALSE)</f>
        <v>2014</v>
      </c>
    </row>
    <row r="398" spans="1:21" s="274" customFormat="1" ht="12.75" x14ac:dyDescent="0.2">
      <c r="A398" s="282" t="s">
        <v>357</v>
      </c>
      <c r="B398" s="282" t="s">
        <v>262</v>
      </c>
      <c r="C398" s="282" t="s">
        <v>649</v>
      </c>
      <c r="D398" s="283">
        <v>2016</v>
      </c>
      <c r="E398" s="282" t="s">
        <v>650</v>
      </c>
      <c r="F398" s="284">
        <v>529</v>
      </c>
      <c r="G398" s="285">
        <v>0</v>
      </c>
      <c r="H398" s="288">
        <v>0</v>
      </c>
      <c r="I398" s="285">
        <v>0</v>
      </c>
      <c r="J398" s="285">
        <v>315</v>
      </c>
      <c r="K398" s="284">
        <v>0</v>
      </c>
      <c r="L398" s="284">
        <v>0</v>
      </c>
      <c r="M398" s="284">
        <v>0</v>
      </c>
      <c r="N398" s="289">
        <v>352</v>
      </c>
      <c r="O398" s="284">
        <v>0</v>
      </c>
      <c r="P398" s="284">
        <v>946</v>
      </c>
      <c r="Q398" s="286">
        <v>35</v>
      </c>
      <c r="R398" s="274">
        <v>2142</v>
      </c>
      <c r="S398" s="274">
        <v>35</v>
      </c>
      <c r="T398" s="287">
        <f t="shared" si="6"/>
        <v>2016</v>
      </c>
      <c r="U398" s="274">
        <f>VLOOKUP(A398,'[1]SB35 Determination Data'!$B$4:$F$542,5,FALSE)</f>
        <v>2014</v>
      </c>
    </row>
    <row r="399" spans="1:21" s="274" customFormat="1" ht="12.75" x14ac:dyDescent="0.2">
      <c r="A399" s="282" t="s">
        <v>357</v>
      </c>
      <c r="B399" s="282" t="s">
        <v>262</v>
      </c>
      <c r="C399" s="282" t="s">
        <v>649</v>
      </c>
      <c r="D399" s="283">
        <v>2017</v>
      </c>
      <c r="E399" s="282" t="s">
        <v>650</v>
      </c>
      <c r="F399" s="284">
        <v>529</v>
      </c>
      <c r="G399" s="285">
        <v>104</v>
      </c>
      <c r="H399" s="288">
        <v>104</v>
      </c>
      <c r="I399" s="285">
        <v>0</v>
      </c>
      <c r="J399" s="285">
        <v>315</v>
      </c>
      <c r="K399" s="284">
        <v>0</v>
      </c>
      <c r="L399" s="284">
        <v>0</v>
      </c>
      <c r="M399" s="284">
        <v>0</v>
      </c>
      <c r="N399" s="284">
        <v>352</v>
      </c>
      <c r="O399" s="284">
        <v>0</v>
      </c>
      <c r="P399" s="284">
        <v>946</v>
      </c>
      <c r="Q399" s="286">
        <v>191</v>
      </c>
      <c r="R399" s="274">
        <v>2142</v>
      </c>
      <c r="S399" s="274">
        <v>295</v>
      </c>
      <c r="T399" s="287">
        <f t="shared" si="6"/>
        <v>2017</v>
      </c>
      <c r="U399" s="274">
        <f>VLOOKUP(A399,'[1]SB35 Determination Data'!$B$4:$F$542,5,FALSE)</f>
        <v>2014</v>
      </c>
    </row>
    <row r="400" spans="1:21" s="274" customFormat="1" ht="12.75" x14ac:dyDescent="0.2">
      <c r="A400" s="282" t="s">
        <v>360</v>
      </c>
      <c r="B400" s="282" t="s">
        <v>511</v>
      </c>
      <c r="C400" s="282" t="s">
        <v>685</v>
      </c>
      <c r="D400" s="283">
        <v>2013</v>
      </c>
      <c r="E400" s="282" t="s">
        <v>650</v>
      </c>
      <c r="F400" s="284">
        <v>2035</v>
      </c>
      <c r="G400" s="285">
        <v>0</v>
      </c>
      <c r="H400" s="288">
        <v>0</v>
      </c>
      <c r="I400" s="285">
        <v>0</v>
      </c>
      <c r="J400" s="285">
        <v>1427</v>
      </c>
      <c r="K400" s="284">
        <v>0</v>
      </c>
      <c r="L400" s="284">
        <v>0</v>
      </c>
      <c r="M400" s="284">
        <v>0</v>
      </c>
      <c r="N400" s="284">
        <v>1377</v>
      </c>
      <c r="O400" s="284">
        <v>173</v>
      </c>
      <c r="P400" s="284">
        <v>2563</v>
      </c>
      <c r="Q400" s="286">
        <v>196</v>
      </c>
      <c r="R400" s="274">
        <v>7402</v>
      </c>
      <c r="S400" s="274">
        <v>369</v>
      </c>
      <c r="T400" s="287">
        <f t="shared" si="6"/>
        <v>2014</v>
      </c>
      <c r="U400" s="274">
        <f>VLOOKUP(A400,'[1]SB35 Determination Data'!$B$4:$F$542,5,FALSE)</f>
        <v>2014</v>
      </c>
    </row>
    <row r="401" spans="1:21" s="274" customFormat="1" ht="12.75" x14ac:dyDescent="0.2">
      <c r="A401" s="282" t="s">
        <v>360</v>
      </c>
      <c r="B401" s="282" t="s">
        <v>511</v>
      </c>
      <c r="C401" s="282" t="s">
        <v>685</v>
      </c>
      <c r="D401" s="283">
        <v>2014</v>
      </c>
      <c r="E401" s="282" t="s">
        <v>650</v>
      </c>
      <c r="F401" s="284">
        <v>2035</v>
      </c>
      <c r="G401" s="285">
        <v>49</v>
      </c>
      <c r="H401" s="288">
        <v>49</v>
      </c>
      <c r="I401" s="285">
        <v>0</v>
      </c>
      <c r="J401" s="285">
        <v>1427</v>
      </c>
      <c r="K401" s="284">
        <v>14</v>
      </c>
      <c r="L401" s="284">
        <v>14</v>
      </c>
      <c r="M401" s="284">
        <v>0</v>
      </c>
      <c r="N401" s="284">
        <v>1377</v>
      </c>
      <c r="O401" s="284">
        <v>74</v>
      </c>
      <c r="P401" s="284">
        <v>2563</v>
      </c>
      <c r="Q401" s="286">
        <v>505</v>
      </c>
      <c r="R401" s="274">
        <v>7402</v>
      </c>
      <c r="S401" s="274">
        <v>642</v>
      </c>
      <c r="T401" s="287">
        <f t="shared" si="6"/>
        <v>2014</v>
      </c>
      <c r="U401" s="274">
        <f>VLOOKUP(A401,'[1]SB35 Determination Data'!$B$4:$F$542,5,FALSE)</f>
        <v>2014</v>
      </c>
    </row>
    <row r="402" spans="1:21" s="274" customFormat="1" ht="12.75" x14ac:dyDescent="0.2">
      <c r="A402" s="282" t="s">
        <v>360</v>
      </c>
      <c r="B402" s="282" t="s">
        <v>511</v>
      </c>
      <c r="C402" s="282" t="s">
        <v>685</v>
      </c>
      <c r="D402" s="283">
        <v>2015</v>
      </c>
      <c r="E402" s="282" t="s">
        <v>650</v>
      </c>
      <c r="F402" s="284">
        <v>2035</v>
      </c>
      <c r="G402" s="285">
        <v>0</v>
      </c>
      <c r="H402" s="288">
        <v>0</v>
      </c>
      <c r="I402" s="285">
        <v>0</v>
      </c>
      <c r="J402" s="285">
        <v>1427</v>
      </c>
      <c r="K402" s="284">
        <v>0</v>
      </c>
      <c r="L402" s="284">
        <v>0</v>
      </c>
      <c r="M402" s="284">
        <v>0</v>
      </c>
      <c r="N402" s="284">
        <v>1377</v>
      </c>
      <c r="O402" s="284">
        <v>23</v>
      </c>
      <c r="P402" s="284">
        <v>2563</v>
      </c>
      <c r="Q402" s="286">
        <v>616</v>
      </c>
      <c r="R402" s="274">
        <v>7402</v>
      </c>
      <c r="S402" s="274">
        <v>639</v>
      </c>
      <c r="T402" s="287">
        <f t="shared" si="6"/>
        <v>2015</v>
      </c>
      <c r="U402" s="274">
        <f>VLOOKUP(A402,'[1]SB35 Determination Data'!$B$4:$F$542,5,FALSE)</f>
        <v>2014</v>
      </c>
    </row>
    <row r="403" spans="1:21" s="274" customFormat="1" ht="12.75" x14ac:dyDescent="0.2">
      <c r="A403" s="282" t="s">
        <v>360</v>
      </c>
      <c r="B403" s="282" t="s">
        <v>511</v>
      </c>
      <c r="C403" s="282" t="s">
        <v>685</v>
      </c>
      <c r="D403" s="283">
        <v>2016</v>
      </c>
      <c r="E403" s="282" t="s">
        <v>650</v>
      </c>
      <c r="F403" s="284">
        <v>2035</v>
      </c>
      <c r="G403" s="285">
        <v>0</v>
      </c>
      <c r="H403" s="288">
        <v>0</v>
      </c>
      <c r="I403" s="285">
        <v>0</v>
      </c>
      <c r="J403" s="285">
        <v>1427</v>
      </c>
      <c r="K403" s="284">
        <v>0</v>
      </c>
      <c r="L403" s="284">
        <v>0</v>
      </c>
      <c r="M403" s="284">
        <v>0</v>
      </c>
      <c r="N403" s="284">
        <v>1377</v>
      </c>
      <c r="O403" s="284">
        <v>1</v>
      </c>
      <c r="P403" s="284">
        <v>2563</v>
      </c>
      <c r="Q403" s="286">
        <v>453</v>
      </c>
      <c r="R403" s="274">
        <v>7402</v>
      </c>
      <c r="S403" s="274">
        <v>454</v>
      </c>
      <c r="T403" s="287">
        <f t="shared" si="6"/>
        <v>2016</v>
      </c>
      <c r="U403" s="274">
        <f>VLOOKUP(A403,'[1]SB35 Determination Data'!$B$4:$F$542,5,FALSE)</f>
        <v>2014</v>
      </c>
    </row>
    <row r="404" spans="1:21" s="274" customFormat="1" ht="12.75" x14ac:dyDescent="0.2">
      <c r="A404" s="282" t="s">
        <v>360</v>
      </c>
      <c r="B404" s="282" t="s">
        <v>511</v>
      </c>
      <c r="C404" s="282" t="s">
        <v>685</v>
      </c>
      <c r="D404" s="283">
        <v>2017</v>
      </c>
      <c r="E404" s="282" t="s">
        <v>650</v>
      </c>
      <c r="F404" s="284">
        <v>2035</v>
      </c>
      <c r="G404" s="285">
        <v>35</v>
      </c>
      <c r="H404" s="288">
        <v>35</v>
      </c>
      <c r="I404" s="285">
        <v>0</v>
      </c>
      <c r="J404" s="285">
        <v>1427</v>
      </c>
      <c r="K404" s="284">
        <v>62</v>
      </c>
      <c r="L404" s="284">
        <v>62</v>
      </c>
      <c r="M404" s="284">
        <v>0</v>
      </c>
      <c r="N404" s="289">
        <v>1377</v>
      </c>
      <c r="O404" s="284">
        <v>0</v>
      </c>
      <c r="P404" s="284">
        <v>2563</v>
      </c>
      <c r="Q404" s="286">
        <v>433</v>
      </c>
      <c r="R404" s="274">
        <v>7402</v>
      </c>
      <c r="S404" s="274">
        <v>530</v>
      </c>
      <c r="T404" s="287">
        <f t="shared" si="6"/>
        <v>2017</v>
      </c>
      <c r="U404" s="274">
        <f>VLOOKUP(A404,'[1]SB35 Determination Data'!$B$4:$F$542,5,FALSE)</f>
        <v>2014</v>
      </c>
    </row>
    <row r="405" spans="1:21" s="274" customFormat="1" ht="12.75" x14ac:dyDescent="0.2">
      <c r="A405" s="282" t="s">
        <v>157</v>
      </c>
      <c r="B405" s="282" t="s">
        <v>40</v>
      </c>
      <c r="C405" s="282" t="s">
        <v>654</v>
      </c>
      <c r="D405" s="283">
        <v>2015</v>
      </c>
      <c r="E405" s="282" t="s">
        <v>650</v>
      </c>
      <c r="F405" s="284">
        <v>276</v>
      </c>
      <c r="G405" s="285">
        <v>5</v>
      </c>
      <c r="H405" s="288">
        <v>5</v>
      </c>
      <c r="I405" s="285">
        <v>0</v>
      </c>
      <c r="J405" s="285">
        <v>211</v>
      </c>
      <c r="K405" s="284">
        <v>0</v>
      </c>
      <c r="L405" s="284">
        <v>0</v>
      </c>
      <c r="M405" s="284">
        <v>0</v>
      </c>
      <c r="N405" s="284">
        <v>259</v>
      </c>
      <c r="O405" s="284">
        <v>7</v>
      </c>
      <c r="P405" s="284">
        <v>752</v>
      </c>
      <c r="Q405" s="286">
        <v>178</v>
      </c>
      <c r="R405" s="274">
        <v>1498</v>
      </c>
      <c r="S405" s="274">
        <v>190</v>
      </c>
      <c r="T405" s="287">
        <f t="shared" si="6"/>
        <v>2015</v>
      </c>
      <c r="U405" s="274">
        <f>VLOOKUP(A405,'[1]SB35 Determination Data'!$B$4:$F$542,5,FALSE)</f>
        <v>2015</v>
      </c>
    </row>
    <row r="406" spans="1:21" s="274" customFormat="1" ht="12.75" x14ac:dyDescent="0.2">
      <c r="A406" s="282" t="s">
        <v>157</v>
      </c>
      <c r="B406" s="282" t="s">
        <v>40</v>
      </c>
      <c r="C406" s="282" t="s">
        <v>654</v>
      </c>
      <c r="D406" s="283">
        <v>2016</v>
      </c>
      <c r="E406" s="282" t="s">
        <v>650</v>
      </c>
      <c r="F406" s="284">
        <v>276</v>
      </c>
      <c r="G406" s="285">
        <v>0</v>
      </c>
      <c r="H406" s="288">
        <v>0</v>
      </c>
      <c r="I406" s="285">
        <v>0</v>
      </c>
      <c r="J406" s="285">
        <v>211</v>
      </c>
      <c r="K406" s="284">
        <v>0</v>
      </c>
      <c r="L406" s="284">
        <v>0</v>
      </c>
      <c r="M406" s="284">
        <v>0</v>
      </c>
      <c r="N406" s="284">
        <v>259</v>
      </c>
      <c r="O406" s="284">
        <v>0</v>
      </c>
      <c r="P406" s="284">
        <v>752</v>
      </c>
      <c r="Q406" s="286">
        <v>1</v>
      </c>
      <c r="R406" s="274">
        <v>1498</v>
      </c>
      <c r="S406" s="274">
        <v>1</v>
      </c>
      <c r="T406" s="287">
        <f t="shared" si="6"/>
        <v>2016</v>
      </c>
      <c r="U406" s="274">
        <f>VLOOKUP(A406,'[1]SB35 Determination Data'!$B$4:$F$542,5,FALSE)</f>
        <v>2015</v>
      </c>
    </row>
    <row r="407" spans="1:21" s="274" customFormat="1" ht="12.75" x14ac:dyDescent="0.2">
      <c r="A407" s="282" t="s">
        <v>157</v>
      </c>
      <c r="B407" s="282" t="s">
        <v>40</v>
      </c>
      <c r="C407" s="282" t="s">
        <v>654</v>
      </c>
      <c r="D407" s="283">
        <v>2017</v>
      </c>
      <c r="E407" s="282" t="s">
        <v>650</v>
      </c>
      <c r="F407" s="284">
        <v>276</v>
      </c>
      <c r="G407" s="285">
        <v>81</v>
      </c>
      <c r="H407" s="288">
        <v>81</v>
      </c>
      <c r="I407" s="285">
        <v>0</v>
      </c>
      <c r="J407" s="285">
        <v>211</v>
      </c>
      <c r="K407" s="284">
        <v>16</v>
      </c>
      <c r="L407" s="284">
        <v>16</v>
      </c>
      <c r="M407" s="284">
        <v>0</v>
      </c>
      <c r="N407" s="284">
        <v>259</v>
      </c>
      <c r="O407" s="284">
        <v>14</v>
      </c>
      <c r="P407" s="284">
        <v>752</v>
      </c>
      <c r="Q407" s="286">
        <v>201</v>
      </c>
      <c r="R407" s="274">
        <v>1498</v>
      </c>
      <c r="S407" s="274">
        <v>312</v>
      </c>
      <c r="T407" s="287">
        <f t="shared" si="6"/>
        <v>2017</v>
      </c>
      <c r="U407" s="274">
        <f>VLOOKUP(A407,'[1]SB35 Determination Data'!$B$4:$F$542,5,FALSE)</f>
        <v>2015</v>
      </c>
    </row>
    <row r="408" spans="1:21" s="274" customFormat="1" ht="12.75" x14ac:dyDescent="0.2">
      <c r="A408" s="282" t="s">
        <v>362</v>
      </c>
      <c r="B408" s="282" t="s">
        <v>557</v>
      </c>
      <c r="C408" s="282" t="s">
        <v>758</v>
      </c>
      <c r="D408" s="283">
        <v>2013</v>
      </c>
      <c r="E408" s="282" t="s">
        <v>650</v>
      </c>
      <c r="F408" s="284">
        <v>587</v>
      </c>
      <c r="G408" s="285">
        <v>32</v>
      </c>
      <c r="H408" s="288">
        <v>31</v>
      </c>
      <c r="I408" s="285">
        <v>1</v>
      </c>
      <c r="J408" s="285">
        <v>446</v>
      </c>
      <c r="K408" s="284">
        <v>10</v>
      </c>
      <c r="L408" s="284">
        <v>9</v>
      </c>
      <c r="M408" s="284">
        <v>1</v>
      </c>
      <c r="N408" s="284">
        <v>413</v>
      </c>
      <c r="O408" s="284">
        <v>0</v>
      </c>
      <c r="P408" s="284">
        <v>907</v>
      </c>
      <c r="Q408" s="286">
        <v>283</v>
      </c>
      <c r="R408" s="274">
        <v>2353</v>
      </c>
      <c r="S408" s="274">
        <v>325</v>
      </c>
      <c r="T408" s="287">
        <f t="shared" si="6"/>
        <v>2013</v>
      </c>
      <c r="U408" s="274">
        <f>VLOOKUP(A408,'[1]SB35 Determination Data'!$B$4:$F$542,5,FALSE)</f>
        <v>2013</v>
      </c>
    </row>
    <row r="409" spans="1:21" s="274" customFormat="1" ht="12.75" x14ac:dyDescent="0.2">
      <c r="A409" s="282" t="s">
        <v>362</v>
      </c>
      <c r="B409" s="282" t="s">
        <v>557</v>
      </c>
      <c r="C409" s="282" t="s">
        <v>758</v>
      </c>
      <c r="D409" s="283">
        <v>2014</v>
      </c>
      <c r="E409" s="282" t="s">
        <v>650</v>
      </c>
      <c r="F409" s="284">
        <v>587</v>
      </c>
      <c r="G409" s="285">
        <v>1</v>
      </c>
      <c r="H409" s="288">
        <v>1</v>
      </c>
      <c r="I409" s="285">
        <v>0</v>
      </c>
      <c r="J409" s="285">
        <v>446</v>
      </c>
      <c r="K409" s="284">
        <v>8</v>
      </c>
      <c r="L409" s="284">
        <v>8</v>
      </c>
      <c r="M409" s="284">
        <v>0</v>
      </c>
      <c r="N409" s="289">
        <v>413</v>
      </c>
      <c r="O409" s="284">
        <v>3</v>
      </c>
      <c r="P409" s="284">
        <v>907</v>
      </c>
      <c r="Q409" s="286">
        <v>150</v>
      </c>
      <c r="R409" s="274">
        <v>2353</v>
      </c>
      <c r="S409" s="274">
        <v>162</v>
      </c>
      <c r="T409" s="287">
        <f t="shared" si="6"/>
        <v>2014</v>
      </c>
      <c r="U409" s="274">
        <f>VLOOKUP(A409,'[1]SB35 Determination Data'!$B$4:$F$542,5,FALSE)</f>
        <v>2013</v>
      </c>
    </row>
    <row r="410" spans="1:21" s="274" customFormat="1" ht="12.75" x14ac:dyDescent="0.2">
      <c r="A410" s="282" t="s">
        <v>362</v>
      </c>
      <c r="B410" s="282" t="s">
        <v>557</v>
      </c>
      <c r="C410" s="282" t="s">
        <v>758</v>
      </c>
      <c r="D410" s="283">
        <v>2015</v>
      </c>
      <c r="E410" s="282" t="s">
        <v>650</v>
      </c>
      <c r="F410" s="284">
        <v>587</v>
      </c>
      <c r="G410" s="285">
        <v>0</v>
      </c>
      <c r="H410" s="288">
        <v>0</v>
      </c>
      <c r="I410" s="285">
        <v>0</v>
      </c>
      <c r="J410" s="285">
        <v>446</v>
      </c>
      <c r="K410" s="284">
        <v>3</v>
      </c>
      <c r="L410" s="284">
        <v>3</v>
      </c>
      <c r="M410" s="284">
        <v>0</v>
      </c>
      <c r="N410" s="284">
        <v>413</v>
      </c>
      <c r="O410" s="284">
        <v>0</v>
      </c>
      <c r="P410" s="284">
        <v>907</v>
      </c>
      <c r="Q410" s="286">
        <v>155</v>
      </c>
      <c r="R410" s="274">
        <v>2353</v>
      </c>
      <c r="S410" s="274">
        <v>158</v>
      </c>
      <c r="T410" s="287">
        <f t="shared" si="6"/>
        <v>2015</v>
      </c>
      <c r="U410" s="274">
        <f>VLOOKUP(A410,'[1]SB35 Determination Data'!$B$4:$F$542,5,FALSE)</f>
        <v>2013</v>
      </c>
    </row>
    <row r="411" spans="1:21" s="274" customFormat="1" ht="12.75" x14ac:dyDescent="0.2">
      <c r="A411" s="282" t="s">
        <v>362</v>
      </c>
      <c r="B411" s="282" t="s">
        <v>557</v>
      </c>
      <c r="C411" s="282" t="s">
        <v>758</v>
      </c>
      <c r="D411" s="283">
        <v>2016</v>
      </c>
      <c r="E411" s="282" t="s">
        <v>650</v>
      </c>
      <c r="F411" s="284">
        <v>587</v>
      </c>
      <c r="G411" s="285">
        <v>0</v>
      </c>
      <c r="H411" s="288">
        <v>0</v>
      </c>
      <c r="I411" s="285">
        <v>0</v>
      </c>
      <c r="J411" s="285">
        <v>446</v>
      </c>
      <c r="K411" s="284">
        <v>2</v>
      </c>
      <c r="L411" s="284">
        <v>2</v>
      </c>
      <c r="M411" s="284">
        <v>0</v>
      </c>
      <c r="N411" s="284">
        <v>413</v>
      </c>
      <c r="O411" s="284">
        <v>1</v>
      </c>
      <c r="P411" s="284">
        <v>907</v>
      </c>
      <c r="Q411" s="286">
        <v>87</v>
      </c>
      <c r="R411" s="274">
        <v>2353</v>
      </c>
      <c r="S411" s="274">
        <v>90</v>
      </c>
      <c r="T411" s="287">
        <f t="shared" si="6"/>
        <v>2016</v>
      </c>
      <c r="U411" s="274">
        <f>VLOOKUP(A411,'[1]SB35 Determination Data'!$B$4:$F$542,5,FALSE)</f>
        <v>2013</v>
      </c>
    </row>
    <row r="412" spans="1:21" s="274" customFormat="1" ht="12.75" x14ac:dyDescent="0.2">
      <c r="A412" s="282" t="s">
        <v>362</v>
      </c>
      <c r="B412" s="282" t="s">
        <v>557</v>
      </c>
      <c r="C412" s="282" t="s">
        <v>758</v>
      </c>
      <c r="D412" s="283">
        <v>2017</v>
      </c>
      <c r="E412" s="282" t="s">
        <v>650</v>
      </c>
      <c r="F412" s="284">
        <v>587</v>
      </c>
      <c r="G412" s="285">
        <v>4</v>
      </c>
      <c r="H412" s="288">
        <v>4</v>
      </c>
      <c r="I412" s="285">
        <v>0</v>
      </c>
      <c r="J412" s="285">
        <v>446</v>
      </c>
      <c r="K412" s="284">
        <v>1</v>
      </c>
      <c r="L412" s="284">
        <v>1</v>
      </c>
      <c r="M412" s="284">
        <v>0</v>
      </c>
      <c r="N412" s="284">
        <v>413</v>
      </c>
      <c r="O412" s="284">
        <v>0</v>
      </c>
      <c r="P412" s="284">
        <v>907</v>
      </c>
      <c r="Q412" s="286">
        <v>109</v>
      </c>
      <c r="R412" s="274">
        <v>2353</v>
      </c>
      <c r="S412" s="274">
        <v>114</v>
      </c>
      <c r="T412" s="287">
        <f t="shared" si="6"/>
        <v>2017</v>
      </c>
      <c r="U412" s="274">
        <f>VLOOKUP(A412,'[1]SB35 Determination Data'!$B$4:$F$542,5,FALSE)</f>
        <v>2013</v>
      </c>
    </row>
    <row r="413" spans="1:21" s="274" customFormat="1" ht="12.75" x14ac:dyDescent="0.2">
      <c r="A413" s="282" t="s">
        <v>366</v>
      </c>
      <c r="B413" s="282" t="s">
        <v>557</v>
      </c>
      <c r="C413" s="282" t="s">
        <v>758</v>
      </c>
      <c r="D413" s="283">
        <v>2013</v>
      </c>
      <c r="E413" s="282" t="s">
        <v>650</v>
      </c>
      <c r="F413" s="284">
        <v>1042</v>
      </c>
      <c r="G413" s="285">
        <v>46</v>
      </c>
      <c r="H413" s="288">
        <v>46</v>
      </c>
      <c r="I413" s="285">
        <v>0</v>
      </c>
      <c r="J413" s="285">
        <v>791</v>
      </c>
      <c r="K413" s="284">
        <v>44</v>
      </c>
      <c r="L413" s="284">
        <v>44</v>
      </c>
      <c r="M413" s="284">
        <v>0</v>
      </c>
      <c r="N413" s="289">
        <v>733</v>
      </c>
      <c r="O413" s="284">
        <v>7</v>
      </c>
      <c r="P413" s="284">
        <v>1609</v>
      </c>
      <c r="Q413" s="286">
        <v>497</v>
      </c>
      <c r="R413" s="274">
        <v>4175</v>
      </c>
      <c r="S413" s="274">
        <v>594</v>
      </c>
      <c r="T413" s="287">
        <f t="shared" si="6"/>
        <v>2013</v>
      </c>
      <c r="U413" s="274">
        <f>VLOOKUP(A413,'[1]SB35 Determination Data'!$B$4:$F$542,5,FALSE)</f>
        <v>2013</v>
      </c>
    </row>
    <row r="414" spans="1:21" s="274" customFormat="1" ht="12.75" x14ac:dyDescent="0.2">
      <c r="A414" s="282" t="s">
        <v>366</v>
      </c>
      <c r="B414" s="282" t="s">
        <v>557</v>
      </c>
      <c r="C414" s="282" t="s">
        <v>758</v>
      </c>
      <c r="D414" s="283">
        <v>2014</v>
      </c>
      <c r="E414" s="282" t="s">
        <v>650</v>
      </c>
      <c r="F414" s="284">
        <v>1042</v>
      </c>
      <c r="G414" s="285">
        <v>0</v>
      </c>
      <c r="H414" s="288">
        <v>0</v>
      </c>
      <c r="I414" s="285">
        <v>0</v>
      </c>
      <c r="J414" s="285">
        <v>791</v>
      </c>
      <c r="K414" s="284">
        <v>0</v>
      </c>
      <c r="L414" s="284">
        <v>0</v>
      </c>
      <c r="M414" s="284">
        <v>0</v>
      </c>
      <c r="N414" s="289">
        <v>733</v>
      </c>
      <c r="O414" s="284">
        <v>0</v>
      </c>
      <c r="P414" s="284">
        <v>1609</v>
      </c>
      <c r="Q414" s="286">
        <v>56</v>
      </c>
      <c r="R414" s="274">
        <v>4175</v>
      </c>
      <c r="S414" s="274">
        <v>56</v>
      </c>
      <c r="T414" s="287">
        <f t="shared" si="6"/>
        <v>2014</v>
      </c>
      <c r="U414" s="274">
        <f>VLOOKUP(A414,'[1]SB35 Determination Data'!$B$4:$F$542,5,FALSE)</f>
        <v>2013</v>
      </c>
    </row>
    <row r="415" spans="1:21" s="274" customFormat="1" ht="12.75" x14ac:dyDescent="0.2">
      <c r="A415" s="282" t="s">
        <v>366</v>
      </c>
      <c r="B415" s="282" t="s">
        <v>557</v>
      </c>
      <c r="C415" s="282" t="s">
        <v>758</v>
      </c>
      <c r="D415" s="283">
        <v>2015</v>
      </c>
      <c r="E415" s="282" t="s">
        <v>650</v>
      </c>
      <c r="F415" s="284">
        <v>1042</v>
      </c>
      <c r="G415" s="285">
        <v>0</v>
      </c>
      <c r="H415" s="288">
        <v>0</v>
      </c>
      <c r="I415" s="285">
        <v>0</v>
      </c>
      <c r="J415" s="285">
        <v>791</v>
      </c>
      <c r="K415" s="284">
        <v>11</v>
      </c>
      <c r="L415" s="284">
        <v>11</v>
      </c>
      <c r="M415" s="284">
        <v>0</v>
      </c>
      <c r="N415" s="284">
        <v>733</v>
      </c>
      <c r="O415" s="284">
        <v>0</v>
      </c>
      <c r="P415" s="284">
        <v>1609</v>
      </c>
      <c r="Q415" s="286">
        <v>7</v>
      </c>
      <c r="R415" s="274">
        <v>4175</v>
      </c>
      <c r="S415" s="274">
        <v>18</v>
      </c>
      <c r="T415" s="287">
        <f t="shared" si="6"/>
        <v>2015</v>
      </c>
      <c r="U415" s="274">
        <f>VLOOKUP(A415,'[1]SB35 Determination Data'!$B$4:$F$542,5,FALSE)</f>
        <v>2013</v>
      </c>
    </row>
    <row r="416" spans="1:21" s="274" customFormat="1" ht="12.75" x14ac:dyDescent="0.2">
      <c r="A416" s="282" t="s">
        <v>366</v>
      </c>
      <c r="B416" s="282" t="s">
        <v>557</v>
      </c>
      <c r="C416" s="282" t="s">
        <v>758</v>
      </c>
      <c r="D416" s="283">
        <v>2016</v>
      </c>
      <c r="E416" s="282" t="s">
        <v>650</v>
      </c>
      <c r="F416" s="284">
        <v>1042</v>
      </c>
      <c r="G416" s="285">
        <v>0</v>
      </c>
      <c r="H416" s="288">
        <v>0</v>
      </c>
      <c r="I416" s="285">
        <v>0</v>
      </c>
      <c r="J416" s="285">
        <v>791</v>
      </c>
      <c r="K416" s="284">
        <v>0</v>
      </c>
      <c r="L416" s="284">
        <v>0</v>
      </c>
      <c r="M416" s="284">
        <v>0</v>
      </c>
      <c r="N416" s="284">
        <v>733</v>
      </c>
      <c r="O416" s="284">
        <v>1</v>
      </c>
      <c r="P416" s="284">
        <v>1609</v>
      </c>
      <c r="Q416" s="286">
        <v>163</v>
      </c>
      <c r="R416" s="274">
        <v>4175</v>
      </c>
      <c r="S416" s="274">
        <v>164</v>
      </c>
      <c r="T416" s="287">
        <f t="shared" si="6"/>
        <v>2016</v>
      </c>
      <c r="U416" s="274">
        <f>VLOOKUP(A416,'[1]SB35 Determination Data'!$B$4:$F$542,5,FALSE)</f>
        <v>2013</v>
      </c>
    </row>
    <row r="417" spans="1:21" s="274" customFormat="1" ht="12.75" x14ac:dyDescent="0.2">
      <c r="A417" s="282" t="s">
        <v>366</v>
      </c>
      <c r="B417" s="282" t="s">
        <v>557</v>
      </c>
      <c r="C417" s="282" t="s">
        <v>758</v>
      </c>
      <c r="D417" s="283">
        <v>2017</v>
      </c>
      <c r="E417" s="282" t="s">
        <v>650</v>
      </c>
      <c r="F417" s="284">
        <v>1042</v>
      </c>
      <c r="G417" s="285">
        <v>46</v>
      </c>
      <c r="H417" s="288">
        <v>46</v>
      </c>
      <c r="I417" s="285">
        <v>0</v>
      </c>
      <c r="J417" s="285">
        <v>791</v>
      </c>
      <c r="K417" s="284">
        <v>34</v>
      </c>
      <c r="L417" s="284">
        <v>34</v>
      </c>
      <c r="M417" s="284">
        <v>0</v>
      </c>
      <c r="N417" s="284">
        <v>733</v>
      </c>
      <c r="O417" s="284">
        <v>5</v>
      </c>
      <c r="P417" s="284">
        <v>1609</v>
      </c>
      <c r="Q417" s="286">
        <v>410</v>
      </c>
      <c r="R417" s="274">
        <v>4175</v>
      </c>
      <c r="S417" s="274">
        <v>495</v>
      </c>
      <c r="T417" s="287">
        <f t="shared" si="6"/>
        <v>2017</v>
      </c>
      <c r="U417" s="274">
        <f>VLOOKUP(A417,'[1]SB35 Determination Data'!$B$4:$F$542,5,FALSE)</f>
        <v>2013</v>
      </c>
    </row>
    <row r="418" spans="1:21" s="274" customFormat="1" ht="12.75" x14ac:dyDescent="0.2">
      <c r="A418" s="282" t="s">
        <v>368</v>
      </c>
      <c r="B418" s="282" t="s">
        <v>651</v>
      </c>
      <c r="C418" s="282" t="s">
        <v>660</v>
      </c>
      <c r="D418" s="283">
        <v>2017</v>
      </c>
      <c r="E418" s="282" t="s">
        <v>650</v>
      </c>
      <c r="F418" s="284">
        <v>3</v>
      </c>
      <c r="G418" s="285">
        <v>0</v>
      </c>
      <c r="H418" s="288">
        <v>0</v>
      </c>
      <c r="I418" s="285">
        <v>0</v>
      </c>
      <c r="J418" s="285">
        <v>2</v>
      </c>
      <c r="K418" s="284">
        <v>0</v>
      </c>
      <c r="L418" s="284">
        <v>0</v>
      </c>
      <c r="M418" s="284">
        <v>0</v>
      </c>
      <c r="N418" s="284">
        <v>2</v>
      </c>
      <c r="O418" s="284">
        <v>1</v>
      </c>
      <c r="P418" s="284">
        <v>3</v>
      </c>
      <c r="Q418" s="286">
        <v>0</v>
      </c>
      <c r="R418" s="274">
        <v>10</v>
      </c>
      <c r="S418" s="274">
        <v>1</v>
      </c>
      <c r="T418" s="287">
        <f t="shared" si="6"/>
        <v>2017</v>
      </c>
      <c r="U418" s="274">
        <f>VLOOKUP(A418,'[1]SB35 Determination Data'!$B$4:$F$542,5,FALSE)</f>
        <v>2014</v>
      </c>
    </row>
    <row r="419" spans="1:21" s="274" customFormat="1" ht="12.75" x14ac:dyDescent="0.2">
      <c r="A419" s="282" t="s">
        <v>371</v>
      </c>
      <c r="B419" s="282" t="s">
        <v>171</v>
      </c>
      <c r="C419" s="282" t="s">
        <v>660</v>
      </c>
      <c r="D419" s="283">
        <v>2014</v>
      </c>
      <c r="E419" s="282" t="s">
        <v>650</v>
      </c>
      <c r="F419" s="284">
        <v>145</v>
      </c>
      <c r="G419" s="285">
        <v>0</v>
      </c>
      <c r="H419" s="288">
        <v>0</v>
      </c>
      <c r="I419" s="285">
        <v>0</v>
      </c>
      <c r="J419" s="285">
        <v>96</v>
      </c>
      <c r="K419" s="284">
        <v>0</v>
      </c>
      <c r="L419" s="284">
        <v>0</v>
      </c>
      <c r="M419" s="284">
        <v>0</v>
      </c>
      <c r="N419" s="289">
        <v>104</v>
      </c>
      <c r="O419" s="284">
        <v>0</v>
      </c>
      <c r="P419" s="284">
        <v>264</v>
      </c>
      <c r="Q419" s="286">
        <v>7</v>
      </c>
      <c r="R419" s="274">
        <v>609</v>
      </c>
      <c r="S419" s="274">
        <v>7</v>
      </c>
      <c r="T419" s="287">
        <f t="shared" si="6"/>
        <v>2014</v>
      </c>
      <c r="U419" s="274">
        <f>VLOOKUP(A419,'[1]SB35 Determination Data'!$B$4:$F$542,5,FALSE)</f>
        <v>2014</v>
      </c>
    </row>
    <row r="420" spans="1:21" s="274" customFormat="1" ht="12.75" x14ac:dyDescent="0.2">
      <c r="A420" s="282" t="s">
        <v>371</v>
      </c>
      <c r="B420" s="282" t="s">
        <v>171</v>
      </c>
      <c r="C420" s="282" t="s">
        <v>660</v>
      </c>
      <c r="D420" s="283">
        <v>2015</v>
      </c>
      <c r="E420" s="282" t="s">
        <v>650</v>
      </c>
      <c r="F420" s="284">
        <v>145</v>
      </c>
      <c r="G420" s="285">
        <v>0</v>
      </c>
      <c r="H420" s="288">
        <v>0</v>
      </c>
      <c r="I420" s="285">
        <v>0</v>
      </c>
      <c r="J420" s="285">
        <v>96</v>
      </c>
      <c r="K420" s="284">
        <v>55</v>
      </c>
      <c r="L420" s="284">
        <v>49</v>
      </c>
      <c r="M420" s="284">
        <v>6</v>
      </c>
      <c r="N420" s="284">
        <v>104</v>
      </c>
      <c r="O420" s="284">
        <v>8</v>
      </c>
      <c r="P420" s="284">
        <v>264</v>
      </c>
      <c r="Q420" s="286">
        <v>14</v>
      </c>
      <c r="R420" s="274">
        <v>609</v>
      </c>
      <c r="S420" s="274">
        <v>77</v>
      </c>
      <c r="T420" s="287">
        <f t="shared" si="6"/>
        <v>2015</v>
      </c>
      <c r="U420" s="274">
        <f>VLOOKUP(A420,'[1]SB35 Determination Data'!$B$4:$F$542,5,FALSE)</f>
        <v>2014</v>
      </c>
    </row>
    <row r="421" spans="1:21" s="274" customFormat="1" ht="12.75" x14ac:dyDescent="0.2">
      <c r="A421" s="282" t="s">
        <v>371</v>
      </c>
      <c r="B421" s="282" t="s">
        <v>171</v>
      </c>
      <c r="C421" s="282" t="s">
        <v>660</v>
      </c>
      <c r="D421" s="283">
        <v>2016</v>
      </c>
      <c r="E421" s="282" t="s">
        <v>650</v>
      </c>
      <c r="F421" s="284">
        <v>145</v>
      </c>
      <c r="G421" s="285">
        <v>0</v>
      </c>
      <c r="H421" s="288">
        <v>0</v>
      </c>
      <c r="I421" s="285">
        <v>0</v>
      </c>
      <c r="J421" s="285">
        <v>96</v>
      </c>
      <c r="K421" s="284">
        <v>0</v>
      </c>
      <c r="L421" s="284">
        <v>0</v>
      </c>
      <c r="M421" s="284">
        <v>0</v>
      </c>
      <c r="N421" s="284">
        <v>104</v>
      </c>
      <c r="O421" s="284">
        <v>0</v>
      </c>
      <c r="P421" s="284">
        <v>264</v>
      </c>
      <c r="Q421" s="286">
        <v>4</v>
      </c>
      <c r="R421" s="274">
        <v>609</v>
      </c>
      <c r="S421" s="274">
        <v>4</v>
      </c>
      <c r="T421" s="287">
        <f t="shared" si="6"/>
        <v>2016</v>
      </c>
      <c r="U421" s="274">
        <f>VLOOKUP(A421,'[1]SB35 Determination Data'!$B$4:$F$542,5,FALSE)</f>
        <v>2014</v>
      </c>
    </row>
    <row r="422" spans="1:21" s="274" customFormat="1" ht="12.75" x14ac:dyDescent="0.2">
      <c r="A422" s="282" t="s">
        <v>371</v>
      </c>
      <c r="B422" s="282" t="s">
        <v>171</v>
      </c>
      <c r="C422" s="282" t="s">
        <v>660</v>
      </c>
      <c r="D422" s="283">
        <v>2017</v>
      </c>
      <c r="E422" s="282" t="s">
        <v>650</v>
      </c>
      <c r="F422" s="284">
        <v>145</v>
      </c>
      <c r="G422" s="285">
        <v>0</v>
      </c>
      <c r="H422" s="288">
        <v>0</v>
      </c>
      <c r="I422" s="285">
        <v>0</v>
      </c>
      <c r="J422" s="285">
        <v>96</v>
      </c>
      <c r="K422" s="284">
        <v>0</v>
      </c>
      <c r="L422" s="284">
        <v>0</v>
      </c>
      <c r="M422" s="284">
        <v>0</v>
      </c>
      <c r="N422" s="284">
        <v>104</v>
      </c>
      <c r="O422" s="284">
        <v>0</v>
      </c>
      <c r="P422" s="284">
        <v>264</v>
      </c>
      <c r="Q422" s="286">
        <v>16</v>
      </c>
      <c r="R422" s="274">
        <v>609</v>
      </c>
      <c r="S422" s="274">
        <v>16</v>
      </c>
      <c r="T422" s="287">
        <f t="shared" si="6"/>
        <v>2017</v>
      </c>
      <c r="U422" s="274">
        <f>VLOOKUP(A422,'[1]SB35 Determination Data'!$B$4:$F$542,5,FALSE)</f>
        <v>2014</v>
      </c>
    </row>
    <row r="423" spans="1:21" s="274" customFormat="1" ht="12.75" x14ac:dyDescent="0.2">
      <c r="A423" s="282" t="s">
        <v>372</v>
      </c>
      <c r="B423" s="282" t="s">
        <v>714</v>
      </c>
      <c r="C423" s="282" t="s">
        <v>531</v>
      </c>
      <c r="D423" s="283">
        <v>2017</v>
      </c>
      <c r="E423" s="282" t="s">
        <v>650</v>
      </c>
      <c r="F423" s="284">
        <v>143</v>
      </c>
      <c r="G423" s="285">
        <v>0</v>
      </c>
      <c r="H423" s="288">
        <v>0</v>
      </c>
      <c r="I423" s="285">
        <v>0</v>
      </c>
      <c r="J423" s="285">
        <v>125</v>
      </c>
      <c r="K423" s="284">
        <v>2</v>
      </c>
      <c r="L423" s="284">
        <v>0</v>
      </c>
      <c r="M423" s="284">
        <v>2</v>
      </c>
      <c r="N423" s="284">
        <v>85</v>
      </c>
      <c r="O423" s="284">
        <v>2</v>
      </c>
      <c r="P423" s="284">
        <v>272</v>
      </c>
      <c r="Q423" s="286">
        <v>6</v>
      </c>
      <c r="R423" s="274">
        <v>625</v>
      </c>
      <c r="S423" s="274">
        <v>10</v>
      </c>
      <c r="T423" s="287">
        <f t="shared" si="6"/>
        <v>2017</v>
      </c>
      <c r="U423" s="274">
        <f>VLOOKUP(A423,'[1]SB35 Determination Data'!$B$4:$F$542,5,FALSE)</f>
        <v>2016</v>
      </c>
    </row>
    <row r="424" spans="1:21" s="274" customFormat="1" ht="12.75" x14ac:dyDescent="0.2">
      <c r="A424" s="282" t="s">
        <v>374</v>
      </c>
      <c r="B424" s="282" t="s">
        <v>301</v>
      </c>
      <c r="C424" s="282" t="s">
        <v>654</v>
      </c>
      <c r="D424" s="283">
        <v>2015</v>
      </c>
      <c r="E424" s="282" t="s">
        <v>650</v>
      </c>
      <c r="F424" s="284">
        <v>16</v>
      </c>
      <c r="G424" s="285">
        <v>0</v>
      </c>
      <c r="H424" s="288">
        <v>0</v>
      </c>
      <c r="I424" s="285">
        <v>0</v>
      </c>
      <c r="J424" s="285">
        <v>11</v>
      </c>
      <c r="K424" s="284">
        <v>0</v>
      </c>
      <c r="L424" s="284">
        <v>0</v>
      </c>
      <c r="M424" s="284">
        <v>0</v>
      </c>
      <c r="N424" s="284">
        <v>11</v>
      </c>
      <c r="O424" s="284">
        <v>0</v>
      </c>
      <c r="P424" s="284">
        <v>23</v>
      </c>
      <c r="Q424" s="286">
        <v>0</v>
      </c>
      <c r="R424" s="274">
        <v>61</v>
      </c>
      <c r="S424" s="274">
        <v>0</v>
      </c>
      <c r="T424" s="287">
        <f t="shared" si="6"/>
        <v>2015</v>
      </c>
      <c r="U424" s="274">
        <f>VLOOKUP(A424,'[1]SB35 Determination Data'!$B$4:$F$542,5,FALSE)</f>
        <v>2015</v>
      </c>
    </row>
    <row r="425" spans="1:21" s="274" customFormat="1" ht="12.75" x14ac:dyDescent="0.2">
      <c r="A425" s="282" t="s">
        <v>374</v>
      </c>
      <c r="B425" s="282" t="s">
        <v>301</v>
      </c>
      <c r="C425" s="282" t="s">
        <v>654</v>
      </c>
      <c r="D425" s="283">
        <v>2016</v>
      </c>
      <c r="E425" s="282" t="s">
        <v>650</v>
      </c>
      <c r="F425" s="284">
        <v>16</v>
      </c>
      <c r="G425" s="285">
        <v>0</v>
      </c>
      <c r="H425" s="288">
        <v>0</v>
      </c>
      <c r="I425" s="285">
        <v>0</v>
      </c>
      <c r="J425" s="285">
        <v>11</v>
      </c>
      <c r="K425" s="284">
        <v>0</v>
      </c>
      <c r="L425" s="284">
        <v>0</v>
      </c>
      <c r="M425" s="284">
        <v>0</v>
      </c>
      <c r="N425" s="284">
        <v>11</v>
      </c>
      <c r="O425" s="284">
        <v>0</v>
      </c>
      <c r="P425" s="284">
        <v>23</v>
      </c>
      <c r="Q425" s="286">
        <v>5</v>
      </c>
      <c r="R425" s="274">
        <v>61</v>
      </c>
      <c r="S425" s="274">
        <v>5</v>
      </c>
      <c r="T425" s="287">
        <f t="shared" si="6"/>
        <v>2016</v>
      </c>
      <c r="U425" s="274">
        <f>VLOOKUP(A425,'[1]SB35 Determination Data'!$B$4:$F$542,5,FALSE)</f>
        <v>2015</v>
      </c>
    </row>
    <row r="426" spans="1:21" s="274" customFormat="1" ht="12.75" x14ac:dyDescent="0.2">
      <c r="A426" s="282" t="s">
        <v>374</v>
      </c>
      <c r="B426" s="282" t="s">
        <v>301</v>
      </c>
      <c r="C426" s="282" t="s">
        <v>654</v>
      </c>
      <c r="D426" s="283">
        <v>2017</v>
      </c>
      <c r="E426" s="282" t="s">
        <v>650</v>
      </c>
      <c r="F426" s="284">
        <v>16</v>
      </c>
      <c r="G426" s="285">
        <v>1</v>
      </c>
      <c r="H426" s="288">
        <v>1</v>
      </c>
      <c r="I426" s="285">
        <v>0</v>
      </c>
      <c r="J426" s="285">
        <v>11</v>
      </c>
      <c r="K426" s="284">
        <v>1</v>
      </c>
      <c r="L426" s="284">
        <v>1</v>
      </c>
      <c r="M426" s="284">
        <v>0</v>
      </c>
      <c r="N426" s="289">
        <v>11</v>
      </c>
      <c r="O426" s="284">
        <v>1</v>
      </c>
      <c r="P426" s="284">
        <v>23</v>
      </c>
      <c r="Q426" s="286">
        <v>5</v>
      </c>
      <c r="R426" s="274">
        <v>61</v>
      </c>
      <c r="S426" s="274">
        <v>8</v>
      </c>
      <c r="T426" s="287">
        <f t="shared" si="6"/>
        <v>2017</v>
      </c>
      <c r="U426" s="274">
        <f>VLOOKUP(A426,'[1]SB35 Determination Data'!$B$4:$F$542,5,FALSE)</f>
        <v>2015</v>
      </c>
    </row>
    <row r="427" spans="1:21" s="274" customFormat="1" ht="12.75" x14ac:dyDescent="0.2">
      <c r="A427" s="282" t="s">
        <v>376</v>
      </c>
      <c r="B427" s="282" t="s">
        <v>663</v>
      </c>
      <c r="C427" s="282" t="s">
        <v>654</v>
      </c>
      <c r="D427" s="283">
        <v>2014</v>
      </c>
      <c r="E427" s="282" t="s">
        <v>650</v>
      </c>
      <c r="F427" s="284">
        <v>779</v>
      </c>
      <c r="G427" s="285">
        <v>0</v>
      </c>
      <c r="H427" s="288">
        <v>0</v>
      </c>
      <c r="I427" s="285">
        <v>0</v>
      </c>
      <c r="J427" s="285">
        <v>404</v>
      </c>
      <c r="K427" s="284">
        <v>0</v>
      </c>
      <c r="L427" s="284">
        <v>0</v>
      </c>
      <c r="M427" s="284">
        <v>0</v>
      </c>
      <c r="N427" s="284">
        <v>456</v>
      </c>
      <c r="O427" s="284">
        <v>6</v>
      </c>
      <c r="P427" s="284">
        <v>1461</v>
      </c>
      <c r="Q427" s="286">
        <v>319</v>
      </c>
      <c r="R427" s="274">
        <v>3100</v>
      </c>
      <c r="S427" s="274">
        <v>325</v>
      </c>
      <c r="T427" s="287">
        <f t="shared" si="6"/>
        <v>2015</v>
      </c>
      <c r="U427" s="274">
        <f>VLOOKUP(A427,'[1]SB35 Determination Data'!$B$4:$F$542,5,FALSE)</f>
        <v>2015</v>
      </c>
    </row>
    <row r="428" spans="1:21" s="274" customFormat="1" ht="12.75" x14ac:dyDescent="0.2">
      <c r="A428" s="282" t="s">
        <v>376</v>
      </c>
      <c r="B428" s="282" t="s">
        <v>663</v>
      </c>
      <c r="C428" s="282" t="s">
        <v>654</v>
      </c>
      <c r="D428" s="283">
        <v>2015</v>
      </c>
      <c r="E428" s="282" t="s">
        <v>650</v>
      </c>
      <c r="F428" s="284">
        <v>779</v>
      </c>
      <c r="G428" s="285">
        <v>0</v>
      </c>
      <c r="H428" s="288">
        <v>0</v>
      </c>
      <c r="I428" s="285">
        <v>0</v>
      </c>
      <c r="J428" s="285">
        <v>404</v>
      </c>
      <c r="K428" s="284">
        <v>0</v>
      </c>
      <c r="L428" s="284">
        <v>0</v>
      </c>
      <c r="M428" s="284">
        <v>0</v>
      </c>
      <c r="N428" s="284">
        <v>456</v>
      </c>
      <c r="O428" s="284">
        <v>290</v>
      </c>
      <c r="P428" s="284">
        <v>1461</v>
      </c>
      <c r="Q428" s="286">
        <v>448</v>
      </c>
      <c r="R428" s="274">
        <v>3100</v>
      </c>
      <c r="S428" s="274">
        <v>738</v>
      </c>
      <c r="T428" s="287">
        <f t="shared" si="6"/>
        <v>2015</v>
      </c>
      <c r="U428" s="274">
        <f>VLOOKUP(A428,'[1]SB35 Determination Data'!$B$4:$F$542,5,FALSE)</f>
        <v>2015</v>
      </c>
    </row>
    <row r="429" spans="1:21" s="274" customFormat="1" ht="12.75" x14ac:dyDescent="0.2">
      <c r="A429" s="282" t="s">
        <v>376</v>
      </c>
      <c r="B429" s="282" t="s">
        <v>663</v>
      </c>
      <c r="C429" s="282" t="s">
        <v>654</v>
      </c>
      <c r="D429" s="283">
        <v>2016</v>
      </c>
      <c r="E429" s="282" t="s">
        <v>650</v>
      </c>
      <c r="F429" s="284">
        <v>779</v>
      </c>
      <c r="G429" s="285">
        <v>0</v>
      </c>
      <c r="H429" s="288">
        <v>0</v>
      </c>
      <c r="I429" s="285">
        <v>0</v>
      </c>
      <c r="J429" s="285">
        <v>404</v>
      </c>
      <c r="K429" s="284">
        <v>0</v>
      </c>
      <c r="L429" s="284">
        <v>0</v>
      </c>
      <c r="M429" s="284">
        <v>0</v>
      </c>
      <c r="N429" s="289">
        <v>456</v>
      </c>
      <c r="O429" s="284">
        <v>63</v>
      </c>
      <c r="P429" s="284">
        <v>1461</v>
      </c>
      <c r="Q429" s="286">
        <v>200</v>
      </c>
      <c r="R429" s="274">
        <v>3100</v>
      </c>
      <c r="S429" s="274">
        <v>263</v>
      </c>
      <c r="T429" s="287">
        <f t="shared" si="6"/>
        <v>2016</v>
      </c>
      <c r="U429" s="274">
        <f>VLOOKUP(A429,'[1]SB35 Determination Data'!$B$4:$F$542,5,FALSE)</f>
        <v>2015</v>
      </c>
    </row>
    <row r="430" spans="1:21" s="274" customFormat="1" ht="12.75" x14ac:dyDescent="0.2">
      <c r="A430" s="282" t="s">
        <v>376</v>
      </c>
      <c r="B430" s="282" t="s">
        <v>663</v>
      </c>
      <c r="C430" s="282" t="s">
        <v>654</v>
      </c>
      <c r="D430" s="283">
        <v>2017</v>
      </c>
      <c r="E430" s="282" t="s">
        <v>650</v>
      </c>
      <c r="F430" s="284">
        <v>779</v>
      </c>
      <c r="G430" s="285">
        <v>0</v>
      </c>
      <c r="H430" s="288">
        <v>0</v>
      </c>
      <c r="I430" s="285">
        <v>0</v>
      </c>
      <c r="J430" s="285">
        <v>404</v>
      </c>
      <c r="K430" s="284">
        <v>0</v>
      </c>
      <c r="L430" s="284">
        <v>0</v>
      </c>
      <c r="M430" s="284">
        <v>0</v>
      </c>
      <c r="N430" s="284">
        <v>456</v>
      </c>
      <c r="O430" s="284">
        <v>1</v>
      </c>
      <c r="P430" s="284">
        <v>1461</v>
      </c>
      <c r="Q430" s="286">
        <v>435</v>
      </c>
      <c r="R430" s="274">
        <v>3100</v>
      </c>
      <c r="S430" s="274">
        <v>436</v>
      </c>
      <c r="T430" s="287">
        <f t="shared" si="6"/>
        <v>2017</v>
      </c>
      <c r="U430" s="274">
        <f>VLOOKUP(A430,'[1]SB35 Determination Data'!$B$4:$F$542,5,FALSE)</f>
        <v>2015</v>
      </c>
    </row>
    <row r="431" spans="1:21" s="274" customFormat="1" ht="12.75" x14ac:dyDescent="0.2">
      <c r="A431" s="282" t="s">
        <v>377</v>
      </c>
      <c r="B431" s="282" t="s">
        <v>714</v>
      </c>
      <c r="C431" s="282" t="s">
        <v>531</v>
      </c>
      <c r="D431" s="283">
        <v>2016</v>
      </c>
      <c r="E431" s="282" t="s">
        <v>650</v>
      </c>
      <c r="F431" s="284">
        <v>74</v>
      </c>
      <c r="G431" s="285">
        <v>0</v>
      </c>
      <c r="H431" s="288">
        <v>0</v>
      </c>
      <c r="I431" s="285">
        <v>0</v>
      </c>
      <c r="J431" s="285">
        <v>65</v>
      </c>
      <c r="K431" s="284">
        <v>6</v>
      </c>
      <c r="L431" s="284">
        <v>6</v>
      </c>
      <c r="M431" s="284">
        <v>0</v>
      </c>
      <c r="N431" s="284">
        <v>68</v>
      </c>
      <c r="O431" s="284">
        <v>6</v>
      </c>
      <c r="P431" s="284">
        <v>259</v>
      </c>
      <c r="Q431" s="286">
        <v>0</v>
      </c>
      <c r="R431" s="274">
        <v>466</v>
      </c>
      <c r="S431" s="274">
        <v>12</v>
      </c>
      <c r="T431" s="287">
        <f t="shared" si="6"/>
        <v>2016</v>
      </c>
      <c r="U431" s="274">
        <f>VLOOKUP(A431,'[1]SB35 Determination Data'!$B$4:$F$542,5,FALSE)</f>
        <v>2016</v>
      </c>
    </row>
    <row r="432" spans="1:21" s="274" customFormat="1" ht="12.75" x14ac:dyDescent="0.2">
      <c r="A432" s="282" t="s">
        <v>377</v>
      </c>
      <c r="B432" s="282" t="s">
        <v>714</v>
      </c>
      <c r="C432" s="282" t="s">
        <v>531</v>
      </c>
      <c r="D432" s="283">
        <v>2017</v>
      </c>
      <c r="E432" s="282" t="s">
        <v>650</v>
      </c>
      <c r="F432" s="284">
        <v>74</v>
      </c>
      <c r="G432" s="285">
        <v>6</v>
      </c>
      <c r="H432" s="288">
        <v>0</v>
      </c>
      <c r="I432" s="285">
        <v>6</v>
      </c>
      <c r="J432" s="285">
        <v>65</v>
      </c>
      <c r="K432" s="284">
        <v>7</v>
      </c>
      <c r="L432" s="284">
        <v>0</v>
      </c>
      <c r="M432" s="284">
        <v>7</v>
      </c>
      <c r="N432" s="284">
        <v>68</v>
      </c>
      <c r="O432" s="284">
        <v>5</v>
      </c>
      <c r="P432" s="284">
        <v>259</v>
      </c>
      <c r="Q432" s="286">
        <v>5</v>
      </c>
      <c r="R432" s="274">
        <v>466</v>
      </c>
      <c r="S432" s="274">
        <v>23</v>
      </c>
      <c r="T432" s="287">
        <f t="shared" si="6"/>
        <v>2017</v>
      </c>
      <c r="U432" s="274">
        <f>VLOOKUP(A432,'[1]SB35 Determination Data'!$B$4:$F$542,5,FALSE)</f>
        <v>2016</v>
      </c>
    </row>
    <row r="433" spans="1:21" s="274" customFormat="1" ht="12.75" x14ac:dyDescent="0.2">
      <c r="A433" s="282" t="s">
        <v>356</v>
      </c>
      <c r="B433" s="282" t="s">
        <v>125</v>
      </c>
      <c r="C433" s="282" t="s">
        <v>531</v>
      </c>
      <c r="D433" s="283">
        <v>2017</v>
      </c>
      <c r="E433" s="282" t="s">
        <v>650</v>
      </c>
      <c r="F433" s="284">
        <v>128</v>
      </c>
      <c r="G433" s="285">
        <v>15</v>
      </c>
      <c r="H433" s="288">
        <v>15</v>
      </c>
      <c r="I433" s="285">
        <v>0</v>
      </c>
      <c r="J433" s="285">
        <v>169</v>
      </c>
      <c r="K433" s="284">
        <v>15</v>
      </c>
      <c r="L433" s="284">
        <v>15</v>
      </c>
      <c r="M433" s="284">
        <v>0</v>
      </c>
      <c r="N433" s="284">
        <v>204</v>
      </c>
      <c r="O433" s="284">
        <v>0</v>
      </c>
      <c r="P433" s="284">
        <v>211</v>
      </c>
      <c r="Q433" s="286">
        <v>0</v>
      </c>
      <c r="R433" s="274">
        <v>712</v>
      </c>
      <c r="S433" s="274">
        <v>30</v>
      </c>
      <c r="T433" s="287">
        <f t="shared" si="6"/>
        <v>2017</v>
      </c>
      <c r="U433" s="274">
        <f>VLOOKUP(A433,'[1]SB35 Determination Data'!$B$4:$F$542,5,FALSE)</f>
        <v>2016</v>
      </c>
    </row>
    <row r="434" spans="1:21" s="274" customFormat="1" ht="12.75" x14ac:dyDescent="0.2">
      <c r="A434" s="282" t="s">
        <v>380</v>
      </c>
      <c r="B434" s="282" t="s">
        <v>511</v>
      </c>
      <c r="C434" s="282" t="s">
        <v>685</v>
      </c>
      <c r="D434" s="283">
        <v>2013</v>
      </c>
      <c r="E434" s="282" t="s">
        <v>650</v>
      </c>
      <c r="F434" s="284">
        <v>1218</v>
      </c>
      <c r="G434" s="285">
        <v>0</v>
      </c>
      <c r="H434" s="288">
        <v>0</v>
      </c>
      <c r="I434" s="285">
        <v>0</v>
      </c>
      <c r="J434" s="285">
        <v>854</v>
      </c>
      <c r="K434" s="284">
        <v>0</v>
      </c>
      <c r="L434" s="284">
        <v>0</v>
      </c>
      <c r="M434" s="284">
        <v>0</v>
      </c>
      <c r="N434" s="289">
        <v>862</v>
      </c>
      <c r="O434" s="284">
        <v>28</v>
      </c>
      <c r="P434" s="284">
        <v>1699</v>
      </c>
      <c r="Q434" s="286">
        <v>302</v>
      </c>
      <c r="R434" s="274">
        <v>4633</v>
      </c>
      <c r="S434" s="274">
        <v>330</v>
      </c>
      <c r="T434" s="287">
        <f t="shared" si="6"/>
        <v>2014</v>
      </c>
      <c r="U434" s="274">
        <f>VLOOKUP(A434,'[1]SB35 Determination Data'!$B$4:$F$542,5,FALSE)</f>
        <v>2014</v>
      </c>
    </row>
    <row r="435" spans="1:21" s="274" customFormat="1" ht="12.75" x14ac:dyDescent="0.2">
      <c r="A435" s="282" t="s">
        <v>380</v>
      </c>
      <c r="B435" s="282" t="s">
        <v>511</v>
      </c>
      <c r="C435" s="282" t="s">
        <v>685</v>
      </c>
      <c r="D435" s="283">
        <v>2014</v>
      </c>
      <c r="E435" s="282" t="s">
        <v>650</v>
      </c>
      <c r="F435" s="284">
        <v>1218</v>
      </c>
      <c r="G435" s="285">
        <v>0</v>
      </c>
      <c r="H435" s="288">
        <v>0</v>
      </c>
      <c r="I435" s="285">
        <v>0</v>
      </c>
      <c r="J435" s="285">
        <v>854</v>
      </c>
      <c r="K435" s="284">
        <v>0</v>
      </c>
      <c r="L435" s="284">
        <v>0</v>
      </c>
      <c r="M435" s="284">
        <v>0</v>
      </c>
      <c r="N435" s="284">
        <v>862</v>
      </c>
      <c r="O435" s="284">
        <v>68</v>
      </c>
      <c r="P435" s="284">
        <v>1699</v>
      </c>
      <c r="Q435" s="286">
        <v>205</v>
      </c>
      <c r="R435" s="274">
        <v>4633</v>
      </c>
      <c r="S435" s="274">
        <v>273</v>
      </c>
      <c r="T435" s="287">
        <f t="shared" si="6"/>
        <v>2014</v>
      </c>
      <c r="U435" s="274">
        <f>VLOOKUP(A435,'[1]SB35 Determination Data'!$B$4:$F$542,5,FALSE)</f>
        <v>2014</v>
      </c>
    </row>
    <row r="436" spans="1:21" s="274" customFormat="1" ht="12.75" x14ac:dyDescent="0.2">
      <c r="A436" s="282" t="s">
        <v>380</v>
      </c>
      <c r="B436" s="282" t="s">
        <v>511</v>
      </c>
      <c r="C436" s="282" t="s">
        <v>685</v>
      </c>
      <c r="D436" s="283">
        <v>2015</v>
      </c>
      <c r="E436" s="282" t="s">
        <v>650</v>
      </c>
      <c r="F436" s="284">
        <v>1218</v>
      </c>
      <c r="G436" s="285">
        <v>0</v>
      </c>
      <c r="H436" s="288">
        <v>0</v>
      </c>
      <c r="I436" s="285">
        <v>0</v>
      </c>
      <c r="J436" s="285">
        <v>854</v>
      </c>
      <c r="K436" s="284">
        <v>0</v>
      </c>
      <c r="L436" s="284">
        <v>0</v>
      </c>
      <c r="M436" s="284">
        <v>0</v>
      </c>
      <c r="N436" s="284">
        <v>862</v>
      </c>
      <c r="O436" s="284">
        <v>54</v>
      </c>
      <c r="P436" s="284">
        <v>1699</v>
      </c>
      <c r="Q436" s="286">
        <v>180</v>
      </c>
      <c r="R436" s="274">
        <v>4633</v>
      </c>
      <c r="S436" s="274">
        <v>234</v>
      </c>
      <c r="T436" s="287">
        <f t="shared" si="6"/>
        <v>2015</v>
      </c>
      <c r="U436" s="274">
        <f>VLOOKUP(A436,'[1]SB35 Determination Data'!$B$4:$F$542,5,FALSE)</f>
        <v>2014</v>
      </c>
    </row>
    <row r="437" spans="1:21" s="274" customFormat="1" ht="12.75" x14ac:dyDescent="0.2">
      <c r="A437" s="282" t="s">
        <v>380</v>
      </c>
      <c r="B437" s="282" t="s">
        <v>511</v>
      </c>
      <c r="C437" s="282" t="s">
        <v>685</v>
      </c>
      <c r="D437" s="283">
        <v>2016</v>
      </c>
      <c r="E437" s="282" t="s">
        <v>650</v>
      </c>
      <c r="F437" s="284">
        <v>1218</v>
      </c>
      <c r="G437" s="285">
        <v>0</v>
      </c>
      <c r="H437" s="288">
        <v>0</v>
      </c>
      <c r="I437" s="285">
        <v>0</v>
      </c>
      <c r="J437" s="285">
        <v>854</v>
      </c>
      <c r="K437" s="284">
        <v>0</v>
      </c>
      <c r="L437" s="284">
        <v>0</v>
      </c>
      <c r="M437" s="284">
        <v>0</v>
      </c>
      <c r="N437" s="284">
        <v>862</v>
      </c>
      <c r="O437" s="284">
        <v>74</v>
      </c>
      <c r="P437" s="284">
        <v>1699</v>
      </c>
      <c r="Q437" s="286">
        <v>99</v>
      </c>
      <c r="R437" s="274">
        <v>4633</v>
      </c>
      <c r="S437" s="274">
        <v>173</v>
      </c>
      <c r="T437" s="287">
        <f t="shared" si="6"/>
        <v>2016</v>
      </c>
      <c r="U437" s="274">
        <f>VLOOKUP(A437,'[1]SB35 Determination Data'!$B$4:$F$542,5,FALSE)</f>
        <v>2014</v>
      </c>
    </row>
    <row r="438" spans="1:21" s="274" customFormat="1" ht="12.75" x14ac:dyDescent="0.2">
      <c r="A438" s="282" t="s">
        <v>380</v>
      </c>
      <c r="B438" s="282" t="s">
        <v>511</v>
      </c>
      <c r="C438" s="282" t="s">
        <v>685</v>
      </c>
      <c r="D438" s="283">
        <v>2017</v>
      </c>
      <c r="E438" s="282" t="s">
        <v>650</v>
      </c>
      <c r="F438" s="284">
        <v>1218</v>
      </c>
      <c r="G438" s="285">
        <v>6</v>
      </c>
      <c r="H438" s="288">
        <v>6</v>
      </c>
      <c r="I438" s="285">
        <v>0</v>
      </c>
      <c r="J438" s="285">
        <v>854</v>
      </c>
      <c r="K438" s="284">
        <v>0</v>
      </c>
      <c r="L438" s="284">
        <v>0</v>
      </c>
      <c r="M438" s="284">
        <v>0</v>
      </c>
      <c r="N438" s="284">
        <v>862</v>
      </c>
      <c r="O438" s="284">
        <v>358</v>
      </c>
      <c r="P438" s="284">
        <v>1699</v>
      </c>
      <c r="Q438" s="286">
        <v>138</v>
      </c>
      <c r="R438" s="274">
        <v>4633</v>
      </c>
      <c r="S438" s="274">
        <v>502</v>
      </c>
      <c r="T438" s="287">
        <f t="shared" si="6"/>
        <v>2017</v>
      </c>
      <c r="U438" s="274">
        <f>VLOOKUP(A438,'[1]SB35 Determination Data'!$B$4:$F$542,5,FALSE)</f>
        <v>2014</v>
      </c>
    </row>
    <row r="439" spans="1:21" s="274" customFormat="1" ht="12.75" x14ac:dyDescent="0.2">
      <c r="A439" s="282" t="s">
        <v>382</v>
      </c>
      <c r="B439" s="282" t="s">
        <v>542</v>
      </c>
      <c r="C439" s="282" t="s">
        <v>649</v>
      </c>
      <c r="D439" s="283">
        <v>2014</v>
      </c>
      <c r="E439" s="282" t="s">
        <v>650</v>
      </c>
      <c r="F439" s="284">
        <v>1442</v>
      </c>
      <c r="G439" s="285">
        <v>63</v>
      </c>
      <c r="H439" s="288">
        <v>63</v>
      </c>
      <c r="I439" s="285">
        <v>0</v>
      </c>
      <c r="J439" s="285">
        <v>974</v>
      </c>
      <c r="K439" s="284">
        <v>0</v>
      </c>
      <c r="L439" s="284">
        <v>0</v>
      </c>
      <c r="M439" s="284">
        <v>0</v>
      </c>
      <c r="N439" s="284">
        <v>1090</v>
      </c>
      <c r="O439" s="284">
        <v>0</v>
      </c>
      <c r="P439" s="284">
        <v>2471</v>
      </c>
      <c r="Q439" s="286">
        <v>258</v>
      </c>
      <c r="R439" s="274">
        <v>5977</v>
      </c>
      <c r="S439" s="274">
        <v>321</v>
      </c>
      <c r="T439" s="287">
        <f t="shared" si="6"/>
        <v>2014</v>
      </c>
      <c r="U439" s="274">
        <f>VLOOKUP(A439,'[1]SB35 Determination Data'!$B$4:$F$542,5,FALSE)</f>
        <v>2014</v>
      </c>
    </row>
    <row r="440" spans="1:21" s="274" customFormat="1" ht="12.75" x14ac:dyDescent="0.2">
      <c r="A440" s="282" t="s">
        <v>382</v>
      </c>
      <c r="B440" s="282" t="s">
        <v>542</v>
      </c>
      <c r="C440" s="282" t="s">
        <v>649</v>
      </c>
      <c r="D440" s="283">
        <v>2015</v>
      </c>
      <c r="E440" s="282" t="s">
        <v>650</v>
      </c>
      <c r="F440" s="284">
        <v>1442</v>
      </c>
      <c r="G440" s="285">
        <v>0</v>
      </c>
      <c r="H440" s="288">
        <v>0</v>
      </c>
      <c r="I440" s="285">
        <v>0</v>
      </c>
      <c r="J440" s="285">
        <v>974</v>
      </c>
      <c r="K440" s="284">
        <v>147</v>
      </c>
      <c r="L440" s="284">
        <v>147</v>
      </c>
      <c r="M440" s="284">
        <v>0</v>
      </c>
      <c r="N440" s="284">
        <v>1090</v>
      </c>
      <c r="O440" s="284">
        <v>0</v>
      </c>
      <c r="P440" s="284">
        <v>2471</v>
      </c>
      <c r="Q440" s="286">
        <v>368</v>
      </c>
      <c r="R440" s="274">
        <v>5977</v>
      </c>
      <c r="S440" s="274">
        <v>515</v>
      </c>
      <c r="T440" s="287">
        <f t="shared" si="6"/>
        <v>2015</v>
      </c>
      <c r="U440" s="274">
        <f>VLOOKUP(A440,'[1]SB35 Determination Data'!$B$4:$F$542,5,FALSE)</f>
        <v>2014</v>
      </c>
    </row>
    <row r="441" spans="1:21" s="274" customFormat="1" ht="12.75" x14ac:dyDescent="0.2">
      <c r="A441" s="282" t="s">
        <v>382</v>
      </c>
      <c r="B441" s="282" t="s">
        <v>542</v>
      </c>
      <c r="C441" s="282" t="s">
        <v>649</v>
      </c>
      <c r="D441" s="283">
        <v>2016</v>
      </c>
      <c r="E441" s="282" t="s">
        <v>650</v>
      </c>
      <c r="F441" s="284">
        <v>1442</v>
      </c>
      <c r="G441" s="285">
        <v>0</v>
      </c>
      <c r="H441" s="288">
        <v>0</v>
      </c>
      <c r="I441" s="285">
        <v>0</v>
      </c>
      <c r="J441" s="285">
        <v>974</v>
      </c>
      <c r="K441" s="284">
        <v>0</v>
      </c>
      <c r="L441" s="284">
        <v>0</v>
      </c>
      <c r="M441" s="284">
        <v>0</v>
      </c>
      <c r="N441" s="284">
        <v>1090</v>
      </c>
      <c r="O441" s="284">
        <v>0</v>
      </c>
      <c r="P441" s="284">
        <v>2471</v>
      </c>
      <c r="Q441" s="286">
        <v>444</v>
      </c>
      <c r="R441" s="274">
        <v>5977</v>
      </c>
      <c r="S441" s="274">
        <v>444</v>
      </c>
      <c r="T441" s="287">
        <f t="shared" si="6"/>
        <v>2016</v>
      </c>
      <c r="U441" s="274">
        <f>VLOOKUP(A441,'[1]SB35 Determination Data'!$B$4:$F$542,5,FALSE)</f>
        <v>2014</v>
      </c>
    </row>
    <row r="442" spans="1:21" s="274" customFormat="1" ht="12.75" x14ac:dyDescent="0.2">
      <c r="A442" s="282" t="s">
        <v>382</v>
      </c>
      <c r="B442" s="282" t="s">
        <v>542</v>
      </c>
      <c r="C442" s="282" t="s">
        <v>649</v>
      </c>
      <c r="D442" s="283">
        <v>2017</v>
      </c>
      <c r="E442" s="282" t="s">
        <v>650</v>
      </c>
      <c r="F442" s="284">
        <v>1442</v>
      </c>
      <c r="G442" s="285">
        <v>0</v>
      </c>
      <c r="H442" s="288">
        <v>0</v>
      </c>
      <c r="I442" s="285">
        <v>0</v>
      </c>
      <c r="J442" s="285">
        <v>974</v>
      </c>
      <c r="K442" s="284">
        <v>0</v>
      </c>
      <c r="L442" s="284">
        <v>0</v>
      </c>
      <c r="M442" s="284">
        <v>0</v>
      </c>
      <c r="N442" s="289">
        <v>1090</v>
      </c>
      <c r="O442" s="284">
        <v>0</v>
      </c>
      <c r="P442" s="284">
        <v>2471</v>
      </c>
      <c r="Q442" s="286">
        <v>435</v>
      </c>
      <c r="R442" s="274">
        <v>5977</v>
      </c>
      <c r="S442" s="274">
        <v>435</v>
      </c>
      <c r="T442" s="287">
        <f t="shared" si="6"/>
        <v>2017</v>
      </c>
      <c r="U442" s="274">
        <f>VLOOKUP(A442,'[1]SB35 Determination Data'!$B$4:$F$542,5,FALSE)</f>
        <v>2014</v>
      </c>
    </row>
    <row r="443" spans="1:21" s="274" customFormat="1" ht="12.75" x14ac:dyDescent="0.2">
      <c r="A443" s="282" t="s">
        <v>384</v>
      </c>
      <c r="B443" s="282" t="s">
        <v>334</v>
      </c>
      <c r="C443" s="282" t="s">
        <v>660</v>
      </c>
      <c r="D443" s="283">
        <v>2015</v>
      </c>
      <c r="E443" s="282" t="s">
        <v>650</v>
      </c>
      <c r="F443" s="284">
        <v>5</v>
      </c>
      <c r="G443" s="285">
        <v>0</v>
      </c>
      <c r="H443" s="288">
        <v>0</v>
      </c>
      <c r="I443" s="285">
        <v>0</v>
      </c>
      <c r="J443" s="285">
        <v>3</v>
      </c>
      <c r="K443" s="284">
        <v>2</v>
      </c>
      <c r="L443" s="284">
        <v>2</v>
      </c>
      <c r="M443" s="284">
        <v>0</v>
      </c>
      <c r="N443" s="284">
        <v>3</v>
      </c>
      <c r="O443" s="284">
        <v>0</v>
      </c>
      <c r="P443" s="284">
        <v>9</v>
      </c>
      <c r="Q443" s="286">
        <v>3</v>
      </c>
      <c r="R443" s="274">
        <v>20</v>
      </c>
      <c r="S443" s="274">
        <v>5</v>
      </c>
      <c r="T443" s="287">
        <f t="shared" si="6"/>
        <v>2015</v>
      </c>
      <c r="U443" s="274">
        <f>VLOOKUP(A443,'[1]SB35 Determination Data'!$B$4:$F$542,5,FALSE)</f>
        <v>2014</v>
      </c>
    </row>
    <row r="444" spans="1:21" s="274" customFormat="1" ht="12.75" x14ac:dyDescent="0.2">
      <c r="A444" s="282" t="s">
        <v>387</v>
      </c>
      <c r="B444" s="282" t="s">
        <v>171</v>
      </c>
      <c r="C444" s="282" t="s">
        <v>660</v>
      </c>
      <c r="D444" s="283">
        <v>2017</v>
      </c>
      <c r="E444" s="282" t="s">
        <v>650</v>
      </c>
      <c r="F444" s="284">
        <v>39</v>
      </c>
      <c r="G444" s="285">
        <v>0</v>
      </c>
      <c r="H444" s="288">
        <v>0</v>
      </c>
      <c r="I444" s="285">
        <v>0</v>
      </c>
      <c r="J444" s="285">
        <v>24</v>
      </c>
      <c r="K444" s="284">
        <v>0</v>
      </c>
      <c r="L444" s="284">
        <v>0</v>
      </c>
      <c r="M444" s="284">
        <v>0</v>
      </c>
      <c r="N444" s="284">
        <v>27</v>
      </c>
      <c r="O444" s="284">
        <v>4</v>
      </c>
      <c r="P444" s="284">
        <v>71</v>
      </c>
      <c r="Q444" s="286">
        <v>5</v>
      </c>
      <c r="R444" s="274">
        <v>161</v>
      </c>
      <c r="S444" s="274">
        <v>9</v>
      </c>
      <c r="T444" s="287">
        <f t="shared" si="6"/>
        <v>2017</v>
      </c>
      <c r="U444" s="274">
        <f>VLOOKUP(A444,'[1]SB35 Determination Data'!$B$4:$F$542,5,FALSE)</f>
        <v>2014</v>
      </c>
    </row>
    <row r="445" spans="1:21" s="274" customFormat="1" ht="12.75" x14ac:dyDescent="0.2">
      <c r="A445" s="282" t="s">
        <v>389</v>
      </c>
      <c r="B445" s="282" t="s">
        <v>595</v>
      </c>
      <c r="C445" s="282" t="s">
        <v>654</v>
      </c>
      <c r="D445" s="283">
        <v>2015</v>
      </c>
      <c r="E445" s="282" t="s">
        <v>650</v>
      </c>
      <c r="F445" s="284">
        <v>148</v>
      </c>
      <c r="G445" s="285">
        <v>83</v>
      </c>
      <c r="H445" s="288">
        <v>83</v>
      </c>
      <c r="I445" s="285">
        <v>0</v>
      </c>
      <c r="J445" s="285">
        <v>87</v>
      </c>
      <c r="K445" s="284">
        <v>49</v>
      </c>
      <c r="L445" s="284">
        <v>49</v>
      </c>
      <c r="M445" s="284">
        <v>0</v>
      </c>
      <c r="N445" s="284">
        <v>76</v>
      </c>
      <c r="O445" s="284">
        <v>14</v>
      </c>
      <c r="P445" s="284">
        <v>119</v>
      </c>
      <c r="Q445" s="286">
        <v>563</v>
      </c>
      <c r="R445" s="274">
        <v>430</v>
      </c>
      <c r="S445" s="274">
        <v>709</v>
      </c>
      <c r="T445" s="287">
        <f t="shared" si="6"/>
        <v>2015</v>
      </c>
      <c r="U445" s="274">
        <f>VLOOKUP(A445,'[1]SB35 Determination Data'!$B$4:$F$542,5,FALSE)</f>
        <v>2015</v>
      </c>
    </row>
    <row r="446" spans="1:21" s="274" customFormat="1" ht="12.75" x14ac:dyDescent="0.2">
      <c r="A446" s="282" t="s">
        <v>389</v>
      </c>
      <c r="B446" s="282" t="s">
        <v>595</v>
      </c>
      <c r="C446" s="282" t="s">
        <v>654</v>
      </c>
      <c r="D446" s="283">
        <v>2016</v>
      </c>
      <c r="E446" s="282" t="s">
        <v>650</v>
      </c>
      <c r="F446" s="284">
        <v>148</v>
      </c>
      <c r="G446" s="285">
        <v>0</v>
      </c>
      <c r="H446" s="288">
        <v>0</v>
      </c>
      <c r="I446" s="285">
        <v>0</v>
      </c>
      <c r="J446" s="285">
        <v>87</v>
      </c>
      <c r="K446" s="284">
        <v>0</v>
      </c>
      <c r="L446" s="284">
        <v>0</v>
      </c>
      <c r="M446" s="284">
        <v>0</v>
      </c>
      <c r="N446" s="284">
        <v>76</v>
      </c>
      <c r="O446" s="284">
        <v>0</v>
      </c>
      <c r="P446" s="284">
        <v>119</v>
      </c>
      <c r="Q446" s="286">
        <v>74</v>
      </c>
      <c r="R446" s="274">
        <v>430</v>
      </c>
      <c r="S446" s="274">
        <v>74</v>
      </c>
      <c r="T446" s="287">
        <f t="shared" si="6"/>
        <v>2016</v>
      </c>
      <c r="U446" s="274">
        <f>VLOOKUP(A446,'[1]SB35 Determination Data'!$B$4:$F$542,5,FALSE)</f>
        <v>2015</v>
      </c>
    </row>
    <row r="447" spans="1:21" s="274" customFormat="1" ht="12.75" x14ac:dyDescent="0.2">
      <c r="A447" s="282" t="s">
        <v>389</v>
      </c>
      <c r="B447" s="282" t="s">
        <v>595</v>
      </c>
      <c r="C447" s="282" t="s">
        <v>654</v>
      </c>
      <c r="D447" s="283">
        <v>2017</v>
      </c>
      <c r="E447" s="282" t="s">
        <v>650</v>
      </c>
      <c r="F447" s="284">
        <v>148</v>
      </c>
      <c r="G447" s="285">
        <v>1</v>
      </c>
      <c r="H447" s="288">
        <v>0</v>
      </c>
      <c r="I447" s="285">
        <v>1</v>
      </c>
      <c r="J447" s="285">
        <v>87</v>
      </c>
      <c r="K447" s="284">
        <v>0</v>
      </c>
      <c r="L447" s="284">
        <v>0</v>
      </c>
      <c r="M447" s="284">
        <v>0</v>
      </c>
      <c r="N447" s="289">
        <v>76</v>
      </c>
      <c r="O447" s="284">
        <v>0</v>
      </c>
      <c r="P447" s="284">
        <v>119</v>
      </c>
      <c r="Q447" s="286">
        <v>0</v>
      </c>
      <c r="R447" s="274">
        <v>430</v>
      </c>
      <c r="S447" s="274">
        <v>1</v>
      </c>
      <c r="T447" s="287">
        <f t="shared" si="6"/>
        <v>2017</v>
      </c>
      <c r="U447" s="274">
        <f>VLOOKUP(A447,'[1]SB35 Determination Data'!$B$4:$F$542,5,FALSE)</f>
        <v>2015</v>
      </c>
    </row>
    <row r="448" spans="1:21" s="274" customFormat="1" ht="12.75" x14ac:dyDescent="0.2">
      <c r="A448" s="282" t="s">
        <v>391</v>
      </c>
      <c r="B448" s="282" t="s">
        <v>436</v>
      </c>
      <c r="C448" s="282" t="s">
        <v>649</v>
      </c>
      <c r="D448" s="283">
        <v>2014</v>
      </c>
      <c r="E448" s="282" t="s">
        <v>650</v>
      </c>
      <c r="F448" s="284">
        <v>83</v>
      </c>
      <c r="G448" s="285">
        <v>0</v>
      </c>
      <c r="H448" s="288">
        <v>0</v>
      </c>
      <c r="I448" s="285">
        <v>0</v>
      </c>
      <c r="J448" s="285">
        <v>59</v>
      </c>
      <c r="K448" s="284">
        <v>0</v>
      </c>
      <c r="L448" s="284">
        <v>0</v>
      </c>
      <c r="M448" s="284">
        <v>0</v>
      </c>
      <c r="N448" s="284">
        <v>65</v>
      </c>
      <c r="O448" s="284">
        <v>0</v>
      </c>
      <c r="P448" s="284">
        <v>151</v>
      </c>
      <c r="Q448" s="286">
        <v>6</v>
      </c>
      <c r="R448" s="274">
        <v>358</v>
      </c>
      <c r="S448" s="274">
        <v>6</v>
      </c>
      <c r="T448" s="287">
        <f t="shared" si="6"/>
        <v>2014</v>
      </c>
      <c r="U448" s="274">
        <f>VLOOKUP(A448,'[1]SB35 Determination Data'!$B$4:$F$542,5,FALSE)</f>
        <v>2014</v>
      </c>
    </row>
    <row r="449" spans="1:21" s="274" customFormat="1" ht="12.75" x14ac:dyDescent="0.2">
      <c r="A449" s="282" t="s">
        <v>391</v>
      </c>
      <c r="B449" s="282" t="s">
        <v>436</v>
      </c>
      <c r="C449" s="282" t="s">
        <v>649</v>
      </c>
      <c r="D449" s="283">
        <v>2015</v>
      </c>
      <c r="E449" s="282" t="s">
        <v>650</v>
      </c>
      <c r="F449" s="284">
        <v>83</v>
      </c>
      <c r="G449" s="285">
        <v>0</v>
      </c>
      <c r="H449" s="288">
        <v>0</v>
      </c>
      <c r="I449" s="285">
        <v>0</v>
      </c>
      <c r="J449" s="285">
        <v>59</v>
      </c>
      <c r="K449" s="284">
        <v>0</v>
      </c>
      <c r="L449" s="284">
        <v>0</v>
      </c>
      <c r="M449" s="284">
        <v>0</v>
      </c>
      <c r="N449" s="284">
        <v>65</v>
      </c>
      <c r="O449" s="284">
        <v>0</v>
      </c>
      <c r="P449" s="284">
        <v>151</v>
      </c>
      <c r="Q449" s="286">
        <v>6</v>
      </c>
      <c r="R449" s="274">
        <v>358</v>
      </c>
      <c r="S449" s="274">
        <v>6</v>
      </c>
      <c r="T449" s="287">
        <f t="shared" si="6"/>
        <v>2015</v>
      </c>
      <c r="U449" s="274">
        <f>VLOOKUP(A449,'[1]SB35 Determination Data'!$B$4:$F$542,5,FALSE)</f>
        <v>2014</v>
      </c>
    </row>
    <row r="450" spans="1:21" s="274" customFormat="1" ht="12.75" x14ac:dyDescent="0.2">
      <c r="A450" s="282" t="s">
        <v>391</v>
      </c>
      <c r="B450" s="282" t="s">
        <v>436</v>
      </c>
      <c r="C450" s="282" t="s">
        <v>649</v>
      </c>
      <c r="D450" s="283">
        <v>2016</v>
      </c>
      <c r="E450" s="282" t="s">
        <v>650</v>
      </c>
      <c r="F450" s="284">
        <v>83</v>
      </c>
      <c r="G450" s="285">
        <v>0</v>
      </c>
      <c r="H450" s="288">
        <v>0</v>
      </c>
      <c r="I450" s="285">
        <v>0</v>
      </c>
      <c r="J450" s="285">
        <v>59</v>
      </c>
      <c r="K450" s="284">
        <v>0</v>
      </c>
      <c r="L450" s="284">
        <v>0</v>
      </c>
      <c r="M450" s="284">
        <v>0</v>
      </c>
      <c r="N450" s="284">
        <v>65</v>
      </c>
      <c r="O450" s="284">
        <v>0</v>
      </c>
      <c r="P450" s="284">
        <v>151</v>
      </c>
      <c r="Q450" s="286">
        <v>10</v>
      </c>
      <c r="R450" s="274">
        <v>358</v>
      </c>
      <c r="S450" s="274">
        <v>10</v>
      </c>
      <c r="T450" s="287">
        <f t="shared" si="6"/>
        <v>2016</v>
      </c>
      <c r="U450" s="274">
        <f>VLOOKUP(A450,'[1]SB35 Determination Data'!$B$4:$F$542,5,FALSE)</f>
        <v>2014</v>
      </c>
    </row>
    <row r="451" spans="1:21" s="274" customFormat="1" ht="12.75" x14ac:dyDescent="0.2">
      <c r="A451" s="282" t="s">
        <v>391</v>
      </c>
      <c r="B451" s="282" t="s">
        <v>436</v>
      </c>
      <c r="C451" s="282" t="s">
        <v>649</v>
      </c>
      <c r="D451" s="283">
        <v>2017</v>
      </c>
      <c r="E451" s="282" t="s">
        <v>650</v>
      </c>
      <c r="F451" s="284">
        <v>83</v>
      </c>
      <c r="G451" s="285">
        <v>0</v>
      </c>
      <c r="H451" s="288">
        <v>0</v>
      </c>
      <c r="I451" s="285">
        <v>0</v>
      </c>
      <c r="J451" s="285">
        <v>59</v>
      </c>
      <c r="K451" s="284">
        <v>0</v>
      </c>
      <c r="L451" s="284">
        <v>0</v>
      </c>
      <c r="M451" s="284">
        <v>0</v>
      </c>
      <c r="N451" s="284">
        <v>65</v>
      </c>
      <c r="O451" s="284">
        <v>6</v>
      </c>
      <c r="P451" s="284">
        <v>151</v>
      </c>
      <c r="Q451" s="286">
        <v>8</v>
      </c>
      <c r="R451" s="274">
        <v>358</v>
      </c>
      <c r="S451" s="274">
        <v>14</v>
      </c>
      <c r="T451" s="287">
        <f t="shared" si="6"/>
        <v>2017</v>
      </c>
      <c r="U451" s="274">
        <f>VLOOKUP(A451,'[1]SB35 Determination Data'!$B$4:$F$542,5,FALSE)</f>
        <v>2014</v>
      </c>
    </row>
    <row r="452" spans="1:21" s="274" customFormat="1" ht="12.75" x14ac:dyDescent="0.2">
      <c r="A452" s="282" t="s">
        <v>168</v>
      </c>
      <c r="B452" s="282" t="s">
        <v>40</v>
      </c>
      <c r="C452" s="282" t="s">
        <v>654</v>
      </c>
      <c r="D452" s="283">
        <v>2014</v>
      </c>
      <c r="E452" s="282" t="s">
        <v>650</v>
      </c>
      <c r="F452" s="284">
        <v>1714</v>
      </c>
      <c r="G452" s="285">
        <v>0</v>
      </c>
      <c r="H452" s="288">
        <v>0</v>
      </c>
      <c r="I452" s="285">
        <v>0</v>
      </c>
      <c r="J452" s="285">
        <v>926</v>
      </c>
      <c r="K452" s="284">
        <v>0</v>
      </c>
      <c r="L452" s="284">
        <v>0</v>
      </c>
      <c r="M452" s="284">
        <v>0</v>
      </c>
      <c r="N452" s="284">
        <v>978</v>
      </c>
      <c r="O452" s="284">
        <v>0</v>
      </c>
      <c r="P452" s="284">
        <v>1837</v>
      </c>
      <c r="Q452" s="286">
        <v>137</v>
      </c>
      <c r="R452" s="274">
        <v>5455</v>
      </c>
      <c r="S452" s="274">
        <v>137</v>
      </c>
      <c r="T452" s="287">
        <f t="shared" ref="T452:T515" si="7">IF(D452&gt;U452,D452,U452)</f>
        <v>2015</v>
      </c>
      <c r="U452" s="274">
        <f>VLOOKUP(A452,'[1]SB35 Determination Data'!$B$4:$F$542,5,FALSE)</f>
        <v>2015</v>
      </c>
    </row>
    <row r="453" spans="1:21" s="274" customFormat="1" ht="12.75" x14ac:dyDescent="0.2">
      <c r="A453" s="282" t="s">
        <v>168</v>
      </c>
      <c r="B453" s="282" t="s">
        <v>40</v>
      </c>
      <c r="C453" s="282" t="s">
        <v>654</v>
      </c>
      <c r="D453" s="283">
        <v>2015</v>
      </c>
      <c r="E453" s="282" t="s">
        <v>650</v>
      </c>
      <c r="F453" s="284">
        <v>1714</v>
      </c>
      <c r="G453" s="285">
        <v>64</v>
      </c>
      <c r="H453" s="288">
        <v>64</v>
      </c>
      <c r="I453" s="285">
        <v>0</v>
      </c>
      <c r="J453" s="285">
        <v>926</v>
      </c>
      <c r="K453" s="284">
        <v>0</v>
      </c>
      <c r="L453" s="284">
        <v>0</v>
      </c>
      <c r="M453" s="284">
        <v>0</v>
      </c>
      <c r="N453" s="284">
        <v>978</v>
      </c>
      <c r="O453" s="284">
        <v>0</v>
      </c>
      <c r="P453" s="284">
        <v>1837</v>
      </c>
      <c r="Q453" s="286">
        <v>383</v>
      </c>
      <c r="R453" s="274">
        <v>5455</v>
      </c>
      <c r="S453" s="274">
        <v>447</v>
      </c>
      <c r="T453" s="287">
        <f t="shared" si="7"/>
        <v>2015</v>
      </c>
      <c r="U453" s="274">
        <f>VLOOKUP(A453,'[1]SB35 Determination Data'!$B$4:$F$542,5,FALSE)</f>
        <v>2015</v>
      </c>
    </row>
    <row r="454" spans="1:21" s="274" customFormat="1" ht="12.75" x14ac:dyDescent="0.2">
      <c r="A454" s="282" t="s">
        <v>168</v>
      </c>
      <c r="B454" s="282" t="s">
        <v>40</v>
      </c>
      <c r="C454" s="282" t="s">
        <v>654</v>
      </c>
      <c r="D454" s="283">
        <v>2016</v>
      </c>
      <c r="E454" s="282" t="s">
        <v>650</v>
      </c>
      <c r="F454" s="284">
        <v>1714</v>
      </c>
      <c r="G454" s="285">
        <v>2</v>
      </c>
      <c r="H454" s="288">
        <v>2</v>
      </c>
      <c r="I454" s="285">
        <v>0</v>
      </c>
      <c r="J454" s="285">
        <v>926</v>
      </c>
      <c r="K454" s="284">
        <v>0</v>
      </c>
      <c r="L454" s="284">
        <v>0</v>
      </c>
      <c r="M454" s="284">
        <v>0</v>
      </c>
      <c r="N454" s="284">
        <v>978</v>
      </c>
      <c r="O454" s="284">
        <v>0</v>
      </c>
      <c r="P454" s="284">
        <v>1837</v>
      </c>
      <c r="Q454" s="286">
        <v>452</v>
      </c>
      <c r="R454" s="274">
        <v>5455</v>
      </c>
      <c r="S454" s="274">
        <v>454</v>
      </c>
      <c r="T454" s="287">
        <f t="shared" si="7"/>
        <v>2016</v>
      </c>
      <c r="U454" s="274">
        <f>VLOOKUP(A454,'[1]SB35 Determination Data'!$B$4:$F$542,5,FALSE)</f>
        <v>2015</v>
      </c>
    </row>
    <row r="455" spans="1:21" s="274" customFormat="1" ht="12.75" x14ac:dyDescent="0.2">
      <c r="A455" s="282" t="s">
        <v>168</v>
      </c>
      <c r="B455" s="282" t="s">
        <v>40</v>
      </c>
      <c r="C455" s="282" t="s">
        <v>654</v>
      </c>
      <c r="D455" s="283">
        <v>2017</v>
      </c>
      <c r="E455" s="282" t="s">
        <v>650</v>
      </c>
      <c r="F455" s="284">
        <v>1714</v>
      </c>
      <c r="G455" s="285">
        <v>217</v>
      </c>
      <c r="H455" s="288">
        <v>217</v>
      </c>
      <c r="I455" s="285">
        <v>0</v>
      </c>
      <c r="J455" s="285">
        <v>926</v>
      </c>
      <c r="K455" s="284">
        <v>249</v>
      </c>
      <c r="L455" s="284">
        <v>249</v>
      </c>
      <c r="M455" s="284">
        <v>0</v>
      </c>
      <c r="N455" s="289">
        <v>978</v>
      </c>
      <c r="O455" s="284">
        <v>0</v>
      </c>
      <c r="P455" s="284">
        <v>1837</v>
      </c>
      <c r="Q455" s="286">
        <v>1601</v>
      </c>
      <c r="R455" s="274">
        <v>5455</v>
      </c>
      <c r="S455" s="274">
        <v>2067</v>
      </c>
      <c r="T455" s="287">
        <f t="shared" si="7"/>
        <v>2017</v>
      </c>
      <c r="U455" s="274">
        <f>VLOOKUP(A455,'[1]SB35 Determination Data'!$B$4:$F$542,5,FALSE)</f>
        <v>2015</v>
      </c>
    </row>
    <row r="456" spans="1:21" s="274" customFormat="1" ht="12.75" x14ac:dyDescent="0.2">
      <c r="A456" s="282" t="s">
        <v>125</v>
      </c>
      <c r="B456" s="282" t="s">
        <v>125</v>
      </c>
      <c r="C456" s="282" t="s">
        <v>531</v>
      </c>
      <c r="D456" s="283">
        <v>2015</v>
      </c>
      <c r="E456" s="282" t="s">
        <v>650</v>
      </c>
      <c r="F456" s="284">
        <v>5666</v>
      </c>
      <c r="G456" s="285">
        <v>290</v>
      </c>
      <c r="H456" s="288">
        <v>290</v>
      </c>
      <c r="I456" s="285">
        <v>0</v>
      </c>
      <c r="J456" s="285">
        <v>3289</v>
      </c>
      <c r="K456" s="284">
        <v>268</v>
      </c>
      <c r="L456" s="284">
        <v>268</v>
      </c>
      <c r="M456" s="284">
        <v>0</v>
      </c>
      <c r="N456" s="284">
        <v>3571</v>
      </c>
      <c r="O456" s="284">
        <v>384</v>
      </c>
      <c r="P456" s="284">
        <v>11039</v>
      </c>
      <c r="Q456" s="286">
        <v>2328</v>
      </c>
      <c r="R456" s="274">
        <v>23565</v>
      </c>
      <c r="S456" s="274">
        <v>3270</v>
      </c>
      <c r="T456" s="287">
        <f t="shared" si="7"/>
        <v>2016</v>
      </c>
      <c r="U456" s="274">
        <f>VLOOKUP(A456,'[1]SB35 Determination Data'!$B$4:$F$542,5,FALSE)</f>
        <v>2016</v>
      </c>
    </row>
    <row r="457" spans="1:21" s="274" customFormat="1" ht="12.75" x14ac:dyDescent="0.2">
      <c r="A457" s="282" t="s">
        <v>125</v>
      </c>
      <c r="B457" s="282" t="s">
        <v>125</v>
      </c>
      <c r="C457" s="282" t="s">
        <v>531</v>
      </c>
      <c r="D457" s="283">
        <v>2016</v>
      </c>
      <c r="E457" s="282" t="s">
        <v>650</v>
      </c>
      <c r="F457" s="284">
        <v>5666</v>
      </c>
      <c r="G457" s="285">
        <v>23</v>
      </c>
      <c r="H457" s="288">
        <v>23</v>
      </c>
      <c r="I457" s="285">
        <v>0</v>
      </c>
      <c r="J457" s="285">
        <v>3289</v>
      </c>
      <c r="K457" s="284">
        <v>8</v>
      </c>
      <c r="L457" s="284">
        <v>8</v>
      </c>
      <c r="M457" s="284">
        <v>0</v>
      </c>
      <c r="N457" s="284">
        <v>3571</v>
      </c>
      <c r="O457" s="284">
        <v>334</v>
      </c>
      <c r="P457" s="284">
        <v>11039</v>
      </c>
      <c r="Q457" s="286">
        <v>923</v>
      </c>
      <c r="R457" s="274">
        <v>23565</v>
      </c>
      <c r="S457" s="274">
        <v>1288</v>
      </c>
      <c r="T457" s="287">
        <f t="shared" si="7"/>
        <v>2016</v>
      </c>
      <c r="U457" s="274">
        <f>VLOOKUP(A457,'[1]SB35 Determination Data'!$B$4:$F$542,5,FALSE)</f>
        <v>2016</v>
      </c>
    </row>
    <row r="458" spans="1:21" s="274" customFormat="1" ht="12.75" x14ac:dyDescent="0.2">
      <c r="A458" s="282" t="s">
        <v>125</v>
      </c>
      <c r="B458" s="282" t="s">
        <v>125</v>
      </c>
      <c r="C458" s="282" t="s">
        <v>531</v>
      </c>
      <c r="D458" s="283">
        <v>2017</v>
      </c>
      <c r="E458" s="282" t="s">
        <v>650</v>
      </c>
      <c r="F458" s="284">
        <v>5666</v>
      </c>
      <c r="G458" s="285">
        <v>0</v>
      </c>
      <c r="H458" s="288">
        <v>0</v>
      </c>
      <c r="I458" s="285">
        <v>0</v>
      </c>
      <c r="J458" s="285">
        <v>3289</v>
      </c>
      <c r="K458" s="284">
        <v>4</v>
      </c>
      <c r="L458" s="284">
        <v>4</v>
      </c>
      <c r="M458" s="284">
        <v>0</v>
      </c>
      <c r="N458" s="284">
        <v>3571</v>
      </c>
      <c r="O458" s="284">
        <v>787</v>
      </c>
      <c r="P458" s="284">
        <v>11039</v>
      </c>
      <c r="Q458" s="286">
        <v>676</v>
      </c>
      <c r="R458" s="274">
        <v>23565</v>
      </c>
      <c r="S458" s="274">
        <v>1467</v>
      </c>
      <c r="T458" s="287">
        <f t="shared" si="7"/>
        <v>2017</v>
      </c>
      <c r="U458" s="274">
        <f>VLOOKUP(A458,'[1]SB35 Determination Data'!$B$4:$F$542,5,FALSE)</f>
        <v>2016</v>
      </c>
    </row>
    <row r="459" spans="1:21" s="274" customFormat="1" ht="12.75" x14ac:dyDescent="0.2">
      <c r="A459" s="282" t="s">
        <v>358</v>
      </c>
      <c r="B459" s="282" t="s">
        <v>125</v>
      </c>
      <c r="C459" s="282" t="s">
        <v>531</v>
      </c>
      <c r="D459" s="283">
        <v>2015</v>
      </c>
      <c r="E459" s="282" t="s">
        <v>650</v>
      </c>
      <c r="F459" s="284">
        <v>460</v>
      </c>
      <c r="G459" s="285">
        <v>0</v>
      </c>
      <c r="H459" s="288">
        <v>0</v>
      </c>
      <c r="I459" s="285">
        <v>0</v>
      </c>
      <c r="J459" s="285">
        <v>527</v>
      </c>
      <c r="K459" s="284">
        <v>0</v>
      </c>
      <c r="L459" s="284">
        <v>0</v>
      </c>
      <c r="M459" s="284">
        <v>0</v>
      </c>
      <c r="N459" s="284">
        <v>589</v>
      </c>
      <c r="O459" s="284">
        <v>102</v>
      </c>
      <c r="P459" s="284">
        <v>1146</v>
      </c>
      <c r="Q459" s="286">
        <v>162</v>
      </c>
      <c r="R459" s="274">
        <v>2722</v>
      </c>
      <c r="S459" s="274">
        <v>264</v>
      </c>
      <c r="T459" s="287">
        <f t="shared" si="7"/>
        <v>2016</v>
      </c>
      <c r="U459" s="274">
        <f>VLOOKUP(A459,'[1]SB35 Determination Data'!$B$4:$F$542,5,FALSE)</f>
        <v>2016</v>
      </c>
    </row>
    <row r="460" spans="1:21" s="274" customFormat="1" ht="12.75" x14ac:dyDescent="0.2">
      <c r="A460" s="282" t="s">
        <v>358</v>
      </c>
      <c r="B460" s="282" t="s">
        <v>125</v>
      </c>
      <c r="C460" s="282" t="s">
        <v>531</v>
      </c>
      <c r="D460" s="283">
        <v>2016</v>
      </c>
      <c r="E460" s="282" t="s">
        <v>650</v>
      </c>
      <c r="F460" s="284">
        <v>460</v>
      </c>
      <c r="G460" s="285">
        <v>0</v>
      </c>
      <c r="H460" s="288">
        <v>0</v>
      </c>
      <c r="I460" s="285">
        <v>0</v>
      </c>
      <c r="J460" s="285">
        <v>527</v>
      </c>
      <c r="K460" s="284">
        <v>0</v>
      </c>
      <c r="L460" s="284">
        <v>0</v>
      </c>
      <c r="M460" s="284">
        <v>0</v>
      </c>
      <c r="N460" s="284">
        <v>589</v>
      </c>
      <c r="O460" s="284">
        <v>63</v>
      </c>
      <c r="P460" s="284">
        <v>1146</v>
      </c>
      <c r="Q460" s="286">
        <v>38</v>
      </c>
      <c r="R460" s="274">
        <v>2722</v>
      </c>
      <c r="S460" s="274">
        <v>101</v>
      </c>
      <c r="T460" s="287">
        <f t="shared" si="7"/>
        <v>2016</v>
      </c>
      <c r="U460" s="274">
        <f>VLOOKUP(A460,'[1]SB35 Determination Data'!$B$4:$F$542,5,FALSE)</f>
        <v>2016</v>
      </c>
    </row>
    <row r="461" spans="1:21" s="274" customFormat="1" ht="12.75" x14ac:dyDescent="0.2">
      <c r="A461" s="282" t="s">
        <v>358</v>
      </c>
      <c r="B461" s="282" t="s">
        <v>125</v>
      </c>
      <c r="C461" s="282" t="s">
        <v>531</v>
      </c>
      <c r="D461" s="283">
        <v>2017</v>
      </c>
      <c r="E461" s="282" t="s">
        <v>650</v>
      </c>
      <c r="F461" s="284">
        <v>460</v>
      </c>
      <c r="G461" s="285">
        <v>0</v>
      </c>
      <c r="H461" s="288">
        <v>0</v>
      </c>
      <c r="I461" s="285">
        <v>0</v>
      </c>
      <c r="J461" s="285">
        <v>527</v>
      </c>
      <c r="K461" s="284">
        <v>0</v>
      </c>
      <c r="L461" s="284">
        <v>0</v>
      </c>
      <c r="M461" s="284">
        <v>0</v>
      </c>
      <c r="N461" s="289">
        <v>589</v>
      </c>
      <c r="O461" s="284">
        <v>54</v>
      </c>
      <c r="P461" s="284">
        <v>1146</v>
      </c>
      <c r="Q461" s="286">
        <v>71</v>
      </c>
      <c r="R461" s="274">
        <v>2722</v>
      </c>
      <c r="S461" s="274">
        <v>125</v>
      </c>
      <c r="T461" s="287">
        <f t="shared" si="7"/>
        <v>2017</v>
      </c>
      <c r="U461" s="274">
        <f>VLOOKUP(A461,'[1]SB35 Determination Data'!$B$4:$F$542,5,FALSE)</f>
        <v>2016</v>
      </c>
    </row>
    <row r="462" spans="1:21" s="274" customFormat="1" ht="12.75" x14ac:dyDescent="0.2">
      <c r="A462" s="282" t="s">
        <v>394</v>
      </c>
      <c r="B462" s="282" t="s">
        <v>436</v>
      </c>
      <c r="C462" s="282" t="s">
        <v>649</v>
      </c>
      <c r="D462" s="283">
        <v>2014</v>
      </c>
      <c r="E462" s="282" t="s">
        <v>650</v>
      </c>
      <c r="F462" s="284">
        <v>411</v>
      </c>
      <c r="G462" s="285">
        <v>8</v>
      </c>
      <c r="H462" s="288">
        <v>8</v>
      </c>
      <c r="I462" s="285">
        <v>0</v>
      </c>
      <c r="J462" s="285">
        <v>299</v>
      </c>
      <c r="K462" s="284">
        <v>0</v>
      </c>
      <c r="L462" s="284">
        <v>0</v>
      </c>
      <c r="M462" s="284">
        <v>0</v>
      </c>
      <c r="N462" s="284">
        <v>337</v>
      </c>
      <c r="O462" s="284">
        <v>0</v>
      </c>
      <c r="P462" s="284">
        <v>794</v>
      </c>
      <c r="Q462" s="286">
        <v>72</v>
      </c>
      <c r="R462" s="274">
        <v>1841</v>
      </c>
      <c r="S462" s="274">
        <v>80</v>
      </c>
      <c r="T462" s="287">
        <f t="shared" si="7"/>
        <v>2014</v>
      </c>
      <c r="U462" s="274">
        <f>VLOOKUP(A462,'[1]SB35 Determination Data'!$B$4:$F$542,5,FALSE)</f>
        <v>2014</v>
      </c>
    </row>
    <row r="463" spans="1:21" s="274" customFormat="1" ht="12.75" x14ac:dyDescent="0.2">
      <c r="A463" s="282" t="s">
        <v>394</v>
      </c>
      <c r="B463" s="282" t="s">
        <v>436</v>
      </c>
      <c r="C463" s="282" t="s">
        <v>649</v>
      </c>
      <c r="D463" s="283">
        <v>2015</v>
      </c>
      <c r="E463" s="282" t="s">
        <v>650</v>
      </c>
      <c r="F463" s="284">
        <v>411</v>
      </c>
      <c r="G463" s="285">
        <v>0</v>
      </c>
      <c r="H463" s="288">
        <v>0</v>
      </c>
      <c r="I463" s="285">
        <v>0</v>
      </c>
      <c r="J463" s="285">
        <v>299</v>
      </c>
      <c r="K463" s="284">
        <v>0</v>
      </c>
      <c r="L463" s="284">
        <v>0</v>
      </c>
      <c r="M463" s="284">
        <v>0</v>
      </c>
      <c r="N463" s="284">
        <v>337</v>
      </c>
      <c r="O463" s="284">
        <v>0</v>
      </c>
      <c r="P463" s="284">
        <v>794</v>
      </c>
      <c r="Q463" s="286">
        <v>131</v>
      </c>
      <c r="R463" s="274">
        <v>1841</v>
      </c>
      <c r="S463" s="274">
        <v>131</v>
      </c>
      <c r="T463" s="287">
        <f t="shared" si="7"/>
        <v>2015</v>
      </c>
      <c r="U463" s="274">
        <f>VLOOKUP(A463,'[1]SB35 Determination Data'!$B$4:$F$542,5,FALSE)</f>
        <v>2014</v>
      </c>
    </row>
    <row r="464" spans="1:21" s="274" customFormat="1" ht="12.75" x14ac:dyDescent="0.2">
      <c r="A464" s="282" t="s">
        <v>394</v>
      </c>
      <c r="B464" s="282" t="s">
        <v>436</v>
      </c>
      <c r="C464" s="282" t="s">
        <v>649</v>
      </c>
      <c r="D464" s="283">
        <v>2016</v>
      </c>
      <c r="E464" s="282" t="s">
        <v>650</v>
      </c>
      <c r="F464" s="284">
        <v>411</v>
      </c>
      <c r="G464" s="285">
        <v>191</v>
      </c>
      <c r="H464" s="288">
        <v>43</v>
      </c>
      <c r="I464" s="285">
        <v>148</v>
      </c>
      <c r="J464" s="285">
        <v>299</v>
      </c>
      <c r="K464" s="284">
        <v>97</v>
      </c>
      <c r="L464" s="284">
        <v>97</v>
      </c>
      <c r="M464" s="284">
        <v>0</v>
      </c>
      <c r="N464" s="284">
        <v>337</v>
      </c>
      <c r="O464" s="284">
        <v>1</v>
      </c>
      <c r="P464" s="284">
        <v>794</v>
      </c>
      <c r="Q464" s="286">
        <v>236</v>
      </c>
      <c r="R464" s="274">
        <v>1841</v>
      </c>
      <c r="S464" s="274">
        <v>525</v>
      </c>
      <c r="T464" s="287">
        <f t="shared" si="7"/>
        <v>2016</v>
      </c>
      <c r="U464" s="274">
        <f>VLOOKUP(A464,'[1]SB35 Determination Data'!$B$4:$F$542,5,FALSE)</f>
        <v>2014</v>
      </c>
    </row>
    <row r="465" spans="1:21" s="274" customFormat="1" ht="12.75" x14ac:dyDescent="0.2">
      <c r="A465" s="282" t="s">
        <v>394</v>
      </c>
      <c r="B465" s="282" t="s">
        <v>436</v>
      </c>
      <c r="C465" s="282" t="s">
        <v>649</v>
      </c>
      <c r="D465" s="283">
        <v>2017</v>
      </c>
      <c r="E465" s="282" t="s">
        <v>650</v>
      </c>
      <c r="F465" s="284">
        <v>411</v>
      </c>
      <c r="G465" s="285">
        <v>39</v>
      </c>
      <c r="H465" s="288">
        <v>39</v>
      </c>
      <c r="I465" s="285">
        <v>0</v>
      </c>
      <c r="J465" s="285">
        <v>299</v>
      </c>
      <c r="K465" s="284">
        <v>17</v>
      </c>
      <c r="L465" s="284">
        <v>17</v>
      </c>
      <c r="M465" s="284">
        <v>0</v>
      </c>
      <c r="N465" s="284">
        <v>337</v>
      </c>
      <c r="O465" s="284">
        <v>2</v>
      </c>
      <c r="P465" s="284">
        <v>794</v>
      </c>
      <c r="Q465" s="286">
        <v>363</v>
      </c>
      <c r="R465" s="274">
        <v>1841</v>
      </c>
      <c r="S465" s="274">
        <v>421</v>
      </c>
      <c r="T465" s="287">
        <f t="shared" si="7"/>
        <v>2017</v>
      </c>
      <c r="U465" s="274">
        <f>VLOOKUP(A465,'[1]SB35 Determination Data'!$B$4:$F$542,5,FALSE)</f>
        <v>2014</v>
      </c>
    </row>
    <row r="466" spans="1:21" s="274" customFormat="1" ht="12.75" x14ac:dyDescent="0.2">
      <c r="A466" s="282" t="s">
        <v>395</v>
      </c>
      <c r="B466" s="282" t="s">
        <v>511</v>
      </c>
      <c r="C466" s="282" t="s">
        <v>685</v>
      </c>
      <c r="D466" s="283">
        <v>2013</v>
      </c>
      <c r="E466" s="282" t="s">
        <v>650</v>
      </c>
      <c r="F466" s="284">
        <v>131</v>
      </c>
      <c r="G466" s="285">
        <v>0</v>
      </c>
      <c r="H466" s="288">
        <v>0</v>
      </c>
      <c r="I466" s="285">
        <v>0</v>
      </c>
      <c r="J466" s="285">
        <v>91</v>
      </c>
      <c r="K466" s="284">
        <v>0</v>
      </c>
      <c r="L466" s="284">
        <v>0</v>
      </c>
      <c r="M466" s="284">
        <v>0</v>
      </c>
      <c r="N466" s="289">
        <v>126</v>
      </c>
      <c r="O466" s="284">
        <v>0</v>
      </c>
      <c r="P466" s="284">
        <v>331</v>
      </c>
      <c r="Q466" s="286">
        <v>41</v>
      </c>
      <c r="R466" s="274">
        <v>679</v>
      </c>
      <c r="S466" s="274">
        <v>41</v>
      </c>
      <c r="T466" s="287">
        <f t="shared" si="7"/>
        <v>2014</v>
      </c>
      <c r="U466" s="274">
        <f>VLOOKUP(A466,'[1]SB35 Determination Data'!$B$4:$F$542,5,FALSE)</f>
        <v>2014</v>
      </c>
    </row>
    <row r="467" spans="1:21" s="274" customFormat="1" ht="12.75" x14ac:dyDescent="0.2">
      <c r="A467" s="282" t="s">
        <v>395</v>
      </c>
      <c r="B467" s="282" t="s">
        <v>511</v>
      </c>
      <c r="C467" s="282" t="s">
        <v>685</v>
      </c>
      <c r="D467" s="283">
        <v>2014</v>
      </c>
      <c r="E467" s="282" t="s">
        <v>650</v>
      </c>
      <c r="F467" s="284">
        <v>131</v>
      </c>
      <c r="G467" s="285">
        <v>0</v>
      </c>
      <c r="H467" s="288">
        <v>0</v>
      </c>
      <c r="I467" s="285">
        <v>0</v>
      </c>
      <c r="J467" s="285">
        <v>91</v>
      </c>
      <c r="K467" s="284">
        <v>0</v>
      </c>
      <c r="L467" s="284">
        <v>0</v>
      </c>
      <c r="M467" s="284">
        <v>0</v>
      </c>
      <c r="N467" s="284">
        <v>126</v>
      </c>
      <c r="O467" s="284">
        <v>0</v>
      </c>
      <c r="P467" s="284">
        <v>331</v>
      </c>
      <c r="Q467" s="286">
        <v>29</v>
      </c>
      <c r="R467" s="274">
        <v>679</v>
      </c>
      <c r="S467" s="274">
        <v>29</v>
      </c>
      <c r="T467" s="287">
        <f t="shared" si="7"/>
        <v>2014</v>
      </c>
      <c r="U467" s="274">
        <f>VLOOKUP(A467,'[1]SB35 Determination Data'!$B$4:$F$542,5,FALSE)</f>
        <v>2014</v>
      </c>
    </row>
    <row r="468" spans="1:21" s="274" customFormat="1" ht="12.75" x14ac:dyDescent="0.2">
      <c r="A468" s="282" t="s">
        <v>395</v>
      </c>
      <c r="B468" s="282" t="s">
        <v>511</v>
      </c>
      <c r="C468" s="282" t="s">
        <v>685</v>
      </c>
      <c r="D468" s="283">
        <v>2015</v>
      </c>
      <c r="E468" s="282" t="s">
        <v>650</v>
      </c>
      <c r="F468" s="284">
        <v>131</v>
      </c>
      <c r="G468" s="285">
        <v>0</v>
      </c>
      <c r="H468" s="288">
        <v>0</v>
      </c>
      <c r="I468" s="285">
        <v>0</v>
      </c>
      <c r="J468" s="285">
        <v>91</v>
      </c>
      <c r="K468" s="284">
        <v>0</v>
      </c>
      <c r="L468" s="284">
        <v>0</v>
      </c>
      <c r="M468" s="284">
        <v>0</v>
      </c>
      <c r="N468" s="284">
        <v>126</v>
      </c>
      <c r="O468" s="284">
        <v>0</v>
      </c>
      <c r="P468" s="284">
        <v>331</v>
      </c>
      <c r="Q468" s="286">
        <v>45</v>
      </c>
      <c r="R468" s="274">
        <v>679</v>
      </c>
      <c r="S468" s="274">
        <v>45</v>
      </c>
      <c r="T468" s="287">
        <f t="shared" si="7"/>
        <v>2015</v>
      </c>
      <c r="U468" s="274">
        <f>VLOOKUP(A468,'[1]SB35 Determination Data'!$B$4:$F$542,5,FALSE)</f>
        <v>2014</v>
      </c>
    </row>
    <row r="469" spans="1:21" s="274" customFormat="1" ht="12.75" x14ac:dyDescent="0.2">
      <c r="A469" s="282" t="s">
        <v>395</v>
      </c>
      <c r="B469" s="282" t="s">
        <v>511</v>
      </c>
      <c r="C469" s="282" t="s">
        <v>685</v>
      </c>
      <c r="D469" s="283">
        <v>2016</v>
      </c>
      <c r="E469" s="282" t="s">
        <v>650</v>
      </c>
      <c r="F469" s="284">
        <v>131</v>
      </c>
      <c r="G469" s="285">
        <v>0</v>
      </c>
      <c r="H469" s="288">
        <v>0</v>
      </c>
      <c r="I469" s="285">
        <v>0</v>
      </c>
      <c r="J469" s="285">
        <v>91</v>
      </c>
      <c r="K469" s="284">
        <v>0</v>
      </c>
      <c r="L469" s="284">
        <v>0</v>
      </c>
      <c r="M469" s="284">
        <v>0</v>
      </c>
      <c r="N469" s="284">
        <v>126</v>
      </c>
      <c r="O469" s="284">
        <v>0</v>
      </c>
      <c r="P469" s="284">
        <v>331</v>
      </c>
      <c r="Q469" s="286">
        <v>134</v>
      </c>
      <c r="R469" s="274">
        <v>679</v>
      </c>
      <c r="S469" s="274">
        <v>134</v>
      </c>
      <c r="T469" s="287">
        <f t="shared" si="7"/>
        <v>2016</v>
      </c>
      <c r="U469" s="274">
        <f>VLOOKUP(A469,'[1]SB35 Determination Data'!$B$4:$F$542,5,FALSE)</f>
        <v>2014</v>
      </c>
    </row>
    <row r="470" spans="1:21" s="274" customFormat="1" ht="12.75" x14ac:dyDescent="0.2">
      <c r="A470" s="282" t="s">
        <v>395</v>
      </c>
      <c r="B470" s="282" t="s">
        <v>511</v>
      </c>
      <c r="C470" s="282" t="s">
        <v>685</v>
      </c>
      <c r="D470" s="283">
        <v>2017</v>
      </c>
      <c r="E470" s="282" t="s">
        <v>650</v>
      </c>
      <c r="F470" s="284">
        <v>131</v>
      </c>
      <c r="G470" s="285">
        <v>0</v>
      </c>
      <c r="H470" s="288">
        <v>0</v>
      </c>
      <c r="I470" s="285">
        <v>0</v>
      </c>
      <c r="J470" s="285">
        <v>91</v>
      </c>
      <c r="K470" s="284">
        <v>0</v>
      </c>
      <c r="L470" s="284">
        <v>0</v>
      </c>
      <c r="M470" s="284">
        <v>0</v>
      </c>
      <c r="N470" s="284">
        <v>126</v>
      </c>
      <c r="O470" s="284">
        <v>0</v>
      </c>
      <c r="P470" s="284">
        <v>331</v>
      </c>
      <c r="Q470" s="286">
        <v>71</v>
      </c>
      <c r="R470" s="274">
        <v>679</v>
      </c>
      <c r="S470" s="274">
        <v>71</v>
      </c>
      <c r="T470" s="287">
        <f t="shared" si="7"/>
        <v>2017</v>
      </c>
      <c r="U470" s="274">
        <f>VLOOKUP(A470,'[1]SB35 Determination Data'!$B$4:$F$542,5,FALSE)</f>
        <v>2014</v>
      </c>
    </row>
    <row r="471" spans="1:21" s="274" customFormat="1" ht="12.75" x14ac:dyDescent="0.2">
      <c r="A471" s="282" t="s">
        <v>396</v>
      </c>
      <c r="B471" s="282" t="s">
        <v>436</v>
      </c>
      <c r="C471" s="282" t="s">
        <v>649</v>
      </c>
      <c r="D471" s="283">
        <v>2014</v>
      </c>
      <c r="E471" s="282" t="s">
        <v>650</v>
      </c>
      <c r="F471" s="284">
        <v>164</v>
      </c>
      <c r="G471" s="285">
        <v>0</v>
      </c>
      <c r="H471" s="288">
        <v>0</v>
      </c>
      <c r="I471" s="285">
        <v>0</v>
      </c>
      <c r="J471" s="285">
        <v>120</v>
      </c>
      <c r="K471" s="284">
        <v>14</v>
      </c>
      <c r="L471" s="284">
        <v>14</v>
      </c>
      <c r="M471" s="284">
        <v>0</v>
      </c>
      <c r="N471" s="289">
        <v>135</v>
      </c>
      <c r="O471" s="284">
        <v>50</v>
      </c>
      <c r="P471" s="284">
        <v>328</v>
      </c>
      <c r="Q471" s="286">
        <v>37</v>
      </c>
      <c r="R471" s="274">
        <v>747</v>
      </c>
      <c r="S471" s="274">
        <v>101</v>
      </c>
      <c r="T471" s="287">
        <f t="shared" si="7"/>
        <v>2014</v>
      </c>
      <c r="U471" s="274">
        <f>VLOOKUP(A471,'[1]SB35 Determination Data'!$B$4:$F$542,5,FALSE)</f>
        <v>2014</v>
      </c>
    </row>
    <row r="472" spans="1:21" s="274" customFormat="1" ht="12.75" x14ac:dyDescent="0.2">
      <c r="A472" s="282" t="s">
        <v>396</v>
      </c>
      <c r="B472" s="282" t="s">
        <v>436</v>
      </c>
      <c r="C472" s="282" t="s">
        <v>649</v>
      </c>
      <c r="D472" s="283">
        <v>2015</v>
      </c>
      <c r="E472" s="282" t="s">
        <v>650</v>
      </c>
      <c r="F472" s="284">
        <v>164</v>
      </c>
      <c r="G472" s="285">
        <v>0</v>
      </c>
      <c r="H472" s="288">
        <v>0</v>
      </c>
      <c r="I472" s="285">
        <v>0</v>
      </c>
      <c r="J472" s="285">
        <v>120</v>
      </c>
      <c r="K472" s="284">
        <v>0</v>
      </c>
      <c r="L472" s="284">
        <v>0</v>
      </c>
      <c r="M472" s="284">
        <v>0</v>
      </c>
      <c r="N472" s="284">
        <v>135</v>
      </c>
      <c r="O472" s="284">
        <v>7</v>
      </c>
      <c r="P472" s="284">
        <v>328</v>
      </c>
      <c r="Q472" s="286">
        <v>46</v>
      </c>
      <c r="R472" s="274">
        <v>747</v>
      </c>
      <c r="S472" s="274">
        <v>53</v>
      </c>
      <c r="T472" s="287">
        <f t="shared" si="7"/>
        <v>2015</v>
      </c>
      <c r="U472" s="274">
        <f>VLOOKUP(A472,'[1]SB35 Determination Data'!$B$4:$F$542,5,FALSE)</f>
        <v>2014</v>
      </c>
    </row>
    <row r="473" spans="1:21" s="274" customFormat="1" ht="12.75" x14ac:dyDescent="0.2">
      <c r="A473" s="282" t="s">
        <v>396</v>
      </c>
      <c r="B473" s="282" t="s">
        <v>436</v>
      </c>
      <c r="C473" s="282" t="s">
        <v>649</v>
      </c>
      <c r="D473" s="283">
        <v>2016</v>
      </c>
      <c r="E473" s="282" t="s">
        <v>650</v>
      </c>
      <c r="F473" s="284">
        <v>164</v>
      </c>
      <c r="G473" s="285">
        <v>0</v>
      </c>
      <c r="H473" s="288">
        <v>0</v>
      </c>
      <c r="I473" s="285">
        <v>0</v>
      </c>
      <c r="J473" s="285">
        <v>120</v>
      </c>
      <c r="K473" s="284">
        <v>0</v>
      </c>
      <c r="L473" s="284">
        <v>0</v>
      </c>
      <c r="M473" s="284">
        <v>0</v>
      </c>
      <c r="N473" s="284">
        <v>135</v>
      </c>
      <c r="O473" s="284">
        <v>9</v>
      </c>
      <c r="P473" s="284">
        <v>328</v>
      </c>
      <c r="Q473" s="286">
        <v>10</v>
      </c>
      <c r="R473" s="274">
        <v>747</v>
      </c>
      <c r="S473" s="274">
        <v>19</v>
      </c>
      <c r="T473" s="287">
        <f t="shared" si="7"/>
        <v>2016</v>
      </c>
      <c r="U473" s="274">
        <f>VLOOKUP(A473,'[1]SB35 Determination Data'!$B$4:$F$542,5,FALSE)</f>
        <v>2014</v>
      </c>
    </row>
    <row r="474" spans="1:21" s="274" customFormat="1" ht="12.75" x14ac:dyDescent="0.2">
      <c r="A474" s="282" t="s">
        <v>396</v>
      </c>
      <c r="B474" s="282" t="s">
        <v>436</v>
      </c>
      <c r="C474" s="282" t="s">
        <v>649</v>
      </c>
      <c r="D474" s="283">
        <v>2017</v>
      </c>
      <c r="E474" s="282" t="s">
        <v>650</v>
      </c>
      <c r="F474" s="284">
        <v>164</v>
      </c>
      <c r="G474" s="285">
        <v>13</v>
      </c>
      <c r="H474" s="288">
        <v>13</v>
      </c>
      <c r="I474" s="285">
        <v>0</v>
      </c>
      <c r="J474" s="285">
        <v>120</v>
      </c>
      <c r="K474" s="284">
        <v>33</v>
      </c>
      <c r="L474" s="284">
        <v>33</v>
      </c>
      <c r="M474" s="284">
        <v>0</v>
      </c>
      <c r="N474" s="284">
        <v>135</v>
      </c>
      <c r="O474" s="284">
        <v>13</v>
      </c>
      <c r="P474" s="284">
        <v>328</v>
      </c>
      <c r="Q474" s="286">
        <v>9</v>
      </c>
      <c r="R474" s="274">
        <v>747</v>
      </c>
      <c r="S474" s="274">
        <v>68</v>
      </c>
      <c r="T474" s="287">
        <f t="shared" si="7"/>
        <v>2017</v>
      </c>
      <c r="U474" s="274">
        <f>VLOOKUP(A474,'[1]SB35 Determination Data'!$B$4:$F$542,5,FALSE)</f>
        <v>2014</v>
      </c>
    </row>
    <row r="475" spans="1:21" s="274" customFormat="1" ht="12.75" x14ac:dyDescent="0.2">
      <c r="A475" s="282" t="s">
        <v>397</v>
      </c>
      <c r="B475" s="282" t="s">
        <v>262</v>
      </c>
      <c r="C475" s="282" t="s">
        <v>649</v>
      </c>
      <c r="D475" s="283">
        <v>2014</v>
      </c>
      <c r="E475" s="282" t="s">
        <v>650</v>
      </c>
      <c r="F475" s="284">
        <v>98</v>
      </c>
      <c r="G475" s="285">
        <v>0</v>
      </c>
      <c r="H475" s="288">
        <v>0</v>
      </c>
      <c r="I475" s="285">
        <v>0</v>
      </c>
      <c r="J475" s="285">
        <v>60</v>
      </c>
      <c r="K475" s="284">
        <v>0</v>
      </c>
      <c r="L475" s="284">
        <v>0</v>
      </c>
      <c r="M475" s="284">
        <v>0</v>
      </c>
      <c r="N475" s="284">
        <v>66</v>
      </c>
      <c r="O475" s="284">
        <v>6</v>
      </c>
      <c r="P475" s="284">
        <v>173</v>
      </c>
      <c r="Q475" s="286">
        <v>21</v>
      </c>
      <c r="R475" s="274">
        <v>397</v>
      </c>
      <c r="S475" s="274">
        <v>27</v>
      </c>
      <c r="T475" s="287">
        <f t="shared" si="7"/>
        <v>2014</v>
      </c>
      <c r="U475" s="274">
        <f>VLOOKUP(A475,'[1]SB35 Determination Data'!$B$4:$F$542,5,FALSE)</f>
        <v>2014</v>
      </c>
    </row>
    <row r="476" spans="1:21" s="274" customFormat="1" ht="12.75" x14ac:dyDescent="0.2">
      <c r="A476" s="282" t="s">
        <v>397</v>
      </c>
      <c r="B476" s="282" t="s">
        <v>262</v>
      </c>
      <c r="C476" s="282" t="s">
        <v>649</v>
      </c>
      <c r="D476" s="283">
        <v>2015</v>
      </c>
      <c r="E476" s="282" t="s">
        <v>650</v>
      </c>
      <c r="F476" s="284">
        <v>98</v>
      </c>
      <c r="G476" s="285">
        <v>0</v>
      </c>
      <c r="H476" s="288">
        <v>0</v>
      </c>
      <c r="I476" s="285">
        <v>0</v>
      </c>
      <c r="J476" s="285">
        <v>60</v>
      </c>
      <c r="K476" s="284">
        <v>0</v>
      </c>
      <c r="L476" s="284">
        <v>0</v>
      </c>
      <c r="M476" s="284">
        <v>0</v>
      </c>
      <c r="N476" s="284">
        <v>66</v>
      </c>
      <c r="O476" s="284">
        <v>14</v>
      </c>
      <c r="P476" s="284">
        <v>173</v>
      </c>
      <c r="Q476" s="286">
        <v>42</v>
      </c>
      <c r="R476" s="274">
        <v>397</v>
      </c>
      <c r="S476" s="274">
        <v>56</v>
      </c>
      <c r="T476" s="287">
        <f t="shared" si="7"/>
        <v>2015</v>
      </c>
      <c r="U476" s="274">
        <f>VLOOKUP(A476,'[1]SB35 Determination Data'!$B$4:$F$542,5,FALSE)</f>
        <v>2014</v>
      </c>
    </row>
    <row r="477" spans="1:21" s="274" customFormat="1" ht="12.75" x14ac:dyDescent="0.2">
      <c r="A477" s="282" t="s">
        <v>397</v>
      </c>
      <c r="B477" s="282" t="s">
        <v>262</v>
      </c>
      <c r="C477" s="282" t="s">
        <v>649</v>
      </c>
      <c r="D477" s="283">
        <v>2016</v>
      </c>
      <c r="E477" s="282" t="s">
        <v>650</v>
      </c>
      <c r="F477" s="284">
        <v>98</v>
      </c>
      <c r="G477" s="285">
        <v>0</v>
      </c>
      <c r="H477" s="288">
        <v>0</v>
      </c>
      <c r="I477" s="285">
        <v>0</v>
      </c>
      <c r="J477" s="285">
        <v>60</v>
      </c>
      <c r="K477" s="284">
        <v>0</v>
      </c>
      <c r="L477" s="284">
        <v>0</v>
      </c>
      <c r="M477" s="284">
        <v>0</v>
      </c>
      <c r="N477" s="289">
        <v>66</v>
      </c>
      <c r="O477" s="284">
        <v>28</v>
      </c>
      <c r="P477" s="284">
        <v>173</v>
      </c>
      <c r="Q477" s="286">
        <v>74</v>
      </c>
      <c r="R477" s="274">
        <v>397</v>
      </c>
      <c r="S477" s="274">
        <v>102</v>
      </c>
      <c r="T477" s="287">
        <f t="shared" si="7"/>
        <v>2016</v>
      </c>
      <c r="U477" s="274">
        <f>VLOOKUP(A477,'[1]SB35 Determination Data'!$B$4:$F$542,5,FALSE)</f>
        <v>2014</v>
      </c>
    </row>
    <row r="478" spans="1:21" s="274" customFormat="1" ht="12.75" x14ac:dyDescent="0.2">
      <c r="A478" s="282" t="s">
        <v>397</v>
      </c>
      <c r="B478" s="282" t="s">
        <v>262</v>
      </c>
      <c r="C478" s="282" t="s">
        <v>649</v>
      </c>
      <c r="D478" s="283">
        <v>2017</v>
      </c>
      <c r="E478" s="282" t="s">
        <v>650</v>
      </c>
      <c r="F478" s="284">
        <v>98</v>
      </c>
      <c r="G478" s="285">
        <v>0</v>
      </c>
      <c r="H478" s="288">
        <v>0</v>
      </c>
      <c r="I478" s="285">
        <v>0</v>
      </c>
      <c r="J478" s="285">
        <v>60</v>
      </c>
      <c r="K478" s="284">
        <v>0</v>
      </c>
      <c r="L478" s="284">
        <v>0</v>
      </c>
      <c r="M478" s="284">
        <v>0</v>
      </c>
      <c r="N478" s="284">
        <v>66</v>
      </c>
      <c r="O478" s="284">
        <v>6</v>
      </c>
      <c r="P478" s="284">
        <v>173</v>
      </c>
      <c r="Q478" s="286">
        <v>44</v>
      </c>
      <c r="R478" s="274">
        <v>397</v>
      </c>
      <c r="S478" s="274">
        <v>50</v>
      </c>
      <c r="T478" s="287">
        <f t="shared" si="7"/>
        <v>2017</v>
      </c>
      <c r="U478" s="274">
        <f>VLOOKUP(A478,'[1]SB35 Determination Data'!$B$4:$F$542,5,FALSE)</f>
        <v>2014</v>
      </c>
    </row>
    <row r="479" spans="1:21" s="274" customFormat="1" ht="12.75" x14ac:dyDescent="0.2">
      <c r="A479" s="282" t="s">
        <v>398</v>
      </c>
      <c r="B479" s="282" t="s">
        <v>614</v>
      </c>
      <c r="C479" s="282" t="s">
        <v>654</v>
      </c>
      <c r="D479" s="283">
        <v>2015</v>
      </c>
      <c r="E479" s="282" t="s">
        <v>650</v>
      </c>
      <c r="F479" s="284">
        <v>236</v>
      </c>
      <c r="G479" s="285">
        <v>26</v>
      </c>
      <c r="H479" s="288">
        <v>26</v>
      </c>
      <c r="I479" s="285">
        <v>0</v>
      </c>
      <c r="J479" s="285">
        <v>160</v>
      </c>
      <c r="K479" s="284">
        <v>247</v>
      </c>
      <c r="L479" s="284">
        <v>247</v>
      </c>
      <c r="M479" s="284">
        <v>0</v>
      </c>
      <c r="N479" s="284">
        <v>217</v>
      </c>
      <c r="O479" s="284">
        <v>14</v>
      </c>
      <c r="P479" s="284">
        <v>475</v>
      </c>
      <c r="Q479" s="286">
        <v>406</v>
      </c>
      <c r="R479" s="274">
        <v>1088</v>
      </c>
      <c r="S479" s="274">
        <v>693</v>
      </c>
      <c r="T479" s="287">
        <f t="shared" si="7"/>
        <v>2015</v>
      </c>
      <c r="U479" s="274">
        <f>VLOOKUP(A479,'[1]SB35 Determination Data'!$B$4:$F$542,5,FALSE)</f>
        <v>2015</v>
      </c>
    </row>
    <row r="480" spans="1:21" s="274" customFormat="1" ht="12.75" x14ac:dyDescent="0.2">
      <c r="A480" s="282" t="s">
        <v>398</v>
      </c>
      <c r="B480" s="282" t="s">
        <v>614</v>
      </c>
      <c r="C480" s="282" t="s">
        <v>654</v>
      </c>
      <c r="D480" s="283">
        <v>2016</v>
      </c>
      <c r="E480" s="282" t="s">
        <v>650</v>
      </c>
      <c r="F480" s="284">
        <v>236</v>
      </c>
      <c r="G480" s="285">
        <v>0</v>
      </c>
      <c r="H480" s="288">
        <v>0</v>
      </c>
      <c r="I480" s="285">
        <v>0</v>
      </c>
      <c r="J480" s="285">
        <v>160</v>
      </c>
      <c r="K480" s="284">
        <v>0</v>
      </c>
      <c r="L480" s="284">
        <v>0</v>
      </c>
      <c r="M480" s="284">
        <v>0</v>
      </c>
      <c r="N480" s="284">
        <v>217</v>
      </c>
      <c r="O480" s="284">
        <v>0</v>
      </c>
      <c r="P480" s="284">
        <v>475</v>
      </c>
      <c r="Q480" s="286">
        <v>321</v>
      </c>
      <c r="R480" s="274">
        <v>1088</v>
      </c>
      <c r="S480" s="274">
        <v>321</v>
      </c>
      <c r="T480" s="287">
        <f t="shared" si="7"/>
        <v>2016</v>
      </c>
      <c r="U480" s="274">
        <f>VLOOKUP(A480,'[1]SB35 Determination Data'!$B$4:$F$542,5,FALSE)</f>
        <v>2015</v>
      </c>
    </row>
    <row r="481" spans="1:21" s="274" customFormat="1" ht="12.75" x14ac:dyDescent="0.2">
      <c r="A481" s="282" t="s">
        <v>398</v>
      </c>
      <c r="B481" s="282" t="s">
        <v>614</v>
      </c>
      <c r="C481" s="282" t="s">
        <v>654</v>
      </c>
      <c r="D481" s="283">
        <v>2017</v>
      </c>
      <c r="E481" s="282" t="s">
        <v>650</v>
      </c>
      <c r="F481" s="284">
        <v>236</v>
      </c>
      <c r="G481" s="285">
        <v>0</v>
      </c>
      <c r="H481" s="288">
        <v>0</v>
      </c>
      <c r="I481" s="285">
        <v>0</v>
      </c>
      <c r="J481" s="285">
        <v>160</v>
      </c>
      <c r="K481" s="284">
        <v>202</v>
      </c>
      <c r="L481" s="284">
        <v>202</v>
      </c>
      <c r="M481" s="284">
        <v>0</v>
      </c>
      <c r="N481" s="284">
        <v>217</v>
      </c>
      <c r="O481" s="284">
        <v>0</v>
      </c>
      <c r="P481" s="284">
        <v>475</v>
      </c>
      <c r="Q481" s="286">
        <v>243</v>
      </c>
      <c r="R481" s="274">
        <v>1088</v>
      </c>
      <c r="S481" s="274">
        <v>445</v>
      </c>
      <c r="T481" s="287">
        <f t="shared" si="7"/>
        <v>2017</v>
      </c>
      <c r="U481" s="274">
        <f>VLOOKUP(A481,'[1]SB35 Determination Data'!$B$4:$F$542,5,FALSE)</f>
        <v>2015</v>
      </c>
    </row>
    <row r="482" spans="1:21" s="274" customFormat="1" ht="12.75" x14ac:dyDescent="0.2">
      <c r="A482" s="282" t="s">
        <v>399</v>
      </c>
      <c r="B482" s="282" t="s">
        <v>262</v>
      </c>
      <c r="C482" s="282" t="s">
        <v>649</v>
      </c>
      <c r="D482" s="283">
        <v>2014</v>
      </c>
      <c r="E482" s="282" t="s">
        <v>650</v>
      </c>
      <c r="F482" s="284">
        <v>508</v>
      </c>
      <c r="G482" s="285">
        <v>71</v>
      </c>
      <c r="H482" s="288">
        <v>71</v>
      </c>
      <c r="I482" s="285">
        <v>0</v>
      </c>
      <c r="J482" s="285">
        <v>310</v>
      </c>
      <c r="K482" s="284">
        <v>48</v>
      </c>
      <c r="L482" s="284">
        <v>48</v>
      </c>
      <c r="M482" s="284">
        <v>0</v>
      </c>
      <c r="N482" s="289">
        <v>337</v>
      </c>
      <c r="O482" s="284">
        <v>0</v>
      </c>
      <c r="P482" s="284">
        <v>862</v>
      </c>
      <c r="Q482" s="286">
        <v>532</v>
      </c>
      <c r="R482" s="274">
        <v>2017</v>
      </c>
      <c r="S482" s="274">
        <v>651</v>
      </c>
      <c r="T482" s="287">
        <f t="shared" si="7"/>
        <v>2014</v>
      </c>
      <c r="U482" s="274">
        <f>VLOOKUP(A482,'[1]SB35 Determination Data'!$B$4:$F$542,5,FALSE)</f>
        <v>2014</v>
      </c>
    </row>
    <row r="483" spans="1:21" s="274" customFormat="1" ht="12.75" x14ac:dyDescent="0.2">
      <c r="A483" s="282" t="s">
        <v>399</v>
      </c>
      <c r="B483" s="282" t="s">
        <v>262</v>
      </c>
      <c r="C483" s="282" t="s">
        <v>649</v>
      </c>
      <c r="D483" s="283">
        <v>2015</v>
      </c>
      <c r="E483" s="282" t="s">
        <v>650</v>
      </c>
      <c r="F483" s="284">
        <v>508</v>
      </c>
      <c r="G483" s="285">
        <v>0</v>
      </c>
      <c r="H483" s="288">
        <v>0</v>
      </c>
      <c r="I483" s="285">
        <v>0</v>
      </c>
      <c r="J483" s="285">
        <v>310</v>
      </c>
      <c r="K483" s="284">
        <v>0</v>
      </c>
      <c r="L483" s="284">
        <v>0</v>
      </c>
      <c r="M483" s="284">
        <v>0</v>
      </c>
      <c r="N483" s="289">
        <v>337</v>
      </c>
      <c r="O483" s="284">
        <v>1</v>
      </c>
      <c r="P483" s="284">
        <v>862</v>
      </c>
      <c r="Q483" s="286">
        <v>776</v>
      </c>
      <c r="R483" s="274">
        <v>2017</v>
      </c>
      <c r="S483" s="274">
        <v>777</v>
      </c>
      <c r="T483" s="287">
        <f t="shared" si="7"/>
        <v>2015</v>
      </c>
      <c r="U483" s="274">
        <f>VLOOKUP(A483,'[1]SB35 Determination Data'!$B$4:$F$542,5,FALSE)</f>
        <v>2014</v>
      </c>
    </row>
    <row r="484" spans="1:21" s="274" customFormat="1" ht="12.75" x14ac:dyDescent="0.2">
      <c r="A484" s="282" t="s">
        <v>399</v>
      </c>
      <c r="B484" s="282" t="s">
        <v>262</v>
      </c>
      <c r="C484" s="282" t="s">
        <v>649</v>
      </c>
      <c r="D484" s="283">
        <v>2016</v>
      </c>
      <c r="E484" s="282" t="s">
        <v>650</v>
      </c>
      <c r="F484" s="284">
        <v>508</v>
      </c>
      <c r="G484" s="285">
        <v>12</v>
      </c>
      <c r="H484" s="288">
        <v>12</v>
      </c>
      <c r="I484" s="285">
        <v>0</v>
      </c>
      <c r="J484" s="285">
        <v>310</v>
      </c>
      <c r="K484" s="284">
        <v>12</v>
      </c>
      <c r="L484" s="284">
        <v>12</v>
      </c>
      <c r="M484" s="284">
        <v>0</v>
      </c>
      <c r="N484" s="284">
        <v>337</v>
      </c>
      <c r="O484" s="284">
        <v>0</v>
      </c>
      <c r="P484" s="284">
        <v>862</v>
      </c>
      <c r="Q484" s="286">
        <v>1187</v>
      </c>
      <c r="R484" s="274">
        <v>2017</v>
      </c>
      <c r="S484" s="274">
        <v>1211</v>
      </c>
      <c r="T484" s="287">
        <f t="shared" si="7"/>
        <v>2016</v>
      </c>
      <c r="U484" s="274">
        <f>VLOOKUP(A484,'[1]SB35 Determination Data'!$B$4:$F$542,5,FALSE)</f>
        <v>2014</v>
      </c>
    </row>
    <row r="485" spans="1:21" s="274" customFormat="1" ht="12.75" x14ac:dyDescent="0.2">
      <c r="A485" s="282" t="s">
        <v>399</v>
      </c>
      <c r="B485" s="282" t="s">
        <v>262</v>
      </c>
      <c r="C485" s="282" t="s">
        <v>649</v>
      </c>
      <c r="D485" s="283">
        <v>2017</v>
      </c>
      <c r="E485" s="282" t="s">
        <v>650</v>
      </c>
      <c r="F485" s="284">
        <v>508</v>
      </c>
      <c r="G485" s="285">
        <v>5</v>
      </c>
      <c r="H485" s="288">
        <v>5</v>
      </c>
      <c r="I485" s="285">
        <v>0</v>
      </c>
      <c r="J485" s="285">
        <v>310</v>
      </c>
      <c r="K485" s="284">
        <v>37</v>
      </c>
      <c r="L485" s="284">
        <v>37</v>
      </c>
      <c r="M485" s="284">
        <v>0</v>
      </c>
      <c r="N485" s="284">
        <v>337</v>
      </c>
      <c r="O485" s="284">
        <v>0</v>
      </c>
      <c r="P485" s="284">
        <v>862</v>
      </c>
      <c r="Q485" s="286">
        <v>610</v>
      </c>
      <c r="R485" s="274">
        <v>2017</v>
      </c>
      <c r="S485" s="274">
        <v>652</v>
      </c>
      <c r="T485" s="287">
        <f t="shared" si="7"/>
        <v>2017</v>
      </c>
      <c r="U485" s="274">
        <f>VLOOKUP(A485,'[1]SB35 Determination Data'!$B$4:$F$542,5,FALSE)</f>
        <v>2014</v>
      </c>
    </row>
    <row r="486" spans="1:21" s="274" customFormat="1" ht="12.75" x14ac:dyDescent="0.2">
      <c r="A486" s="282" t="s">
        <v>401</v>
      </c>
      <c r="B486" s="282" t="s">
        <v>262</v>
      </c>
      <c r="C486" s="282" t="s">
        <v>649</v>
      </c>
      <c r="D486" s="283">
        <v>2014</v>
      </c>
      <c r="E486" s="282" t="s">
        <v>650</v>
      </c>
      <c r="F486" s="284">
        <v>171</v>
      </c>
      <c r="G486" s="285">
        <v>0</v>
      </c>
      <c r="H486" s="288">
        <v>0</v>
      </c>
      <c r="I486" s="285">
        <v>0</v>
      </c>
      <c r="J486" s="285">
        <v>100</v>
      </c>
      <c r="K486" s="284">
        <v>0</v>
      </c>
      <c r="L486" s="284">
        <v>0</v>
      </c>
      <c r="M486" s="284">
        <v>0</v>
      </c>
      <c r="N486" s="284">
        <v>108</v>
      </c>
      <c r="O486" s="284">
        <v>0</v>
      </c>
      <c r="P486" s="284">
        <v>267</v>
      </c>
      <c r="Q486" s="286">
        <v>48</v>
      </c>
      <c r="R486" s="274">
        <v>646</v>
      </c>
      <c r="S486" s="274">
        <v>48</v>
      </c>
      <c r="T486" s="287">
        <f t="shared" si="7"/>
        <v>2014</v>
      </c>
      <c r="U486" s="274">
        <f>VLOOKUP(A486,'[1]SB35 Determination Data'!$B$4:$F$542,5,FALSE)</f>
        <v>2014</v>
      </c>
    </row>
    <row r="487" spans="1:21" s="274" customFormat="1" ht="12.75" x14ac:dyDescent="0.2">
      <c r="A487" s="282" t="s">
        <v>401</v>
      </c>
      <c r="B487" s="282" t="s">
        <v>262</v>
      </c>
      <c r="C487" s="282" t="s">
        <v>649</v>
      </c>
      <c r="D487" s="283">
        <v>2015</v>
      </c>
      <c r="E487" s="282" t="s">
        <v>650</v>
      </c>
      <c r="F487" s="284">
        <v>171</v>
      </c>
      <c r="G487" s="285">
        <v>0</v>
      </c>
      <c r="H487" s="288">
        <v>0</v>
      </c>
      <c r="I487" s="285">
        <v>0</v>
      </c>
      <c r="J487" s="285">
        <v>100</v>
      </c>
      <c r="K487" s="284">
        <v>0</v>
      </c>
      <c r="L487" s="284">
        <v>0</v>
      </c>
      <c r="M487" s="284">
        <v>0</v>
      </c>
      <c r="N487" s="284">
        <v>108</v>
      </c>
      <c r="O487" s="284">
        <v>0</v>
      </c>
      <c r="P487" s="284">
        <v>267</v>
      </c>
      <c r="Q487" s="286">
        <v>22</v>
      </c>
      <c r="R487" s="274">
        <v>646</v>
      </c>
      <c r="S487" s="274">
        <v>22</v>
      </c>
      <c r="T487" s="287">
        <f t="shared" si="7"/>
        <v>2015</v>
      </c>
      <c r="U487" s="274">
        <f>VLOOKUP(A487,'[1]SB35 Determination Data'!$B$4:$F$542,5,FALSE)</f>
        <v>2014</v>
      </c>
    </row>
    <row r="488" spans="1:21" s="274" customFormat="1" ht="12.75" x14ac:dyDescent="0.2">
      <c r="A488" s="282" t="s">
        <v>401</v>
      </c>
      <c r="B488" s="282" t="s">
        <v>262</v>
      </c>
      <c r="C488" s="282" t="s">
        <v>649</v>
      </c>
      <c r="D488" s="283">
        <v>2016</v>
      </c>
      <c r="E488" s="282" t="s">
        <v>650</v>
      </c>
      <c r="F488" s="284">
        <v>171</v>
      </c>
      <c r="G488" s="285">
        <v>0</v>
      </c>
      <c r="H488" s="288">
        <v>0</v>
      </c>
      <c r="I488" s="285">
        <v>0</v>
      </c>
      <c r="J488" s="285">
        <v>100</v>
      </c>
      <c r="K488" s="284">
        <v>0</v>
      </c>
      <c r="L488" s="284">
        <v>0</v>
      </c>
      <c r="M488" s="284">
        <v>0</v>
      </c>
      <c r="N488" s="284">
        <v>108</v>
      </c>
      <c r="O488" s="284">
        <v>0</v>
      </c>
      <c r="P488" s="284">
        <v>267</v>
      </c>
      <c r="Q488" s="286">
        <v>329</v>
      </c>
      <c r="R488" s="274">
        <v>646</v>
      </c>
      <c r="S488" s="274">
        <v>329</v>
      </c>
      <c r="T488" s="287">
        <f t="shared" si="7"/>
        <v>2016</v>
      </c>
      <c r="U488" s="274">
        <f>VLOOKUP(A488,'[1]SB35 Determination Data'!$B$4:$F$542,5,FALSE)</f>
        <v>2014</v>
      </c>
    </row>
    <row r="489" spans="1:21" s="274" customFormat="1" ht="12.75" x14ac:dyDescent="0.2">
      <c r="A489" s="282" t="s">
        <v>401</v>
      </c>
      <c r="B489" s="282" t="s">
        <v>262</v>
      </c>
      <c r="C489" s="282" t="s">
        <v>649</v>
      </c>
      <c r="D489" s="283">
        <v>2017</v>
      </c>
      <c r="E489" s="282" t="s">
        <v>650</v>
      </c>
      <c r="F489" s="284">
        <v>171</v>
      </c>
      <c r="G489" s="285">
        <v>0</v>
      </c>
      <c r="H489" s="288">
        <v>0</v>
      </c>
      <c r="I489" s="285">
        <v>0</v>
      </c>
      <c r="J489" s="285">
        <v>100</v>
      </c>
      <c r="K489" s="284">
        <v>0</v>
      </c>
      <c r="L489" s="284">
        <v>0</v>
      </c>
      <c r="M489" s="284">
        <v>0</v>
      </c>
      <c r="N489" s="289">
        <v>108</v>
      </c>
      <c r="O489" s="284">
        <v>0</v>
      </c>
      <c r="P489" s="284">
        <v>267</v>
      </c>
      <c r="Q489" s="286">
        <v>84</v>
      </c>
      <c r="R489" s="274">
        <v>646</v>
      </c>
      <c r="S489" s="274">
        <v>84</v>
      </c>
      <c r="T489" s="287">
        <f t="shared" si="7"/>
        <v>2017</v>
      </c>
      <c r="U489" s="274">
        <f>VLOOKUP(A489,'[1]SB35 Determination Data'!$B$4:$F$542,5,FALSE)</f>
        <v>2014</v>
      </c>
    </row>
    <row r="490" spans="1:21" s="274" customFormat="1" ht="12.75" x14ac:dyDescent="0.2">
      <c r="A490" s="282" t="s">
        <v>385</v>
      </c>
      <c r="B490" s="282" t="s">
        <v>143</v>
      </c>
      <c r="C490" s="282" t="s">
        <v>660</v>
      </c>
      <c r="D490" s="283">
        <v>2014</v>
      </c>
      <c r="E490" s="282" t="s">
        <v>650</v>
      </c>
      <c r="F490" s="284">
        <v>25</v>
      </c>
      <c r="G490" s="285">
        <v>1</v>
      </c>
      <c r="H490" s="288">
        <v>1</v>
      </c>
      <c r="I490" s="285">
        <v>0</v>
      </c>
      <c r="J490" s="285">
        <v>19</v>
      </c>
      <c r="K490" s="284">
        <v>3</v>
      </c>
      <c r="L490" s="284">
        <v>2</v>
      </c>
      <c r="M490" s="284">
        <v>1</v>
      </c>
      <c r="N490" s="284">
        <v>25</v>
      </c>
      <c r="O490" s="284">
        <v>1</v>
      </c>
      <c r="P490" s="284">
        <v>48</v>
      </c>
      <c r="Q490" s="286">
        <v>4</v>
      </c>
      <c r="R490" s="274">
        <v>117</v>
      </c>
      <c r="S490" s="274">
        <v>9</v>
      </c>
      <c r="T490" s="287">
        <f t="shared" si="7"/>
        <v>2014</v>
      </c>
      <c r="U490" s="274">
        <f>VLOOKUP(A490,'[1]SB35 Determination Data'!$B$4:$F$542,5,FALSE)</f>
        <v>2014</v>
      </c>
    </row>
    <row r="491" spans="1:21" s="274" customFormat="1" ht="12.75" x14ac:dyDescent="0.2">
      <c r="A491" s="282" t="s">
        <v>385</v>
      </c>
      <c r="B491" s="282" t="s">
        <v>143</v>
      </c>
      <c r="C491" s="282" t="s">
        <v>660</v>
      </c>
      <c r="D491" s="283">
        <v>2015</v>
      </c>
      <c r="E491" s="282" t="s">
        <v>650</v>
      </c>
      <c r="F491" s="284">
        <v>25</v>
      </c>
      <c r="G491" s="285">
        <v>4</v>
      </c>
      <c r="H491" s="288">
        <v>4</v>
      </c>
      <c r="I491" s="285">
        <v>0</v>
      </c>
      <c r="J491" s="285">
        <v>19</v>
      </c>
      <c r="K491" s="284">
        <v>1</v>
      </c>
      <c r="L491" s="284">
        <v>0</v>
      </c>
      <c r="M491" s="284">
        <v>1</v>
      </c>
      <c r="N491" s="284">
        <v>25</v>
      </c>
      <c r="O491" s="284">
        <v>1</v>
      </c>
      <c r="P491" s="284">
        <v>48</v>
      </c>
      <c r="Q491" s="286">
        <v>6</v>
      </c>
      <c r="R491" s="274">
        <v>117</v>
      </c>
      <c r="S491" s="274">
        <v>12</v>
      </c>
      <c r="T491" s="287">
        <f t="shared" si="7"/>
        <v>2015</v>
      </c>
      <c r="U491" s="274">
        <f>VLOOKUP(A491,'[1]SB35 Determination Data'!$B$4:$F$542,5,FALSE)</f>
        <v>2014</v>
      </c>
    </row>
    <row r="492" spans="1:21" s="274" customFormat="1" ht="12.75" x14ac:dyDescent="0.2">
      <c r="A492" s="282" t="s">
        <v>385</v>
      </c>
      <c r="B492" s="282" t="s">
        <v>143</v>
      </c>
      <c r="C492" s="282" t="s">
        <v>660</v>
      </c>
      <c r="D492" s="283">
        <v>2016</v>
      </c>
      <c r="E492" s="282" t="s">
        <v>650</v>
      </c>
      <c r="F492" s="284">
        <v>25</v>
      </c>
      <c r="G492" s="285">
        <v>1</v>
      </c>
      <c r="H492" s="288">
        <v>1</v>
      </c>
      <c r="I492" s="285">
        <v>0</v>
      </c>
      <c r="J492" s="285">
        <v>19</v>
      </c>
      <c r="K492" s="284">
        <v>3</v>
      </c>
      <c r="L492" s="284">
        <v>0</v>
      </c>
      <c r="M492" s="284">
        <v>3</v>
      </c>
      <c r="N492" s="284">
        <v>25</v>
      </c>
      <c r="O492" s="284">
        <v>2</v>
      </c>
      <c r="P492" s="284">
        <v>48</v>
      </c>
      <c r="Q492" s="286">
        <v>7</v>
      </c>
      <c r="R492" s="274">
        <v>117</v>
      </c>
      <c r="S492" s="274">
        <v>13</v>
      </c>
      <c r="T492" s="287">
        <f t="shared" si="7"/>
        <v>2016</v>
      </c>
      <c r="U492" s="274">
        <f>VLOOKUP(A492,'[1]SB35 Determination Data'!$B$4:$F$542,5,FALSE)</f>
        <v>2014</v>
      </c>
    </row>
    <row r="493" spans="1:21" s="274" customFormat="1" ht="12.75" x14ac:dyDescent="0.2">
      <c r="A493" s="282" t="s">
        <v>385</v>
      </c>
      <c r="B493" s="282" t="s">
        <v>143</v>
      </c>
      <c r="C493" s="282" t="s">
        <v>660</v>
      </c>
      <c r="D493" s="283">
        <v>2017</v>
      </c>
      <c r="E493" s="282" t="s">
        <v>650</v>
      </c>
      <c r="F493" s="284">
        <v>25</v>
      </c>
      <c r="G493" s="285">
        <v>4</v>
      </c>
      <c r="H493" s="288">
        <v>0</v>
      </c>
      <c r="I493" s="285">
        <v>4</v>
      </c>
      <c r="J493" s="285">
        <v>19</v>
      </c>
      <c r="K493" s="284">
        <v>3</v>
      </c>
      <c r="L493" s="284">
        <v>0</v>
      </c>
      <c r="M493" s="284">
        <v>3</v>
      </c>
      <c r="N493" s="289">
        <v>25</v>
      </c>
      <c r="O493" s="284">
        <v>5</v>
      </c>
      <c r="P493" s="284">
        <v>48</v>
      </c>
      <c r="Q493" s="286">
        <v>13</v>
      </c>
      <c r="R493" s="274">
        <v>117</v>
      </c>
      <c r="S493" s="274">
        <v>25</v>
      </c>
      <c r="T493" s="287">
        <f t="shared" si="7"/>
        <v>2017</v>
      </c>
      <c r="U493" s="274">
        <f>VLOOKUP(A493,'[1]SB35 Determination Data'!$B$4:$F$542,5,FALSE)</f>
        <v>2014</v>
      </c>
    </row>
    <row r="494" spans="1:21" s="274" customFormat="1" ht="12.75" x14ac:dyDescent="0.2">
      <c r="A494" s="282" t="s">
        <v>402</v>
      </c>
      <c r="B494" s="282" t="s">
        <v>602</v>
      </c>
      <c r="C494" s="282" t="s">
        <v>732</v>
      </c>
      <c r="D494" s="283">
        <v>2014</v>
      </c>
      <c r="E494" s="282" t="s">
        <v>650</v>
      </c>
      <c r="F494" s="284">
        <v>235</v>
      </c>
      <c r="G494" s="285">
        <v>0</v>
      </c>
      <c r="H494" s="288">
        <v>0</v>
      </c>
      <c r="I494" s="285">
        <v>0</v>
      </c>
      <c r="J494" s="285">
        <v>157</v>
      </c>
      <c r="K494" s="284">
        <v>0</v>
      </c>
      <c r="L494" s="284">
        <v>0</v>
      </c>
      <c r="M494" s="284">
        <v>0</v>
      </c>
      <c r="N494" s="284">
        <v>174</v>
      </c>
      <c r="O494" s="284">
        <v>0</v>
      </c>
      <c r="P494" s="284">
        <v>413</v>
      </c>
      <c r="Q494" s="286">
        <v>132</v>
      </c>
      <c r="R494" s="274">
        <v>979</v>
      </c>
      <c r="S494" s="274">
        <v>132</v>
      </c>
      <c r="T494" s="287">
        <f t="shared" si="7"/>
        <v>2015</v>
      </c>
      <c r="U494" s="274">
        <f>VLOOKUP(A494,'[1]SB35 Determination Data'!$B$4:$F$542,5,FALSE)</f>
        <v>2015</v>
      </c>
    </row>
    <row r="495" spans="1:21" s="274" customFormat="1" ht="12.75" x14ac:dyDescent="0.2">
      <c r="A495" s="282" t="s">
        <v>402</v>
      </c>
      <c r="B495" s="282" t="s">
        <v>602</v>
      </c>
      <c r="C495" s="282" t="s">
        <v>732</v>
      </c>
      <c r="D495" s="283">
        <v>2015</v>
      </c>
      <c r="E495" s="282" t="s">
        <v>650</v>
      </c>
      <c r="F495" s="284">
        <v>235</v>
      </c>
      <c r="G495" s="285">
        <v>0</v>
      </c>
      <c r="H495" s="288">
        <v>0</v>
      </c>
      <c r="I495" s="285">
        <v>0</v>
      </c>
      <c r="J495" s="285">
        <v>157</v>
      </c>
      <c r="K495" s="284">
        <v>0</v>
      </c>
      <c r="L495" s="284">
        <v>0</v>
      </c>
      <c r="M495" s="284">
        <v>0</v>
      </c>
      <c r="N495" s="284">
        <v>174</v>
      </c>
      <c r="O495" s="284">
        <v>5</v>
      </c>
      <c r="P495" s="284">
        <v>413</v>
      </c>
      <c r="Q495" s="286">
        <v>197</v>
      </c>
      <c r="R495" s="274">
        <v>979</v>
      </c>
      <c r="S495" s="274">
        <v>202</v>
      </c>
      <c r="T495" s="287">
        <f t="shared" si="7"/>
        <v>2015</v>
      </c>
      <c r="U495" s="274">
        <f>VLOOKUP(A495,'[1]SB35 Determination Data'!$B$4:$F$542,5,FALSE)</f>
        <v>2015</v>
      </c>
    </row>
    <row r="496" spans="1:21" s="274" customFormat="1" ht="12.75" x14ac:dyDescent="0.2">
      <c r="A496" s="282" t="s">
        <v>402</v>
      </c>
      <c r="B496" s="282" t="s">
        <v>602</v>
      </c>
      <c r="C496" s="282" t="s">
        <v>732</v>
      </c>
      <c r="D496" s="283">
        <v>2016</v>
      </c>
      <c r="E496" s="282" t="s">
        <v>650</v>
      </c>
      <c r="F496" s="284">
        <v>235</v>
      </c>
      <c r="G496" s="285">
        <v>0</v>
      </c>
      <c r="H496" s="288">
        <v>0</v>
      </c>
      <c r="I496" s="285">
        <v>0</v>
      </c>
      <c r="J496" s="285">
        <v>157</v>
      </c>
      <c r="K496" s="284">
        <v>0</v>
      </c>
      <c r="L496" s="284">
        <v>0</v>
      </c>
      <c r="M496" s="284">
        <v>0</v>
      </c>
      <c r="N496" s="284">
        <v>174</v>
      </c>
      <c r="O496" s="284">
        <v>0</v>
      </c>
      <c r="P496" s="284">
        <v>413</v>
      </c>
      <c r="Q496" s="286">
        <v>135</v>
      </c>
      <c r="R496" s="274">
        <v>979</v>
      </c>
      <c r="S496" s="274">
        <v>135</v>
      </c>
      <c r="T496" s="287">
        <f t="shared" si="7"/>
        <v>2016</v>
      </c>
      <c r="U496" s="274">
        <f>VLOOKUP(A496,'[1]SB35 Determination Data'!$B$4:$F$542,5,FALSE)</f>
        <v>2015</v>
      </c>
    </row>
    <row r="497" spans="1:21" s="274" customFormat="1" ht="12.75" x14ac:dyDescent="0.2">
      <c r="A497" s="282" t="s">
        <v>402</v>
      </c>
      <c r="B497" s="282" t="s">
        <v>602</v>
      </c>
      <c r="C497" s="282" t="s">
        <v>732</v>
      </c>
      <c r="D497" s="283">
        <v>2017</v>
      </c>
      <c r="E497" s="282" t="s">
        <v>650</v>
      </c>
      <c r="F497" s="284">
        <v>235</v>
      </c>
      <c r="G497" s="285">
        <v>0</v>
      </c>
      <c r="H497" s="288">
        <v>0</v>
      </c>
      <c r="I497" s="285">
        <v>0</v>
      </c>
      <c r="J497" s="285">
        <v>157</v>
      </c>
      <c r="K497" s="284">
        <v>0</v>
      </c>
      <c r="L497" s="284">
        <v>0</v>
      </c>
      <c r="M497" s="284">
        <v>0</v>
      </c>
      <c r="N497" s="284">
        <v>174</v>
      </c>
      <c r="O497" s="284">
        <v>0</v>
      </c>
      <c r="P497" s="284">
        <v>413</v>
      </c>
      <c r="Q497" s="286">
        <v>100</v>
      </c>
      <c r="R497" s="274">
        <v>979</v>
      </c>
      <c r="S497" s="274">
        <v>100</v>
      </c>
      <c r="T497" s="287">
        <f t="shared" si="7"/>
        <v>2017</v>
      </c>
      <c r="U497" s="274">
        <f>VLOOKUP(A497,'[1]SB35 Determination Data'!$B$4:$F$542,5,FALSE)</f>
        <v>2015</v>
      </c>
    </row>
    <row r="498" spans="1:21" s="274" customFormat="1" ht="12.75" x14ac:dyDescent="0.2">
      <c r="A498" s="282" t="s">
        <v>405</v>
      </c>
      <c r="B498" s="282" t="s">
        <v>403</v>
      </c>
      <c r="C498" s="282" t="s">
        <v>531</v>
      </c>
      <c r="D498" s="283">
        <v>2015</v>
      </c>
      <c r="E498" s="282" t="s">
        <v>650</v>
      </c>
      <c r="F498" s="284">
        <v>71</v>
      </c>
      <c r="G498" s="285">
        <v>0</v>
      </c>
      <c r="H498" s="288">
        <v>0</v>
      </c>
      <c r="I498" s="285">
        <v>0</v>
      </c>
      <c r="J498" s="285">
        <v>46</v>
      </c>
      <c r="K498" s="284">
        <v>0</v>
      </c>
      <c r="L498" s="284">
        <v>0</v>
      </c>
      <c r="M498" s="284">
        <v>0</v>
      </c>
      <c r="N498" s="284">
        <v>53</v>
      </c>
      <c r="O498" s="284">
        <v>0</v>
      </c>
      <c r="P498" s="284">
        <v>123</v>
      </c>
      <c r="Q498" s="286">
        <v>0</v>
      </c>
      <c r="R498" s="274">
        <v>293</v>
      </c>
      <c r="S498" s="274">
        <v>0</v>
      </c>
      <c r="T498" s="287">
        <f t="shared" si="7"/>
        <v>2016</v>
      </c>
      <c r="U498" s="274">
        <f>VLOOKUP(A498,'[1]SB35 Determination Data'!$B$4:$F$542,5,FALSE)</f>
        <v>2016</v>
      </c>
    </row>
    <row r="499" spans="1:21" s="274" customFormat="1" ht="12.75" x14ac:dyDescent="0.2">
      <c r="A499" s="282" t="s">
        <v>407</v>
      </c>
      <c r="B499" s="282" t="s">
        <v>542</v>
      </c>
      <c r="C499" s="282" t="s">
        <v>649</v>
      </c>
      <c r="D499" s="283">
        <v>2015</v>
      </c>
      <c r="E499" s="282" t="s">
        <v>650</v>
      </c>
      <c r="F499" s="284">
        <v>28</v>
      </c>
      <c r="G499" s="285">
        <v>0</v>
      </c>
      <c r="H499" s="288">
        <v>0</v>
      </c>
      <c r="I499" s="285">
        <v>0</v>
      </c>
      <c r="J499" s="285">
        <v>19</v>
      </c>
      <c r="K499" s="284">
        <v>0</v>
      </c>
      <c r="L499" s="284">
        <v>0</v>
      </c>
      <c r="M499" s="284">
        <v>0</v>
      </c>
      <c r="N499" s="289">
        <v>22</v>
      </c>
      <c r="O499" s="284">
        <v>10</v>
      </c>
      <c r="P499" s="284">
        <v>49</v>
      </c>
      <c r="Q499" s="286">
        <v>0</v>
      </c>
      <c r="R499" s="274">
        <v>118</v>
      </c>
      <c r="S499" s="274">
        <v>10</v>
      </c>
      <c r="T499" s="287">
        <f t="shared" si="7"/>
        <v>2015</v>
      </c>
      <c r="U499" s="274">
        <f>VLOOKUP(A499,'[1]SB35 Determination Data'!$B$4:$F$542,5,FALSE)</f>
        <v>2014</v>
      </c>
    </row>
    <row r="500" spans="1:21" s="274" customFormat="1" ht="12.75" x14ac:dyDescent="0.2">
      <c r="A500" s="282" t="s">
        <v>407</v>
      </c>
      <c r="B500" s="282" t="s">
        <v>542</v>
      </c>
      <c r="C500" s="282" t="s">
        <v>649</v>
      </c>
      <c r="D500" s="283">
        <v>2016</v>
      </c>
      <c r="E500" s="282" t="s">
        <v>650</v>
      </c>
      <c r="F500" s="284">
        <v>28</v>
      </c>
      <c r="G500" s="285">
        <v>0</v>
      </c>
      <c r="H500" s="288">
        <v>0</v>
      </c>
      <c r="I500" s="285">
        <v>0</v>
      </c>
      <c r="J500" s="285">
        <v>19</v>
      </c>
      <c r="K500" s="284">
        <v>0</v>
      </c>
      <c r="L500" s="284">
        <v>0</v>
      </c>
      <c r="M500" s="284">
        <v>0</v>
      </c>
      <c r="N500" s="289">
        <v>22</v>
      </c>
      <c r="O500" s="284">
        <v>5</v>
      </c>
      <c r="P500" s="284">
        <v>49</v>
      </c>
      <c r="Q500" s="286">
        <v>0</v>
      </c>
      <c r="R500" s="274">
        <v>118</v>
      </c>
      <c r="S500" s="274">
        <v>5</v>
      </c>
      <c r="T500" s="287">
        <f t="shared" si="7"/>
        <v>2016</v>
      </c>
      <c r="U500" s="274">
        <f>VLOOKUP(A500,'[1]SB35 Determination Data'!$B$4:$F$542,5,FALSE)</f>
        <v>2014</v>
      </c>
    </row>
    <row r="501" spans="1:21" s="274" customFormat="1" ht="12.75" x14ac:dyDescent="0.2">
      <c r="A501" s="282" t="s">
        <v>407</v>
      </c>
      <c r="B501" s="282" t="s">
        <v>542</v>
      </c>
      <c r="C501" s="282" t="s">
        <v>649</v>
      </c>
      <c r="D501" s="283">
        <v>2017</v>
      </c>
      <c r="E501" s="282" t="s">
        <v>650</v>
      </c>
      <c r="F501" s="284">
        <v>28</v>
      </c>
      <c r="G501" s="285">
        <v>0</v>
      </c>
      <c r="H501" s="288">
        <v>0</v>
      </c>
      <c r="I501" s="285">
        <v>0</v>
      </c>
      <c r="J501" s="285">
        <v>19</v>
      </c>
      <c r="K501" s="284">
        <v>0</v>
      </c>
      <c r="L501" s="284">
        <v>0</v>
      </c>
      <c r="M501" s="284">
        <v>0</v>
      </c>
      <c r="N501" s="284">
        <v>22</v>
      </c>
      <c r="O501" s="284">
        <v>1</v>
      </c>
      <c r="P501" s="284">
        <v>49</v>
      </c>
      <c r="Q501" s="286">
        <v>21</v>
      </c>
      <c r="R501" s="274">
        <v>118</v>
      </c>
      <c r="S501" s="274">
        <v>22</v>
      </c>
      <c r="T501" s="287">
        <f t="shared" si="7"/>
        <v>2017</v>
      </c>
      <c r="U501" s="274">
        <f>VLOOKUP(A501,'[1]SB35 Determination Data'!$B$4:$F$542,5,FALSE)</f>
        <v>2014</v>
      </c>
    </row>
    <row r="502" spans="1:21" s="274" customFormat="1" ht="12.75" x14ac:dyDescent="0.2">
      <c r="A502" s="282" t="s">
        <v>408</v>
      </c>
      <c r="B502" s="282" t="s">
        <v>425</v>
      </c>
      <c r="C502" s="282" t="s">
        <v>660</v>
      </c>
      <c r="D502" s="283">
        <v>2014</v>
      </c>
      <c r="E502" s="282" t="s">
        <v>650</v>
      </c>
      <c r="F502" s="284">
        <v>122</v>
      </c>
      <c r="G502" s="285">
        <v>10</v>
      </c>
      <c r="H502" s="288">
        <v>10</v>
      </c>
      <c r="I502" s="285">
        <v>0</v>
      </c>
      <c r="J502" s="285">
        <v>88</v>
      </c>
      <c r="K502" s="284">
        <v>74</v>
      </c>
      <c r="L502" s="284">
        <v>72</v>
      </c>
      <c r="M502" s="284">
        <v>2</v>
      </c>
      <c r="N502" s="284">
        <v>100</v>
      </c>
      <c r="O502" s="284">
        <v>0</v>
      </c>
      <c r="P502" s="284">
        <v>220</v>
      </c>
      <c r="Q502" s="286">
        <v>0</v>
      </c>
      <c r="R502" s="274">
        <v>530</v>
      </c>
      <c r="S502" s="274">
        <v>84</v>
      </c>
      <c r="T502" s="287">
        <f t="shared" si="7"/>
        <v>2014</v>
      </c>
      <c r="U502" s="274">
        <f>VLOOKUP(A502,'[1]SB35 Determination Data'!$B$4:$F$542,5,FALSE)</f>
        <v>2014</v>
      </c>
    </row>
    <row r="503" spans="1:21" s="274" customFormat="1" ht="12.75" x14ac:dyDescent="0.2">
      <c r="A503" s="282" t="s">
        <v>408</v>
      </c>
      <c r="B503" s="282" t="s">
        <v>425</v>
      </c>
      <c r="C503" s="282" t="s">
        <v>660</v>
      </c>
      <c r="D503" s="283">
        <v>2015</v>
      </c>
      <c r="E503" s="282" t="s">
        <v>650</v>
      </c>
      <c r="F503" s="284">
        <v>122</v>
      </c>
      <c r="G503" s="285">
        <v>2</v>
      </c>
      <c r="H503" s="288">
        <v>2</v>
      </c>
      <c r="I503" s="285">
        <v>0</v>
      </c>
      <c r="J503" s="285">
        <v>88</v>
      </c>
      <c r="K503" s="284">
        <v>0</v>
      </c>
      <c r="L503" s="284">
        <v>0</v>
      </c>
      <c r="M503" s="284">
        <v>0</v>
      </c>
      <c r="N503" s="284">
        <v>100</v>
      </c>
      <c r="O503" s="284">
        <v>0</v>
      </c>
      <c r="P503" s="284">
        <v>220</v>
      </c>
      <c r="Q503" s="286">
        <v>5</v>
      </c>
      <c r="R503" s="274">
        <v>530</v>
      </c>
      <c r="S503" s="274">
        <v>7</v>
      </c>
      <c r="T503" s="287">
        <f t="shared" si="7"/>
        <v>2015</v>
      </c>
      <c r="U503" s="274">
        <f>VLOOKUP(A503,'[1]SB35 Determination Data'!$B$4:$F$542,5,FALSE)</f>
        <v>2014</v>
      </c>
    </row>
    <row r="504" spans="1:21" s="274" customFormat="1" ht="12.75" x14ac:dyDescent="0.2">
      <c r="A504" s="282" t="s">
        <v>408</v>
      </c>
      <c r="B504" s="282" t="s">
        <v>425</v>
      </c>
      <c r="C504" s="282" t="s">
        <v>660</v>
      </c>
      <c r="D504" s="283">
        <v>2016</v>
      </c>
      <c r="E504" s="282" t="s">
        <v>650</v>
      </c>
      <c r="F504" s="284">
        <v>122</v>
      </c>
      <c r="G504" s="285">
        <v>1</v>
      </c>
      <c r="H504" s="288">
        <v>1</v>
      </c>
      <c r="I504" s="285">
        <v>0</v>
      </c>
      <c r="J504" s="285">
        <v>88</v>
      </c>
      <c r="K504" s="284">
        <v>0</v>
      </c>
      <c r="L504" s="284">
        <v>0</v>
      </c>
      <c r="M504" s="284">
        <v>0</v>
      </c>
      <c r="N504" s="284">
        <v>100</v>
      </c>
      <c r="O504" s="284">
        <v>1</v>
      </c>
      <c r="P504" s="284">
        <v>220</v>
      </c>
      <c r="Q504" s="286">
        <v>0</v>
      </c>
      <c r="R504" s="274">
        <v>530</v>
      </c>
      <c r="S504" s="274">
        <v>2</v>
      </c>
      <c r="T504" s="287">
        <f t="shared" si="7"/>
        <v>2016</v>
      </c>
      <c r="U504" s="274">
        <f>VLOOKUP(A504,'[1]SB35 Determination Data'!$B$4:$F$542,5,FALSE)</f>
        <v>2014</v>
      </c>
    </row>
    <row r="505" spans="1:21" s="274" customFormat="1" ht="12.75" x14ac:dyDescent="0.2">
      <c r="A505" s="282" t="s">
        <v>408</v>
      </c>
      <c r="B505" s="282" t="s">
        <v>425</v>
      </c>
      <c r="C505" s="282" t="s">
        <v>660</v>
      </c>
      <c r="D505" s="283">
        <v>2017</v>
      </c>
      <c r="E505" s="282" t="s">
        <v>650</v>
      </c>
      <c r="F505" s="284">
        <v>122</v>
      </c>
      <c r="G505" s="285">
        <v>2</v>
      </c>
      <c r="H505" s="288">
        <v>2</v>
      </c>
      <c r="I505" s="285">
        <v>0</v>
      </c>
      <c r="J505" s="285">
        <v>88</v>
      </c>
      <c r="K505" s="284">
        <v>2</v>
      </c>
      <c r="L505" s="284">
        <v>0</v>
      </c>
      <c r="M505" s="284">
        <v>2</v>
      </c>
      <c r="N505" s="284">
        <v>100</v>
      </c>
      <c r="O505" s="284">
        <v>1</v>
      </c>
      <c r="P505" s="284">
        <v>220</v>
      </c>
      <c r="Q505" s="286">
        <v>38</v>
      </c>
      <c r="R505" s="274">
        <v>530</v>
      </c>
      <c r="S505" s="274">
        <v>43</v>
      </c>
      <c r="T505" s="287">
        <f t="shared" si="7"/>
        <v>2017</v>
      </c>
      <c r="U505" s="274">
        <f>VLOOKUP(A505,'[1]SB35 Determination Data'!$B$4:$F$542,5,FALSE)</f>
        <v>2014</v>
      </c>
    </row>
    <row r="506" spans="1:21" s="274" customFormat="1" ht="12.75" x14ac:dyDescent="0.2">
      <c r="A506" s="282" t="s">
        <v>239</v>
      </c>
      <c r="B506" s="282" t="s">
        <v>109</v>
      </c>
      <c r="C506" s="282" t="s">
        <v>717</v>
      </c>
      <c r="D506" s="283">
        <v>2014</v>
      </c>
      <c r="E506" s="282" t="s">
        <v>650</v>
      </c>
      <c r="F506" s="284">
        <v>231</v>
      </c>
      <c r="G506" s="285">
        <v>0</v>
      </c>
      <c r="H506" s="288">
        <v>0</v>
      </c>
      <c r="I506" s="285">
        <v>0</v>
      </c>
      <c r="J506" s="285">
        <v>118</v>
      </c>
      <c r="K506" s="284">
        <v>0</v>
      </c>
      <c r="L506" s="284">
        <v>0</v>
      </c>
      <c r="M506" s="284">
        <v>0</v>
      </c>
      <c r="N506" s="284">
        <v>99</v>
      </c>
      <c r="O506" s="284">
        <v>0</v>
      </c>
      <c r="P506" s="284">
        <v>321</v>
      </c>
      <c r="Q506" s="286">
        <v>8</v>
      </c>
      <c r="R506" s="274">
        <v>769</v>
      </c>
      <c r="S506" s="274">
        <v>8</v>
      </c>
      <c r="T506" s="287">
        <f t="shared" si="7"/>
        <v>2014</v>
      </c>
      <c r="U506" s="274">
        <f>VLOOKUP(A506,'[1]SB35 Determination Data'!$B$4:$F$542,5,FALSE)</f>
        <v>2014</v>
      </c>
    </row>
    <row r="507" spans="1:21" s="274" customFormat="1" ht="12.75" x14ac:dyDescent="0.2">
      <c r="A507" s="282" t="s">
        <v>239</v>
      </c>
      <c r="B507" s="282" t="s">
        <v>109</v>
      </c>
      <c r="C507" s="282" t="s">
        <v>717</v>
      </c>
      <c r="D507" s="283">
        <v>2015</v>
      </c>
      <c r="E507" s="282" t="s">
        <v>650</v>
      </c>
      <c r="F507" s="284">
        <v>231</v>
      </c>
      <c r="G507" s="285">
        <v>0</v>
      </c>
      <c r="H507" s="288">
        <v>0</v>
      </c>
      <c r="I507" s="285">
        <v>0</v>
      </c>
      <c r="J507" s="285">
        <v>118</v>
      </c>
      <c r="K507" s="284">
        <v>0</v>
      </c>
      <c r="L507" s="284">
        <v>0</v>
      </c>
      <c r="M507" s="284">
        <v>0</v>
      </c>
      <c r="N507" s="289">
        <v>99</v>
      </c>
      <c r="O507" s="284">
        <v>0</v>
      </c>
      <c r="P507" s="284">
        <v>321</v>
      </c>
      <c r="Q507" s="286">
        <v>3</v>
      </c>
      <c r="R507" s="274">
        <v>769</v>
      </c>
      <c r="S507" s="274">
        <v>3</v>
      </c>
      <c r="T507" s="287">
        <f t="shared" si="7"/>
        <v>2015</v>
      </c>
      <c r="U507" s="274">
        <f>VLOOKUP(A507,'[1]SB35 Determination Data'!$B$4:$F$542,5,FALSE)</f>
        <v>2014</v>
      </c>
    </row>
    <row r="508" spans="1:21" s="274" customFormat="1" ht="12.75" x14ac:dyDescent="0.2">
      <c r="A508" s="282" t="s">
        <v>239</v>
      </c>
      <c r="B508" s="282" t="s">
        <v>109</v>
      </c>
      <c r="C508" s="282" t="s">
        <v>717</v>
      </c>
      <c r="D508" s="283">
        <v>2016</v>
      </c>
      <c r="E508" s="282" t="s">
        <v>650</v>
      </c>
      <c r="F508" s="284">
        <v>231</v>
      </c>
      <c r="G508" s="285">
        <v>0</v>
      </c>
      <c r="H508" s="288">
        <v>0</v>
      </c>
      <c r="I508" s="285">
        <v>0</v>
      </c>
      <c r="J508" s="285">
        <v>118</v>
      </c>
      <c r="K508" s="284">
        <v>0</v>
      </c>
      <c r="L508" s="284">
        <v>0</v>
      </c>
      <c r="M508" s="284">
        <v>0</v>
      </c>
      <c r="N508" s="284">
        <v>99</v>
      </c>
      <c r="O508" s="284">
        <v>0</v>
      </c>
      <c r="P508" s="284">
        <v>321</v>
      </c>
      <c r="Q508" s="286">
        <v>16</v>
      </c>
      <c r="R508" s="274">
        <v>769</v>
      </c>
      <c r="S508" s="274">
        <v>16</v>
      </c>
      <c r="T508" s="287">
        <f t="shared" si="7"/>
        <v>2016</v>
      </c>
      <c r="U508" s="274">
        <f>VLOOKUP(A508,'[1]SB35 Determination Data'!$B$4:$F$542,5,FALSE)</f>
        <v>2014</v>
      </c>
    </row>
    <row r="509" spans="1:21" s="274" customFormat="1" ht="12.75" x14ac:dyDescent="0.2">
      <c r="A509" s="282" t="s">
        <v>239</v>
      </c>
      <c r="B509" s="282" t="s">
        <v>109</v>
      </c>
      <c r="C509" s="282" t="s">
        <v>717</v>
      </c>
      <c r="D509" s="283">
        <v>2017</v>
      </c>
      <c r="E509" s="282" t="s">
        <v>650</v>
      </c>
      <c r="F509" s="284">
        <v>231</v>
      </c>
      <c r="G509" s="285">
        <v>0</v>
      </c>
      <c r="H509" s="288">
        <v>0</v>
      </c>
      <c r="I509" s="285">
        <v>0</v>
      </c>
      <c r="J509" s="285">
        <v>118</v>
      </c>
      <c r="K509" s="284">
        <v>0</v>
      </c>
      <c r="L509" s="284">
        <v>0</v>
      </c>
      <c r="M509" s="284">
        <v>0</v>
      </c>
      <c r="N509" s="284">
        <v>99</v>
      </c>
      <c r="O509" s="284">
        <v>0</v>
      </c>
      <c r="P509" s="284">
        <v>321</v>
      </c>
      <c r="Q509" s="286">
        <v>19</v>
      </c>
      <c r="R509" s="274">
        <v>769</v>
      </c>
      <c r="S509" s="274">
        <v>19</v>
      </c>
      <c r="T509" s="287">
        <f t="shared" si="7"/>
        <v>2017</v>
      </c>
      <c r="U509" s="274">
        <f>VLOOKUP(A509,'[1]SB35 Determination Data'!$B$4:$F$542,5,FALSE)</f>
        <v>2014</v>
      </c>
    </row>
    <row r="510" spans="1:21" s="274" customFormat="1" ht="12.75" x14ac:dyDescent="0.2">
      <c r="A510" s="282" t="s">
        <v>410</v>
      </c>
      <c r="B510" s="282" t="s">
        <v>583</v>
      </c>
      <c r="C510" s="282" t="s">
        <v>660</v>
      </c>
      <c r="D510" s="283">
        <v>2014</v>
      </c>
      <c r="E510" s="282" t="s">
        <v>650</v>
      </c>
      <c r="F510" s="284">
        <v>41</v>
      </c>
      <c r="G510" s="285">
        <v>0</v>
      </c>
      <c r="H510" s="288">
        <v>0</v>
      </c>
      <c r="I510" s="285">
        <v>0</v>
      </c>
      <c r="J510" s="285">
        <v>26</v>
      </c>
      <c r="K510" s="284">
        <v>1</v>
      </c>
      <c r="L510" s="284">
        <v>1</v>
      </c>
      <c r="M510" s="284">
        <v>0</v>
      </c>
      <c r="N510" s="284">
        <v>29</v>
      </c>
      <c r="O510" s="284">
        <v>0</v>
      </c>
      <c r="P510" s="284">
        <v>69</v>
      </c>
      <c r="Q510" s="286">
        <v>12</v>
      </c>
      <c r="R510" s="274">
        <v>165</v>
      </c>
      <c r="S510" s="274">
        <v>13</v>
      </c>
      <c r="T510" s="287">
        <f t="shared" si="7"/>
        <v>2014</v>
      </c>
      <c r="U510" s="274">
        <f>VLOOKUP(A510,'[1]SB35 Determination Data'!$B$4:$F$542,5,FALSE)</f>
        <v>2014</v>
      </c>
    </row>
    <row r="511" spans="1:21" s="274" customFormat="1" ht="12.75" x14ac:dyDescent="0.2">
      <c r="A511" s="282" t="s">
        <v>410</v>
      </c>
      <c r="B511" s="282" t="s">
        <v>583</v>
      </c>
      <c r="C511" s="282" t="s">
        <v>660</v>
      </c>
      <c r="D511" s="283">
        <v>2015</v>
      </c>
      <c r="E511" s="282" t="s">
        <v>650</v>
      </c>
      <c r="F511" s="284">
        <v>41</v>
      </c>
      <c r="G511" s="285">
        <v>0</v>
      </c>
      <c r="H511" s="288">
        <v>0</v>
      </c>
      <c r="I511" s="285">
        <v>0</v>
      </c>
      <c r="J511" s="285">
        <v>26</v>
      </c>
      <c r="K511" s="284">
        <v>2</v>
      </c>
      <c r="L511" s="284">
        <v>2</v>
      </c>
      <c r="M511" s="284">
        <v>0</v>
      </c>
      <c r="N511" s="284">
        <v>29</v>
      </c>
      <c r="O511" s="284">
        <v>0</v>
      </c>
      <c r="P511" s="284">
        <v>69</v>
      </c>
      <c r="Q511" s="286">
        <v>30</v>
      </c>
      <c r="R511" s="274">
        <v>165</v>
      </c>
      <c r="S511" s="274">
        <v>32</v>
      </c>
      <c r="T511" s="287">
        <f t="shared" si="7"/>
        <v>2015</v>
      </c>
      <c r="U511" s="274">
        <f>VLOOKUP(A511,'[1]SB35 Determination Data'!$B$4:$F$542,5,FALSE)</f>
        <v>2014</v>
      </c>
    </row>
    <row r="512" spans="1:21" s="274" customFormat="1" ht="12.75" x14ac:dyDescent="0.2">
      <c r="A512" s="282" t="s">
        <v>410</v>
      </c>
      <c r="B512" s="282" t="s">
        <v>583</v>
      </c>
      <c r="C512" s="282" t="s">
        <v>660</v>
      </c>
      <c r="D512" s="283">
        <v>2016</v>
      </c>
      <c r="E512" s="282" t="s">
        <v>650</v>
      </c>
      <c r="F512" s="284">
        <v>41</v>
      </c>
      <c r="G512" s="285">
        <v>0</v>
      </c>
      <c r="H512" s="288">
        <v>0</v>
      </c>
      <c r="I512" s="285">
        <v>0</v>
      </c>
      <c r="J512" s="285">
        <v>26</v>
      </c>
      <c r="K512" s="284">
        <v>2</v>
      </c>
      <c r="L512" s="284">
        <v>2</v>
      </c>
      <c r="M512" s="284">
        <v>0</v>
      </c>
      <c r="N512" s="289">
        <v>29</v>
      </c>
      <c r="O512" s="284">
        <v>0</v>
      </c>
      <c r="P512" s="284">
        <v>69</v>
      </c>
      <c r="Q512" s="286">
        <v>21</v>
      </c>
      <c r="R512" s="274">
        <v>165</v>
      </c>
      <c r="S512" s="274">
        <v>23</v>
      </c>
      <c r="T512" s="287">
        <f t="shared" si="7"/>
        <v>2016</v>
      </c>
      <c r="U512" s="274">
        <f>VLOOKUP(A512,'[1]SB35 Determination Data'!$B$4:$F$542,5,FALSE)</f>
        <v>2014</v>
      </c>
    </row>
    <row r="513" spans="1:21" s="274" customFormat="1" ht="12.75" x14ac:dyDescent="0.2">
      <c r="A513" s="282" t="s">
        <v>410</v>
      </c>
      <c r="B513" s="282" t="s">
        <v>583</v>
      </c>
      <c r="C513" s="282" t="s">
        <v>660</v>
      </c>
      <c r="D513" s="283">
        <v>2017</v>
      </c>
      <c r="E513" s="282" t="s">
        <v>650</v>
      </c>
      <c r="F513" s="284">
        <v>41</v>
      </c>
      <c r="G513" s="285">
        <v>0</v>
      </c>
      <c r="H513" s="288">
        <v>0</v>
      </c>
      <c r="I513" s="285">
        <v>0</v>
      </c>
      <c r="J513" s="285">
        <v>26</v>
      </c>
      <c r="K513" s="284">
        <v>0</v>
      </c>
      <c r="L513" s="284">
        <v>0</v>
      </c>
      <c r="M513" s="284">
        <v>0</v>
      </c>
      <c r="N513" s="284">
        <v>29</v>
      </c>
      <c r="O513" s="284">
        <v>0</v>
      </c>
      <c r="P513" s="284">
        <v>69</v>
      </c>
      <c r="Q513" s="286">
        <v>17</v>
      </c>
      <c r="R513" s="274">
        <v>165</v>
      </c>
      <c r="S513" s="274">
        <v>17</v>
      </c>
      <c r="T513" s="287">
        <f t="shared" si="7"/>
        <v>2017</v>
      </c>
      <c r="U513" s="274">
        <f>VLOOKUP(A513,'[1]SB35 Determination Data'!$B$4:$F$542,5,FALSE)</f>
        <v>2014</v>
      </c>
    </row>
    <row r="514" spans="1:21" s="274" customFormat="1" ht="12.75" x14ac:dyDescent="0.2">
      <c r="A514" s="282" t="s">
        <v>415</v>
      </c>
      <c r="B514" s="282" t="s">
        <v>595</v>
      </c>
      <c r="C514" s="282" t="s">
        <v>654</v>
      </c>
      <c r="D514" s="283">
        <v>2014</v>
      </c>
      <c r="E514" s="282" t="s">
        <v>650</v>
      </c>
      <c r="F514" s="284">
        <v>52</v>
      </c>
      <c r="G514" s="285">
        <v>52</v>
      </c>
      <c r="H514" s="288">
        <v>52</v>
      </c>
      <c r="I514" s="285">
        <v>0</v>
      </c>
      <c r="J514" s="285">
        <v>31</v>
      </c>
      <c r="K514" s="284">
        <v>3</v>
      </c>
      <c r="L514" s="284">
        <v>3</v>
      </c>
      <c r="M514" s="284">
        <v>0</v>
      </c>
      <c r="N514" s="284">
        <v>36</v>
      </c>
      <c r="O514" s="284">
        <v>0</v>
      </c>
      <c r="P514" s="284">
        <v>121</v>
      </c>
      <c r="Q514" s="286">
        <v>0</v>
      </c>
      <c r="R514" s="274">
        <v>240</v>
      </c>
      <c r="S514" s="274">
        <v>55</v>
      </c>
      <c r="T514" s="287">
        <f t="shared" si="7"/>
        <v>2015</v>
      </c>
      <c r="U514" s="274">
        <f>VLOOKUP(A514,'[1]SB35 Determination Data'!$B$4:$F$542,5,FALSE)</f>
        <v>2015</v>
      </c>
    </row>
    <row r="515" spans="1:21" s="274" customFormat="1" ht="12.75" x14ac:dyDescent="0.2">
      <c r="A515" s="282" t="s">
        <v>415</v>
      </c>
      <c r="B515" s="282" t="s">
        <v>595</v>
      </c>
      <c r="C515" s="282" t="s">
        <v>654</v>
      </c>
      <c r="D515" s="283">
        <v>2015</v>
      </c>
      <c r="E515" s="282" t="s">
        <v>650</v>
      </c>
      <c r="F515" s="284">
        <v>52</v>
      </c>
      <c r="G515" s="285">
        <v>0</v>
      </c>
      <c r="H515" s="288">
        <v>0</v>
      </c>
      <c r="I515" s="285">
        <v>0</v>
      </c>
      <c r="J515" s="285">
        <v>31</v>
      </c>
      <c r="K515" s="284">
        <v>0</v>
      </c>
      <c r="L515" s="284">
        <v>0</v>
      </c>
      <c r="M515" s="284">
        <v>0</v>
      </c>
      <c r="N515" s="284">
        <v>36</v>
      </c>
      <c r="O515" s="284">
        <v>0</v>
      </c>
      <c r="P515" s="284">
        <v>121</v>
      </c>
      <c r="Q515" s="286">
        <v>9</v>
      </c>
      <c r="R515" s="274">
        <v>240</v>
      </c>
      <c r="S515" s="274">
        <v>9</v>
      </c>
      <c r="T515" s="287">
        <f t="shared" si="7"/>
        <v>2015</v>
      </c>
      <c r="U515" s="274">
        <f>VLOOKUP(A515,'[1]SB35 Determination Data'!$B$4:$F$542,5,FALSE)</f>
        <v>2015</v>
      </c>
    </row>
    <row r="516" spans="1:21" s="274" customFormat="1" ht="12.75" x14ac:dyDescent="0.2">
      <c r="A516" s="282" t="s">
        <v>415</v>
      </c>
      <c r="B516" s="282" t="s">
        <v>595</v>
      </c>
      <c r="C516" s="282" t="s">
        <v>654</v>
      </c>
      <c r="D516" s="283">
        <v>2016</v>
      </c>
      <c r="E516" s="282" t="s">
        <v>650</v>
      </c>
      <c r="F516" s="284">
        <v>52</v>
      </c>
      <c r="G516" s="285">
        <v>0</v>
      </c>
      <c r="H516" s="288">
        <v>0</v>
      </c>
      <c r="I516" s="285">
        <v>0</v>
      </c>
      <c r="J516" s="285">
        <v>31</v>
      </c>
      <c r="K516" s="284">
        <v>0</v>
      </c>
      <c r="L516" s="284">
        <v>0</v>
      </c>
      <c r="M516" s="284">
        <v>0</v>
      </c>
      <c r="N516" s="284">
        <v>36</v>
      </c>
      <c r="O516" s="284">
        <v>6</v>
      </c>
      <c r="P516" s="284">
        <v>121</v>
      </c>
      <c r="Q516" s="286">
        <v>14</v>
      </c>
      <c r="R516" s="274">
        <v>240</v>
      </c>
      <c r="S516" s="274">
        <v>20</v>
      </c>
      <c r="T516" s="287">
        <f t="shared" ref="T516:T579" si="8">IF(D516&gt;U516,D516,U516)</f>
        <v>2016</v>
      </c>
      <c r="U516" s="274">
        <f>VLOOKUP(A516,'[1]SB35 Determination Data'!$B$4:$F$542,5,FALSE)</f>
        <v>2015</v>
      </c>
    </row>
    <row r="517" spans="1:21" s="274" customFormat="1" ht="12.75" x14ac:dyDescent="0.2">
      <c r="A517" s="282" t="s">
        <v>415</v>
      </c>
      <c r="B517" s="282" t="s">
        <v>595</v>
      </c>
      <c r="C517" s="282" t="s">
        <v>654</v>
      </c>
      <c r="D517" s="283">
        <v>2017</v>
      </c>
      <c r="E517" s="282" t="s">
        <v>650</v>
      </c>
      <c r="F517" s="284">
        <v>52</v>
      </c>
      <c r="G517" s="285">
        <v>0</v>
      </c>
      <c r="H517" s="288">
        <v>0</v>
      </c>
      <c r="I517" s="285">
        <v>0</v>
      </c>
      <c r="J517" s="285">
        <v>31</v>
      </c>
      <c r="K517" s="284">
        <v>0</v>
      </c>
      <c r="L517" s="284">
        <v>0</v>
      </c>
      <c r="M517" s="284">
        <v>0</v>
      </c>
      <c r="N517" s="289">
        <v>36</v>
      </c>
      <c r="O517" s="284">
        <v>3</v>
      </c>
      <c r="P517" s="284">
        <v>121</v>
      </c>
      <c r="Q517" s="286">
        <v>12</v>
      </c>
      <c r="R517" s="274">
        <v>240</v>
      </c>
      <c r="S517" s="274">
        <v>15</v>
      </c>
      <c r="T517" s="287">
        <f t="shared" si="8"/>
        <v>2017</v>
      </c>
      <c r="U517" s="274">
        <f>VLOOKUP(A517,'[1]SB35 Determination Data'!$B$4:$F$542,5,FALSE)</f>
        <v>2015</v>
      </c>
    </row>
    <row r="518" spans="1:21" s="274" customFormat="1" ht="12.75" x14ac:dyDescent="0.2">
      <c r="A518" s="282" t="s">
        <v>419</v>
      </c>
      <c r="B518" s="282" t="s">
        <v>262</v>
      </c>
      <c r="C518" s="282" t="s">
        <v>649</v>
      </c>
      <c r="D518" s="283">
        <v>2014</v>
      </c>
      <c r="E518" s="282" t="s">
        <v>650</v>
      </c>
      <c r="F518" s="284">
        <v>170</v>
      </c>
      <c r="G518" s="285">
        <v>0</v>
      </c>
      <c r="H518" s="288">
        <v>0</v>
      </c>
      <c r="I518" s="285">
        <v>0</v>
      </c>
      <c r="J518" s="285">
        <v>101</v>
      </c>
      <c r="K518" s="284">
        <v>0</v>
      </c>
      <c r="L518" s="284">
        <v>0</v>
      </c>
      <c r="M518" s="284">
        <v>0</v>
      </c>
      <c r="N518" s="284">
        <v>112</v>
      </c>
      <c r="O518" s="284">
        <v>34</v>
      </c>
      <c r="P518" s="284">
        <v>300</v>
      </c>
      <c r="Q518" s="286">
        <v>320</v>
      </c>
      <c r="R518" s="274">
        <v>683</v>
      </c>
      <c r="S518" s="274">
        <v>354</v>
      </c>
      <c r="T518" s="287">
        <f t="shared" si="8"/>
        <v>2014</v>
      </c>
      <c r="U518" s="274">
        <f>VLOOKUP(A518,'[1]SB35 Determination Data'!$B$4:$F$542,5,FALSE)</f>
        <v>2014</v>
      </c>
    </row>
    <row r="519" spans="1:21" s="274" customFormat="1" ht="12.75" x14ac:dyDescent="0.2">
      <c r="A519" s="282" t="s">
        <v>419</v>
      </c>
      <c r="B519" s="282" t="s">
        <v>262</v>
      </c>
      <c r="C519" s="282" t="s">
        <v>649</v>
      </c>
      <c r="D519" s="283">
        <v>2015</v>
      </c>
      <c r="E519" s="282" t="s">
        <v>650</v>
      </c>
      <c r="F519" s="284">
        <v>170</v>
      </c>
      <c r="G519" s="285">
        <v>0</v>
      </c>
      <c r="H519" s="288">
        <v>0</v>
      </c>
      <c r="I519" s="285">
        <v>0</v>
      </c>
      <c r="J519" s="285">
        <v>101</v>
      </c>
      <c r="K519" s="284">
        <v>127</v>
      </c>
      <c r="L519" s="284">
        <v>127</v>
      </c>
      <c r="M519" s="284">
        <v>0</v>
      </c>
      <c r="N519" s="284">
        <v>112</v>
      </c>
      <c r="O519" s="284">
        <v>0</v>
      </c>
      <c r="P519" s="284">
        <v>300</v>
      </c>
      <c r="Q519" s="286">
        <v>0</v>
      </c>
      <c r="R519" s="274">
        <v>683</v>
      </c>
      <c r="S519" s="274">
        <v>127</v>
      </c>
      <c r="T519" s="287">
        <f t="shared" si="8"/>
        <v>2015</v>
      </c>
      <c r="U519" s="274">
        <f>VLOOKUP(A519,'[1]SB35 Determination Data'!$B$4:$F$542,5,FALSE)</f>
        <v>2014</v>
      </c>
    </row>
    <row r="520" spans="1:21" s="274" customFormat="1" ht="12.75" x14ac:dyDescent="0.2">
      <c r="A520" s="282" t="s">
        <v>419</v>
      </c>
      <c r="B520" s="282" t="s">
        <v>262</v>
      </c>
      <c r="C520" s="282" t="s">
        <v>649</v>
      </c>
      <c r="D520" s="283">
        <v>2016</v>
      </c>
      <c r="E520" s="282" t="s">
        <v>650</v>
      </c>
      <c r="F520" s="284">
        <v>170</v>
      </c>
      <c r="G520" s="285">
        <v>0</v>
      </c>
      <c r="H520" s="288">
        <v>0</v>
      </c>
      <c r="I520" s="285">
        <v>0</v>
      </c>
      <c r="J520" s="285">
        <v>101</v>
      </c>
      <c r="K520" s="284">
        <v>0</v>
      </c>
      <c r="L520" s="284">
        <v>0</v>
      </c>
      <c r="M520" s="284">
        <v>0</v>
      </c>
      <c r="N520" s="284">
        <v>112</v>
      </c>
      <c r="O520" s="284">
        <v>0</v>
      </c>
      <c r="P520" s="284">
        <v>300</v>
      </c>
      <c r="Q520" s="286">
        <v>4</v>
      </c>
      <c r="R520" s="274">
        <v>683</v>
      </c>
      <c r="S520" s="274">
        <v>4</v>
      </c>
      <c r="T520" s="287">
        <f t="shared" si="8"/>
        <v>2016</v>
      </c>
      <c r="U520" s="274">
        <f>VLOOKUP(A520,'[1]SB35 Determination Data'!$B$4:$F$542,5,FALSE)</f>
        <v>2014</v>
      </c>
    </row>
    <row r="521" spans="1:21" s="274" customFormat="1" ht="12.75" x14ac:dyDescent="0.2">
      <c r="A521" s="282" t="s">
        <v>419</v>
      </c>
      <c r="B521" s="282" t="s">
        <v>262</v>
      </c>
      <c r="C521" s="282" t="s">
        <v>649</v>
      </c>
      <c r="D521" s="283">
        <v>2017</v>
      </c>
      <c r="E521" s="282" t="s">
        <v>650</v>
      </c>
      <c r="F521" s="284">
        <v>170</v>
      </c>
      <c r="G521" s="285">
        <v>0</v>
      </c>
      <c r="H521" s="288">
        <v>0</v>
      </c>
      <c r="I521" s="285">
        <v>0</v>
      </c>
      <c r="J521" s="285">
        <v>101</v>
      </c>
      <c r="K521" s="284">
        <v>0</v>
      </c>
      <c r="L521" s="284">
        <v>0</v>
      </c>
      <c r="M521" s="284">
        <v>0</v>
      </c>
      <c r="N521" s="284">
        <v>112</v>
      </c>
      <c r="O521" s="284">
        <v>5</v>
      </c>
      <c r="P521" s="284">
        <v>300</v>
      </c>
      <c r="Q521" s="286">
        <v>37</v>
      </c>
      <c r="R521" s="274">
        <v>683</v>
      </c>
      <c r="S521" s="274">
        <v>42</v>
      </c>
      <c r="T521" s="287">
        <f t="shared" si="8"/>
        <v>2017</v>
      </c>
      <c r="U521" s="274">
        <f>VLOOKUP(A521,'[1]SB35 Determination Data'!$B$4:$F$542,5,FALSE)</f>
        <v>2014</v>
      </c>
    </row>
    <row r="522" spans="1:21" s="274" customFormat="1" ht="12.75" x14ac:dyDescent="0.2">
      <c r="A522" s="282" t="s">
        <v>180</v>
      </c>
      <c r="B522" s="282" t="s">
        <v>40</v>
      </c>
      <c r="C522" s="282" t="s">
        <v>654</v>
      </c>
      <c r="D522" s="283">
        <v>2015</v>
      </c>
      <c r="E522" s="282" t="s">
        <v>650</v>
      </c>
      <c r="F522" s="284">
        <v>851</v>
      </c>
      <c r="G522" s="285">
        <v>0</v>
      </c>
      <c r="H522" s="288">
        <v>0</v>
      </c>
      <c r="I522" s="285">
        <v>0</v>
      </c>
      <c r="J522" s="285">
        <v>480</v>
      </c>
      <c r="K522" s="284">
        <v>0</v>
      </c>
      <c r="L522" s="284">
        <v>0</v>
      </c>
      <c r="M522" s="284">
        <v>0</v>
      </c>
      <c r="N522" s="289">
        <v>608</v>
      </c>
      <c r="O522" s="284">
        <v>0</v>
      </c>
      <c r="P522" s="284">
        <v>1981</v>
      </c>
      <c r="Q522" s="286">
        <v>108</v>
      </c>
      <c r="R522" s="274">
        <v>3920</v>
      </c>
      <c r="S522" s="274">
        <v>108</v>
      </c>
      <c r="T522" s="287">
        <f t="shared" si="8"/>
        <v>2015</v>
      </c>
      <c r="U522" s="274">
        <f>VLOOKUP(A522,'[1]SB35 Determination Data'!$B$4:$F$542,5,FALSE)</f>
        <v>2015</v>
      </c>
    </row>
    <row r="523" spans="1:21" s="274" customFormat="1" ht="12.75" x14ac:dyDescent="0.2">
      <c r="A523" s="282" t="s">
        <v>180</v>
      </c>
      <c r="B523" s="282" t="s">
        <v>40</v>
      </c>
      <c r="C523" s="282" t="s">
        <v>654</v>
      </c>
      <c r="D523" s="283">
        <v>2016</v>
      </c>
      <c r="E523" s="282" t="s">
        <v>650</v>
      </c>
      <c r="F523" s="284">
        <v>851</v>
      </c>
      <c r="G523" s="285">
        <v>0</v>
      </c>
      <c r="H523" s="288">
        <v>0</v>
      </c>
      <c r="I523" s="285">
        <v>0</v>
      </c>
      <c r="J523" s="285">
        <v>480</v>
      </c>
      <c r="K523" s="284">
        <v>0</v>
      </c>
      <c r="L523" s="284">
        <v>0</v>
      </c>
      <c r="M523" s="284">
        <v>0</v>
      </c>
      <c r="N523" s="284">
        <v>608</v>
      </c>
      <c r="O523" s="284">
        <v>0</v>
      </c>
      <c r="P523" s="284">
        <v>1981</v>
      </c>
      <c r="Q523" s="286">
        <v>225</v>
      </c>
      <c r="R523" s="274">
        <v>3920</v>
      </c>
      <c r="S523" s="274">
        <v>225</v>
      </c>
      <c r="T523" s="287">
        <f t="shared" si="8"/>
        <v>2016</v>
      </c>
      <c r="U523" s="274">
        <f>VLOOKUP(A523,'[1]SB35 Determination Data'!$B$4:$F$542,5,FALSE)</f>
        <v>2015</v>
      </c>
    </row>
    <row r="524" spans="1:21" s="274" customFormat="1" ht="12.75" x14ac:dyDescent="0.2">
      <c r="A524" s="282" t="s">
        <v>180</v>
      </c>
      <c r="B524" s="282" t="s">
        <v>40</v>
      </c>
      <c r="C524" s="282" t="s">
        <v>654</v>
      </c>
      <c r="D524" s="283">
        <v>2017</v>
      </c>
      <c r="E524" s="282" t="s">
        <v>650</v>
      </c>
      <c r="F524" s="284">
        <v>851</v>
      </c>
      <c r="G524" s="285">
        <v>40</v>
      </c>
      <c r="H524" s="288">
        <v>40</v>
      </c>
      <c r="I524" s="285">
        <v>0</v>
      </c>
      <c r="J524" s="285">
        <v>480</v>
      </c>
      <c r="K524" s="284">
        <v>19</v>
      </c>
      <c r="L524" s="284">
        <v>19</v>
      </c>
      <c r="M524" s="284">
        <v>0</v>
      </c>
      <c r="N524" s="284">
        <v>608</v>
      </c>
      <c r="O524" s="284">
        <v>0</v>
      </c>
      <c r="P524" s="284">
        <v>1981</v>
      </c>
      <c r="Q524" s="286">
        <v>395</v>
      </c>
      <c r="R524" s="274">
        <v>3920</v>
      </c>
      <c r="S524" s="274">
        <v>454</v>
      </c>
      <c r="T524" s="287">
        <f t="shared" si="8"/>
        <v>2017</v>
      </c>
      <c r="U524" s="274">
        <f>VLOOKUP(A524,'[1]SB35 Determination Data'!$B$4:$F$542,5,FALSE)</f>
        <v>2015</v>
      </c>
    </row>
    <row r="525" spans="1:21" s="274" customFormat="1" ht="12.75" x14ac:dyDescent="0.2">
      <c r="A525" s="282" t="s">
        <v>420</v>
      </c>
      <c r="B525" s="282" t="s">
        <v>669</v>
      </c>
      <c r="C525" s="282" t="s">
        <v>654</v>
      </c>
      <c r="D525" s="283">
        <v>2014</v>
      </c>
      <c r="E525" s="282" t="s">
        <v>650</v>
      </c>
      <c r="F525" s="284">
        <v>31</v>
      </c>
      <c r="G525" s="285">
        <v>0</v>
      </c>
      <c r="H525" s="288">
        <v>0</v>
      </c>
      <c r="I525" s="285">
        <v>0</v>
      </c>
      <c r="J525" s="285">
        <v>24</v>
      </c>
      <c r="K525" s="284">
        <v>0</v>
      </c>
      <c r="L525" s="284">
        <v>0</v>
      </c>
      <c r="M525" s="284">
        <v>0</v>
      </c>
      <c r="N525" s="289">
        <v>26</v>
      </c>
      <c r="O525" s="284">
        <v>0</v>
      </c>
      <c r="P525" s="284">
        <v>76</v>
      </c>
      <c r="Q525" s="286">
        <v>27</v>
      </c>
      <c r="R525" s="274">
        <v>157</v>
      </c>
      <c r="S525" s="274">
        <v>27</v>
      </c>
      <c r="T525" s="287">
        <f t="shared" si="8"/>
        <v>2015</v>
      </c>
      <c r="U525" s="274">
        <f>VLOOKUP(A525,'[1]SB35 Determination Data'!$B$4:$F$542,5,FALSE)</f>
        <v>2015</v>
      </c>
    </row>
    <row r="526" spans="1:21" s="274" customFormat="1" ht="12.75" x14ac:dyDescent="0.2">
      <c r="A526" s="282" t="s">
        <v>420</v>
      </c>
      <c r="B526" s="282" t="s">
        <v>669</v>
      </c>
      <c r="C526" s="282" t="s">
        <v>654</v>
      </c>
      <c r="D526" s="283">
        <v>2015</v>
      </c>
      <c r="E526" s="282" t="s">
        <v>650</v>
      </c>
      <c r="F526" s="284">
        <v>31</v>
      </c>
      <c r="G526" s="285">
        <v>1</v>
      </c>
      <c r="H526" s="288">
        <v>1</v>
      </c>
      <c r="I526" s="285">
        <v>0</v>
      </c>
      <c r="J526" s="285">
        <v>24</v>
      </c>
      <c r="K526" s="284">
        <v>2</v>
      </c>
      <c r="L526" s="284">
        <v>2</v>
      </c>
      <c r="M526" s="284">
        <v>0</v>
      </c>
      <c r="N526" s="284">
        <v>26</v>
      </c>
      <c r="O526" s="284">
        <v>12</v>
      </c>
      <c r="P526" s="284">
        <v>76</v>
      </c>
      <c r="Q526" s="286">
        <v>44</v>
      </c>
      <c r="R526" s="274">
        <v>157</v>
      </c>
      <c r="S526" s="274">
        <v>59</v>
      </c>
      <c r="T526" s="287">
        <f t="shared" si="8"/>
        <v>2015</v>
      </c>
      <c r="U526" s="274">
        <f>VLOOKUP(A526,'[1]SB35 Determination Data'!$B$4:$F$542,5,FALSE)</f>
        <v>2015</v>
      </c>
    </row>
    <row r="527" spans="1:21" s="274" customFormat="1" ht="12.75" x14ac:dyDescent="0.2">
      <c r="A527" s="282" t="s">
        <v>420</v>
      </c>
      <c r="B527" s="282" t="s">
        <v>669</v>
      </c>
      <c r="C527" s="282" t="s">
        <v>654</v>
      </c>
      <c r="D527" s="283">
        <v>2016</v>
      </c>
      <c r="E527" s="282" t="s">
        <v>650</v>
      </c>
      <c r="F527" s="284">
        <v>31</v>
      </c>
      <c r="G527" s="285">
        <v>2</v>
      </c>
      <c r="H527" s="288">
        <v>2</v>
      </c>
      <c r="I527" s="285">
        <v>0</v>
      </c>
      <c r="J527" s="285">
        <v>24</v>
      </c>
      <c r="K527" s="284">
        <v>3</v>
      </c>
      <c r="L527" s="284">
        <v>3</v>
      </c>
      <c r="M527" s="284">
        <v>0</v>
      </c>
      <c r="N527" s="289">
        <v>26</v>
      </c>
      <c r="O527" s="284">
        <v>4</v>
      </c>
      <c r="P527" s="284">
        <v>76</v>
      </c>
      <c r="Q527" s="286">
        <v>23</v>
      </c>
      <c r="R527" s="274">
        <v>157</v>
      </c>
      <c r="S527" s="274">
        <v>32</v>
      </c>
      <c r="T527" s="287">
        <f t="shared" si="8"/>
        <v>2016</v>
      </c>
      <c r="U527" s="274">
        <f>VLOOKUP(A527,'[1]SB35 Determination Data'!$B$4:$F$542,5,FALSE)</f>
        <v>2015</v>
      </c>
    </row>
    <row r="528" spans="1:21" s="274" customFormat="1" ht="12.75" x14ac:dyDescent="0.2">
      <c r="A528" s="282" t="s">
        <v>420</v>
      </c>
      <c r="B528" s="282" t="s">
        <v>669</v>
      </c>
      <c r="C528" s="282" t="s">
        <v>654</v>
      </c>
      <c r="D528" s="283">
        <v>2017</v>
      </c>
      <c r="E528" s="282" t="s">
        <v>650</v>
      </c>
      <c r="F528" s="284">
        <v>31</v>
      </c>
      <c r="G528" s="285">
        <v>12</v>
      </c>
      <c r="H528" s="288">
        <v>12</v>
      </c>
      <c r="I528" s="285">
        <v>0</v>
      </c>
      <c r="J528" s="285">
        <v>24</v>
      </c>
      <c r="K528" s="284">
        <v>20</v>
      </c>
      <c r="L528" s="284">
        <v>20</v>
      </c>
      <c r="M528" s="284">
        <v>0</v>
      </c>
      <c r="N528" s="284">
        <v>26</v>
      </c>
      <c r="O528" s="284">
        <v>29</v>
      </c>
      <c r="P528" s="284">
        <v>76</v>
      </c>
      <c r="Q528" s="286">
        <v>16</v>
      </c>
      <c r="R528" s="274">
        <v>157</v>
      </c>
      <c r="S528" s="274">
        <v>77</v>
      </c>
      <c r="T528" s="287">
        <f t="shared" si="8"/>
        <v>2017</v>
      </c>
      <c r="U528" s="274">
        <f>VLOOKUP(A528,'[1]SB35 Determination Data'!$B$4:$F$542,5,FALSE)</f>
        <v>2015</v>
      </c>
    </row>
    <row r="529" spans="1:21" s="274" customFormat="1" ht="12.75" x14ac:dyDescent="0.2">
      <c r="A529" s="282" t="s">
        <v>422</v>
      </c>
      <c r="B529" s="282" t="s">
        <v>481</v>
      </c>
      <c r="C529" s="282" t="s">
        <v>649</v>
      </c>
      <c r="D529" s="283">
        <v>2014</v>
      </c>
      <c r="E529" s="282" t="s">
        <v>650</v>
      </c>
      <c r="F529" s="284">
        <v>134</v>
      </c>
      <c r="G529" s="285">
        <v>0</v>
      </c>
      <c r="H529" s="288">
        <v>0</v>
      </c>
      <c r="I529" s="285">
        <v>0</v>
      </c>
      <c r="J529" s="285">
        <v>96</v>
      </c>
      <c r="K529" s="284">
        <v>3</v>
      </c>
      <c r="L529" s="284">
        <v>0</v>
      </c>
      <c r="M529" s="284">
        <v>3</v>
      </c>
      <c r="N529" s="284">
        <v>112</v>
      </c>
      <c r="O529" s="284">
        <v>114</v>
      </c>
      <c r="P529" s="284">
        <v>262</v>
      </c>
      <c r="Q529" s="286">
        <v>32</v>
      </c>
      <c r="R529" s="274">
        <v>604</v>
      </c>
      <c r="S529" s="274">
        <v>149</v>
      </c>
      <c r="T529" s="287">
        <f t="shared" si="8"/>
        <v>2014</v>
      </c>
      <c r="U529" s="274">
        <f>VLOOKUP(A529,'[1]SB35 Determination Data'!$B$4:$F$542,5,FALSE)</f>
        <v>2014</v>
      </c>
    </row>
    <row r="530" spans="1:21" s="274" customFormat="1" ht="12.75" x14ac:dyDescent="0.2">
      <c r="A530" s="282" t="s">
        <v>422</v>
      </c>
      <c r="B530" s="282" t="s">
        <v>481</v>
      </c>
      <c r="C530" s="282" t="s">
        <v>649</v>
      </c>
      <c r="D530" s="283">
        <v>2015</v>
      </c>
      <c r="E530" s="282" t="s">
        <v>650</v>
      </c>
      <c r="F530" s="284">
        <v>134</v>
      </c>
      <c r="G530" s="285">
        <v>0</v>
      </c>
      <c r="H530" s="288">
        <v>0</v>
      </c>
      <c r="I530" s="285">
        <v>0</v>
      </c>
      <c r="J530" s="285">
        <v>96</v>
      </c>
      <c r="K530" s="284">
        <v>14</v>
      </c>
      <c r="L530" s="284">
        <v>12</v>
      </c>
      <c r="M530" s="284">
        <v>2</v>
      </c>
      <c r="N530" s="284">
        <v>112</v>
      </c>
      <c r="O530" s="284">
        <v>76</v>
      </c>
      <c r="P530" s="284">
        <v>262</v>
      </c>
      <c r="Q530" s="286">
        <v>17</v>
      </c>
      <c r="R530" s="274">
        <v>604</v>
      </c>
      <c r="S530" s="274">
        <v>107</v>
      </c>
      <c r="T530" s="287">
        <f t="shared" si="8"/>
        <v>2015</v>
      </c>
      <c r="U530" s="274">
        <f>VLOOKUP(A530,'[1]SB35 Determination Data'!$B$4:$F$542,5,FALSE)</f>
        <v>2014</v>
      </c>
    </row>
    <row r="531" spans="1:21" s="274" customFormat="1" ht="12.75" x14ac:dyDescent="0.2">
      <c r="A531" s="282" t="s">
        <v>422</v>
      </c>
      <c r="B531" s="282" t="s">
        <v>481</v>
      </c>
      <c r="C531" s="282" t="s">
        <v>649</v>
      </c>
      <c r="D531" s="283">
        <v>2016</v>
      </c>
      <c r="E531" s="282" t="s">
        <v>650</v>
      </c>
      <c r="F531" s="284">
        <v>134</v>
      </c>
      <c r="G531" s="285">
        <v>0</v>
      </c>
      <c r="H531" s="288">
        <v>0</v>
      </c>
      <c r="I531" s="285">
        <v>0</v>
      </c>
      <c r="J531" s="285">
        <v>96</v>
      </c>
      <c r="K531" s="284">
        <v>29</v>
      </c>
      <c r="L531" s="284">
        <v>29</v>
      </c>
      <c r="M531" s="284">
        <v>0</v>
      </c>
      <c r="N531" s="284">
        <v>112</v>
      </c>
      <c r="O531" s="284">
        <v>25</v>
      </c>
      <c r="P531" s="284">
        <v>262</v>
      </c>
      <c r="Q531" s="286">
        <v>8</v>
      </c>
      <c r="R531" s="274">
        <v>604</v>
      </c>
      <c r="S531" s="274">
        <v>62</v>
      </c>
      <c r="T531" s="287">
        <f t="shared" si="8"/>
        <v>2016</v>
      </c>
      <c r="U531" s="274">
        <f>VLOOKUP(A531,'[1]SB35 Determination Data'!$B$4:$F$542,5,FALSE)</f>
        <v>2014</v>
      </c>
    </row>
    <row r="532" spans="1:21" s="274" customFormat="1" ht="12.75" x14ac:dyDescent="0.2">
      <c r="A532" s="282" t="s">
        <v>422</v>
      </c>
      <c r="B532" s="282" t="s">
        <v>481</v>
      </c>
      <c r="C532" s="282" t="s">
        <v>649</v>
      </c>
      <c r="D532" s="283">
        <v>2017</v>
      </c>
      <c r="E532" s="282" t="s">
        <v>650</v>
      </c>
      <c r="F532" s="284">
        <v>134</v>
      </c>
      <c r="G532" s="285">
        <v>0</v>
      </c>
      <c r="H532" s="288">
        <v>0</v>
      </c>
      <c r="I532" s="285">
        <v>0</v>
      </c>
      <c r="J532" s="285">
        <v>96</v>
      </c>
      <c r="K532" s="284">
        <v>0</v>
      </c>
      <c r="L532" s="284">
        <v>0</v>
      </c>
      <c r="M532" s="284">
        <v>0</v>
      </c>
      <c r="N532" s="284">
        <v>112</v>
      </c>
      <c r="O532" s="284">
        <v>2</v>
      </c>
      <c r="P532" s="284">
        <v>262</v>
      </c>
      <c r="Q532" s="286">
        <v>12</v>
      </c>
      <c r="R532" s="274">
        <v>604</v>
      </c>
      <c r="S532" s="274">
        <v>14</v>
      </c>
      <c r="T532" s="287">
        <f t="shared" si="8"/>
        <v>2017</v>
      </c>
      <c r="U532" s="274">
        <f>VLOOKUP(A532,'[1]SB35 Determination Data'!$B$4:$F$542,5,FALSE)</f>
        <v>2014</v>
      </c>
    </row>
    <row r="533" spans="1:21" s="274" customFormat="1" ht="12.75" x14ac:dyDescent="0.2">
      <c r="A533" s="282" t="s">
        <v>285</v>
      </c>
      <c r="B533" s="282" t="s">
        <v>120</v>
      </c>
      <c r="C533" s="282" t="s">
        <v>654</v>
      </c>
      <c r="D533" s="283">
        <v>2015</v>
      </c>
      <c r="E533" s="282" t="s">
        <v>650</v>
      </c>
      <c r="F533" s="284">
        <v>220</v>
      </c>
      <c r="G533" s="285">
        <v>0</v>
      </c>
      <c r="H533" s="288">
        <v>0</v>
      </c>
      <c r="I533" s="285">
        <v>0</v>
      </c>
      <c r="J533" s="285">
        <v>118</v>
      </c>
      <c r="K533" s="284">
        <v>0</v>
      </c>
      <c r="L533" s="284">
        <v>0</v>
      </c>
      <c r="M533" s="284">
        <v>0</v>
      </c>
      <c r="N533" s="284">
        <v>100</v>
      </c>
      <c r="O533" s="284">
        <v>0</v>
      </c>
      <c r="P533" s="284">
        <v>244</v>
      </c>
      <c r="Q533" s="286">
        <v>190</v>
      </c>
      <c r="R533" s="274">
        <v>682</v>
      </c>
      <c r="S533" s="274">
        <v>190</v>
      </c>
      <c r="T533" s="287">
        <f t="shared" si="8"/>
        <v>2015</v>
      </c>
      <c r="U533" s="274">
        <f>VLOOKUP(A533,'[1]SB35 Determination Data'!$B$4:$F$542,5,FALSE)</f>
        <v>2015</v>
      </c>
    </row>
    <row r="534" spans="1:21" s="274" customFormat="1" ht="12.75" x14ac:dyDescent="0.2">
      <c r="A534" s="282" t="s">
        <v>285</v>
      </c>
      <c r="B534" s="282" t="s">
        <v>120</v>
      </c>
      <c r="C534" s="282" t="s">
        <v>654</v>
      </c>
      <c r="D534" s="283">
        <v>2016</v>
      </c>
      <c r="E534" s="282" t="s">
        <v>650</v>
      </c>
      <c r="F534" s="284">
        <v>220</v>
      </c>
      <c r="G534" s="285">
        <v>0</v>
      </c>
      <c r="H534" s="288">
        <v>0</v>
      </c>
      <c r="I534" s="285">
        <v>0</v>
      </c>
      <c r="J534" s="285">
        <v>118</v>
      </c>
      <c r="K534" s="284">
        <v>1</v>
      </c>
      <c r="L534" s="284">
        <v>0</v>
      </c>
      <c r="M534" s="284">
        <v>1</v>
      </c>
      <c r="N534" s="284">
        <v>100</v>
      </c>
      <c r="O534" s="284">
        <v>0</v>
      </c>
      <c r="P534" s="284">
        <v>244</v>
      </c>
      <c r="Q534" s="286">
        <v>30</v>
      </c>
      <c r="R534" s="274">
        <v>682</v>
      </c>
      <c r="S534" s="274">
        <v>31</v>
      </c>
      <c r="T534" s="287">
        <f t="shared" si="8"/>
        <v>2016</v>
      </c>
      <c r="U534" s="274">
        <f>VLOOKUP(A534,'[1]SB35 Determination Data'!$B$4:$F$542,5,FALSE)</f>
        <v>2015</v>
      </c>
    </row>
    <row r="535" spans="1:21" s="274" customFormat="1" ht="12.75" x14ac:dyDescent="0.2">
      <c r="A535" s="282" t="s">
        <v>285</v>
      </c>
      <c r="B535" s="282" t="s">
        <v>120</v>
      </c>
      <c r="C535" s="282" t="s">
        <v>654</v>
      </c>
      <c r="D535" s="283">
        <v>2017</v>
      </c>
      <c r="E535" s="282" t="s">
        <v>650</v>
      </c>
      <c r="F535" s="284">
        <v>220</v>
      </c>
      <c r="G535" s="285">
        <v>0</v>
      </c>
      <c r="H535" s="288">
        <v>0</v>
      </c>
      <c r="I535" s="285">
        <v>0</v>
      </c>
      <c r="J535" s="285">
        <v>118</v>
      </c>
      <c r="K535" s="284">
        <v>0</v>
      </c>
      <c r="L535" s="284">
        <v>0</v>
      </c>
      <c r="M535" s="284">
        <v>0</v>
      </c>
      <c r="N535" s="284">
        <v>100</v>
      </c>
      <c r="O535" s="284">
        <v>0</v>
      </c>
      <c r="P535" s="284">
        <v>244</v>
      </c>
      <c r="Q535" s="286">
        <v>41</v>
      </c>
      <c r="R535" s="274">
        <v>682</v>
      </c>
      <c r="S535" s="274">
        <v>41</v>
      </c>
      <c r="T535" s="287">
        <f t="shared" si="8"/>
        <v>2017</v>
      </c>
      <c r="U535" s="274">
        <f>VLOOKUP(A535,'[1]SB35 Determination Data'!$B$4:$F$542,5,FALSE)</f>
        <v>2015</v>
      </c>
    </row>
    <row r="536" spans="1:21" s="274" customFormat="1" ht="12.75" x14ac:dyDescent="0.2">
      <c r="A536" s="282" t="s">
        <v>426</v>
      </c>
      <c r="B536" s="282" t="s">
        <v>542</v>
      </c>
      <c r="C536" s="282" t="s">
        <v>649</v>
      </c>
      <c r="D536" s="283">
        <v>2014</v>
      </c>
      <c r="E536" s="282" t="s">
        <v>650</v>
      </c>
      <c r="F536" s="284">
        <v>398</v>
      </c>
      <c r="G536" s="285">
        <v>0</v>
      </c>
      <c r="H536" s="288">
        <v>0</v>
      </c>
      <c r="I536" s="285">
        <v>0</v>
      </c>
      <c r="J536" s="285">
        <v>274</v>
      </c>
      <c r="K536" s="284">
        <v>0</v>
      </c>
      <c r="L536" s="284">
        <v>0</v>
      </c>
      <c r="M536" s="284">
        <v>0</v>
      </c>
      <c r="N536" s="284">
        <v>314</v>
      </c>
      <c r="O536" s="284">
        <v>82</v>
      </c>
      <c r="P536" s="284">
        <v>729</v>
      </c>
      <c r="Q536" s="286">
        <v>0</v>
      </c>
      <c r="R536" s="274">
        <v>1715</v>
      </c>
      <c r="S536" s="274">
        <v>82</v>
      </c>
      <c r="T536" s="287">
        <f t="shared" si="8"/>
        <v>2014</v>
      </c>
      <c r="U536" s="274">
        <f>VLOOKUP(A536,'[1]SB35 Determination Data'!$B$4:$F$542,5,FALSE)</f>
        <v>2014</v>
      </c>
    </row>
    <row r="537" spans="1:21" s="274" customFormat="1" ht="12.75" x14ac:dyDescent="0.2">
      <c r="A537" s="282" t="s">
        <v>426</v>
      </c>
      <c r="B537" s="282" t="s">
        <v>542</v>
      </c>
      <c r="C537" s="282" t="s">
        <v>649</v>
      </c>
      <c r="D537" s="283">
        <v>2015</v>
      </c>
      <c r="E537" s="282" t="s">
        <v>650</v>
      </c>
      <c r="F537" s="284">
        <v>398</v>
      </c>
      <c r="G537" s="285">
        <v>0</v>
      </c>
      <c r="H537" s="288">
        <v>0</v>
      </c>
      <c r="I537" s="285">
        <v>0</v>
      </c>
      <c r="J537" s="285">
        <v>274</v>
      </c>
      <c r="K537" s="284">
        <v>0</v>
      </c>
      <c r="L537" s="284">
        <v>0</v>
      </c>
      <c r="M537" s="284">
        <v>0</v>
      </c>
      <c r="N537" s="289">
        <v>314</v>
      </c>
      <c r="O537" s="284">
        <v>0</v>
      </c>
      <c r="P537" s="284">
        <v>729</v>
      </c>
      <c r="Q537" s="286">
        <v>98</v>
      </c>
      <c r="R537" s="274">
        <v>1715</v>
      </c>
      <c r="S537" s="274">
        <v>98</v>
      </c>
      <c r="T537" s="287">
        <f t="shared" si="8"/>
        <v>2015</v>
      </c>
      <c r="U537" s="274">
        <f>VLOOKUP(A537,'[1]SB35 Determination Data'!$B$4:$F$542,5,FALSE)</f>
        <v>2014</v>
      </c>
    </row>
    <row r="538" spans="1:21" s="274" customFormat="1" ht="12.75" x14ac:dyDescent="0.2">
      <c r="A538" s="282" t="s">
        <v>426</v>
      </c>
      <c r="B538" s="282" t="s">
        <v>542</v>
      </c>
      <c r="C538" s="282" t="s">
        <v>649</v>
      </c>
      <c r="D538" s="283">
        <v>2016</v>
      </c>
      <c r="E538" s="282" t="s">
        <v>650</v>
      </c>
      <c r="F538" s="284">
        <v>398</v>
      </c>
      <c r="G538" s="285">
        <v>0</v>
      </c>
      <c r="H538" s="288">
        <v>0</v>
      </c>
      <c r="I538" s="285">
        <v>0</v>
      </c>
      <c r="J538" s="285">
        <v>274</v>
      </c>
      <c r="K538" s="284">
        <v>20</v>
      </c>
      <c r="L538" s="284">
        <v>20</v>
      </c>
      <c r="M538" s="284">
        <v>0</v>
      </c>
      <c r="N538" s="284">
        <v>314</v>
      </c>
      <c r="O538" s="284">
        <v>75</v>
      </c>
      <c r="P538" s="284">
        <v>729</v>
      </c>
      <c r="Q538" s="286">
        <v>172</v>
      </c>
      <c r="R538" s="274">
        <v>1715</v>
      </c>
      <c r="S538" s="274">
        <v>267</v>
      </c>
      <c r="T538" s="287">
        <f t="shared" si="8"/>
        <v>2016</v>
      </c>
      <c r="U538" s="274">
        <f>VLOOKUP(A538,'[1]SB35 Determination Data'!$B$4:$F$542,5,FALSE)</f>
        <v>2014</v>
      </c>
    </row>
    <row r="539" spans="1:21" s="274" customFormat="1" ht="12.75" x14ac:dyDescent="0.2">
      <c r="A539" s="282" t="s">
        <v>426</v>
      </c>
      <c r="B539" s="282" t="s">
        <v>542</v>
      </c>
      <c r="C539" s="282" t="s">
        <v>649</v>
      </c>
      <c r="D539" s="283">
        <v>2017</v>
      </c>
      <c r="E539" s="282" t="s">
        <v>650</v>
      </c>
      <c r="F539" s="284">
        <v>398</v>
      </c>
      <c r="G539" s="285">
        <v>0</v>
      </c>
      <c r="H539" s="288">
        <v>0</v>
      </c>
      <c r="I539" s="285">
        <v>0</v>
      </c>
      <c r="J539" s="285">
        <v>274</v>
      </c>
      <c r="K539" s="284">
        <v>0</v>
      </c>
      <c r="L539" s="284">
        <v>0</v>
      </c>
      <c r="M539" s="284">
        <v>0</v>
      </c>
      <c r="N539" s="284">
        <v>314</v>
      </c>
      <c r="O539" s="284">
        <v>0</v>
      </c>
      <c r="P539" s="284">
        <v>729</v>
      </c>
      <c r="Q539" s="286">
        <v>230</v>
      </c>
      <c r="R539" s="274">
        <v>1715</v>
      </c>
      <c r="S539" s="274">
        <v>230</v>
      </c>
      <c r="T539" s="287">
        <f t="shared" si="8"/>
        <v>2017</v>
      </c>
      <c r="U539" s="274">
        <f>VLOOKUP(A539,'[1]SB35 Determination Data'!$B$4:$F$542,5,FALSE)</f>
        <v>2014</v>
      </c>
    </row>
    <row r="540" spans="1:21" s="274" customFormat="1" ht="12.75" x14ac:dyDescent="0.2">
      <c r="A540" s="282" t="s">
        <v>428</v>
      </c>
      <c r="B540" s="282" t="s">
        <v>542</v>
      </c>
      <c r="C540" s="282" t="s">
        <v>649</v>
      </c>
      <c r="D540" s="283">
        <v>2014</v>
      </c>
      <c r="E540" s="282" t="s">
        <v>650</v>
      </c>
      <c r="F540" s="284">
        <v>349</v>
      </c>
      <c r="G540" s="285">
        <v>0</v>
      </c>
      <c r="H540" s="288">
        <v>0</v>
      </c>
      <c r="I540" s="285">
        <v>0</v>
      </c>
      <c r="J540" s="285">
        <v>246</v>
      </c>
      <c r="K540" s="284">
        <v>0</v>
      </c>
      <c r="L540" s="284">
        <v>0</v>
      </c>
      <c r="M540" s="284">
        <v>0</v>
      </c>
      <c r="N540" s="289">
        <v>280</v>
      </c>
      <c r="O540" s="284">
        <v>1</v>
      </c>
      <c r="P540" s="284">
        <v>625</v>
      </c>
      <c r="Q540" s="286">
        <v>3</v>
      </c>
      <c r="R540" s="274">
        <v>1500</v>
      </c>
      <c r="S540" s="274">
        <v>4</v>
      </c>
      <c r="T540" s="287">
        <f t="shared" si="8"/>
        <v>2014</v>
      </c>
      <c r="U540" s="274">
        <f>VLOOKUP(A540,'[1]SB35 Determination Data'!$B$4:$F$542,5,FALSE)</f>
        <v>2014</v>
      </c>
    </row>
    <row r="541" spans="1:21" s="274" customFormat="1" ht="12.75" x14ac:dyDescent="0.2">
      <c r="A541" s="282" t="s">
        <v>428</v>
      </c>
      <c r="B541" s="282" t="s">
        <v>542</v>
      </c>
      <c r="C541" s="282" t="s">
        <v>649</v>
      </c>
      <c r="D541" s="283">
        <v>2015</v>
      </c>
      <c r="E541" s="282" t="s">
        <v>650</v>
      </c>
      <c r="F541" s="284">
        <v>349</v>
      </c>
      <c r="G541" s="285">
        <v>0</v>
      </c>
      <c r="H541" s="288">
        <v>0</v>
      </c>
      <c r="I541" s="285">
        <v>0</v>
      </c>
      <c r="J541" s="285">
        <v>246</v>
      </c>
      <c r="K541" s="284">
        <v>0</v>
      </c>
      <c r="L541" s="284">
        <v>0</v>
      </c>
      <c r="M541" s="284">
        <v>0</v>
      </c>
      <c r="N541" s="284">
        <v>280</v>
      </c>
      <c r="O541" s="284">
        <v>0</v>
      </c>
      <c r="P541" s="284">
        <v>625</v>
      </c>
      <c r="Q541" s="286">
        <v>6</v>
      </c>
      <c r="R541" s="274">
        <v>1500</v>
      </c>
      <c r="S541" s="274">
        <v>6</v>
      </c>
      <c r="T541" s="287">
        <f t="shared" si="8"/>
        <v>2015</v>
      </c>
      <c r="U541" s="274">
        <f>VLOOKUP(A541,'[1]SB35 Determination Data'!$B$4:$F$542,5,FALSE)</f>
        <v>2014</v>
      </c>
    </row>
    <row r="542" spans="1:21" s="274" customFormat="1" ht="12.75" x14ac:dyDescent="0.2">
      <c r="A542" s="282" t="s">
        <v>428</v>
      </c>
      <c r="B542" s="282" t="s">
        <v>542</v>
      </c>
      <c r="C542" s="282" t="s">
        <v>649</v>
      </c>
      <c r="D542" s="283">
        <v>2016</v>
      </c>
      <c r="E542" s="282" t="s">
        <v>650</v>
      </c>
      <c r="F542" s="284">
        <v>349</v>
      </c>
      <c r="G542" s="285">
        <v>0</v>
      </c>
      <c r="H542" s="288">
        <v>0</v>
      </c>
      <c r="I542" s="285">
        <v>0</v>
      </c>
      <c r="J542" s="285">
        <v>246</v>
      </c>
      <c r="K542" s="284">
        <v>0</v>
      </c>
      <c r="L542" s="284">
        <v>0</v>
      </c>
      <c r="M542" s="284">
        <v>0</v>
      </c>
      <c r="N542" s="284">
        <v>280</v>
      </c>
      <c r="O542" s="284">
        <v>6</v>
      </c>
      <c r="P542" s="284">
        <v>625</v>
      </c>
      <c r="Q542" s="286">
        <v>18</v>
      </c>
      <c r="R542" s="274">
        <v>1500</v>
      </c>
      <c r="S542" s="274">
        <v>24</v>
      </c>
      <c r="T542" s="287">
        <f t="shared" si="8"/>
        <v>2016</v>
      </c>
      <c r="U542" s="274">
        <f>VLOOKUP(A542,'[1]SB35 Determination Data'!$B$4:$F$542,5,FALSE)</f>
        <v>2014</v>
      </c>
    </row>
    <row r="543" spans="1:21" s="274" customFormat="1" ht="12.75" x14ac:dyDescent="0.2">
      <c r="A543" s="282" t="s">
        <v>428</v>
      </c>
      <c r="B543" s="282" t="s">
        <v>542</v>
      </c>
      <c r="C543" s="282" t="s">
        <v>649</v>
      </c>
      <c r="D543" s="283">
        <v>2017</v>
      </c>
      <c r="E543" s="282" t="s">
        <v>650</v>
      </c>
      <c r="F543" s="284">
        <v>349</v>
      </c>
      <c r="G543" s="285">
        <v>0</v>
      </c>
      <c r="H543" s="288">
        <v>0</v>
      </c>
      <c r="I543" s="285">
        <v>0</v>
      </c>
      <c r="J543" s="285">
        <v>246</v>
      </c>
      <c r="K543" s="284">
        <v>0</v>
      </c>
      <c r="L543" s="284">
        <v>0</v>
      </c>
      <c r="M543" s="284">
        <v>0</v>
      </c>
      <c r="N543" s="284">
        <v>280</v>
      </c>
      <c r="O543" s="284">
        <v>9</v>
      </c>
      <c r="P543" s="284">
        <v>625</v>
      </c>
      <c r="Q543" s="286">
        <v>70</v>
      </c>
      <c r="R543" s="274">
        <v>1500</v>
      </c>
      <c r="S543" s="274">
        <v>79</v>
      </c>
      <c r="T543" s="287">
        <f t="shared" si="8"/>
        <v>2017</v>
      </c>
      <c r="U543" s="274">
        <f>VLOOKUP(A543,'[1]SB35 Determination Data'!$B$4:$F$542,5,FALSE)</f>
        <v>2014</v>
      </c>
    </row>
    <row r="544" spans="1:21" s="274" customFormat="1" ht="12.75" x14ac:dyDescent="0.2">
      <c r="A544" s="282" t="s">
        <v>429</v>
      </c>
      <c r="B544" s="282" t="s">
        <v>595</v>
      </c>
      <c r="C544" s="282" t="s">
        <v>654</v>
      </c>
      <c r="D544" s="283">
        <v>2015</v>
      </c>
      <c r="E544" s="282" t="s">
        <v>650</v>
      </c>
      <c r="F544" s="284">
        <v>32</v>
      </c>
      <c r="G544" s="285">
        <v>16</v>
      </c>
      <c r="H544" s="288">
        <v>0</v>
      </c>
      <c r="I544" s="285">
        <v>16</v>
      </c>
      <c r="J544" s="285">
        <v>17</v>
      </c>
      <c r="K544" s="284">
        <v>8</v>
      </c>
      <c r="L544" s="284">
        <v>0</v>
      </c>
      <c r="M544" s="284">
        <v>8</v>
      </c>
      <c r="N544" s="289">
        <v>21</v>
      </c>
      <c r="O544" s="284">
        <v>10</v>
      </c>
      <c r="P544" s="284">
        <v>21</v>
      </c>
      <c r="Q544" s="286">
        <v>5</v>
      </c>
      <c r="R544" s="274">
        <v>91</v>
      </c>
      <c r="S544" s="274">
        <v>39</v>
      </c>
      <c r="T544" s="287">
        <f t="shared" si="8"/>
        <v>2015</v>
      </c>
      <c r="U544" s="274">
        <f>VLOOKUP(A544,'[1]SB35 Determination Data'!$B$4:$F$542,5,FALSE)</f>
        <v>2015</v>
      </c>
    </row>
    <row r="545" spans="1:21" s="274" customFormat="1" ht="12.75" x14ac:dyDescent="0.2">
      <c r="A545" s="282" t="s">
        <v>429</v>
      </c>
      <c r="B545" s="282" t="s">
        <v>595</v>
      </c>
      <c r="C545" s="282" t="s">
        <v>654</v>
      </c>
      <c r="D545" s="283">
        <v>2016</v>
      </c>
      <c r="E545" s="282" t="s">
        <v>650</v>
      </c>
      <c r="F545" s="284">
        <v>32</v>
      </c>
      <c r="G545" s="285">
        <v>4</v>
      </c>
      <c r="H545" s="288">
        <v>0</v>
      </c>
      <c r="I545" s="285">
        <v>4</v>
      </c>
      <c r="J545" s="285">
        <v>17</v>
      </c>
      <c r="K545" s="284">
        <v>2</v>
      </c>
      <c r="L545" s="284">
        <v>0</v>
      </c>
      <c r="M545" s="284">
        <v>2</v>
      </c>
      <c r="N545" s="284">
        <v>21</v>
      </c>
      <c r="O545" s="284">
        <v>2</v>
      </c>
      <c r="P545" s="284">
        <v>21</v>
      </c>
      <c r="Q545" s="286">
        <v>2</v>
      </c>
      <c r="R545" s="274">
        <v>91</v>
      </c>
      <c r="S545" s="274">
        <v>10</v>
      </c>
      <c r="T545" s="287">
        <f t="shared" si="8"/>
        <v>2016</v>
      </c>
      <c r="U545" s="274">
        <f>VLOOKUP(A545,'[1]SB35 Determination Data'!$B$4:$F$542,5,FALSE)</f>
        <v>2015</v>
      </c>
    </row>
    <row r="546" spans="1:21" s="274" customFormat="1" ht="12.75" x14ac:dyDescent="0.2">
      <c r="A546" s="282" t="s">
        <v>429</v>
      </c>
      <c r="B546" s="282" t="s">
        <v>595</v>
      </c>
      <c r="C546" s="282" t="s">
        <v>654</v>
      </c>
      <c r="D546" s="283">
        <v>2017</v>
      </c>
      <c r="E546" s="282" t="s">
        <v>650</v>
      </c>
      <c r="F546" s="284">
        <v>32</v>
      </c>
      <c r="G546" s="285">
        <v>8</v>
      </c>
      <c r="H546" s="288">
        <v>0</v>
      </c>
      <c r="I546" s="285">
        <v>8</v>
      </c>
      <c r="J546" s="285">
        <v>17</v>
      </c>
      <c r="K546" s="284">
        <v>3</v>
      </c>
      <c r="L546" s="284">
        <v>0</v>
      </c>
      <c r="M546" s="284">
        <v>3</v>
      </c>
      <c r="N546" s="284">
        <v>21</v>
      </c>
      <c r="O546" s="284">
        <v>4</v>
      </c>
      <c r="P546" s="284">
        <v>21</v>
      </c>
      <c r="Q546" s="286">
        <v>3</v>
      </c>
      <c r="R546" s="274">
        <v>91</v>
      </c>
      <c r="S546" s="274">
        <v>18</v>
      </c>
      <c r="T546" s="287">
        <f t="shared" si="8"/>
        <v>2017</v>
      </c>
      <c r="U546" s="274">
        <f>VLOOKUP(A546,'[1]SB35 Determination Data'!$B$4:$F$542,5,FALSE)</f>
        <v>2015</v>
      </c>
    </row>
    <row r="547" spans="1:21" s="274" customFormat="1" ht="12.75" x14ac:dyDescent="0.2">
      <c r="A547" s="282" t="s">
        <v>430</v>
      </c>
      <c r="B547" s="282" t="s">
        <v>530</v>
      </c>
      <c r="C547" s="282" t="s">
        <v>531</v>
      </c>
      <c r="D547" s="283">
        <v>2015</v>
      </c>
      <c r="E547" s="282" t="s">
        <v>650</v>
      </c>
      <c r="F547" s="284">
        <v>312</v>
      </c>
      <c r="G547" s="285">
        <v>0</v>
      </c>
      <c r="H547" s="288">
        <v>0</v>
      </c>
      <c r="I547" s="285">
        <v>0</v>
      </c>
      <c r="J547" s="285">
        <v>189</v>
      </c>
      <c r="K547" s="284">
        <v>0</v>
      </c>
      <c r="L547" s="284">
        <v>0</v>
      </c>
      <c r="M547" s="284">
        <v>0</v>
      </c>
      <c r="N547" s="284">
        <v>258</v>
      </c>
      <c r="O547" s="284">
        <v>0</v>
      </c>
      <c r="P547" s="284">
        <v>557</v>
      </c>
      <c r="Q547" s="286">
        <v>68</v>
      </c>
      <c r="R547" s="274">
        <v>1316</v>
      </c>
      <c r="S547" s="274">
        <v>68</v>
      </c>
      <c r="T547" s="287">
        <f t="shared" si="8"/>
        <v>2016</v>
      </c>
      <c r="U547" s="274">
        <f>VLOOKUP(A547,'[1]SB35 Determination Data'!$B$4:$F$542,5,FALSE)</f>
        <v>2016</v>
      </c>
    </row>
    <row r="548" spans="1:21" s="274" customFormat="1" ht="12.75" x14ac:dyDescent="0.2">
      <c r="A548" s="282" t="s">
        <v>430</v>
      </c>
      <c r="B548" s="282" t="s">
        <v>530</v>
      </c>
      <c r="C548" s="282" t="s">
        <v>531</v>
      </c>
      <c r="D548" s="283">
        <v>2016</v>
      </c>
      <c r="E548" s="282" t="s">
        <v>650</v>
      </c>
      <c r="F548" s="284">
        <v>312</v>
      </c>
      <c r="G548" s="285">
        <v>0</v>
      </c>
      <c r="H548" s="288">
        <v>0</v>
      </c>
      <c r="I548" s="285">
        <v>0</v>
      </c>
      <c r="J548" s="285">
        <v>189</v>
      </c>
      <c r="K548" s="284">
        <v>0</v>
      </c>
      <c r="L548" s="284">
        <v>0</v>
      </c>
      <c r="M548" s="284">
        <v>0</v>
      </c>
      <c r="N548" s="284">
        <v>258</v>
      </c>
      <c r="O548" s="284">
        <v>12</v>
      </c>
      <c r="P548" s="284">
        <v>557</v>
      </c>
      <c r="Q548" s="286">
        <v>87</v>
      </c>
      <c r="R548" s="274">
        <v>1316</v>
      </c>
      <c r="S548" s="274">
        <v>99</v>
      </c>
      <c r="T548" s="287">
        <f t="shared" si="8"/>
        <v>2016</v>
      </c>
      <c r="U548" s="274">
        <f>VLOOKUP(A548,'[1]SB35 Determination Data'!$B$4:$F$542,5,FALSE)</f>
        <v>2016</v>
      </c>
    </row>
    <row r="549" spans="1:21" s="274" customFormat="1" ht="12.75" x14ac:dyDescent="0.2">
      <c r="A549" s="282" t="s">
        <v>430</v>
      </c>
      <c r="B549" s="282" t="s">
        <v>530</v>
      </c>
      <c r="C549" s="282" t="s">
        <v>531</v>
      </c>
      <c r="D549" s="283">
        <v>2017</v>
      </c>
      <c r="E549" s="282" t="s">
        <v>650</v>
      </c>
      <c r="F549" s="284">
        <v>312</v>
      </c>
      <c r="G549" s="285">
        <v>0</v>
      </c>
      <c r="H549" s="288">
        <v>0</v>
      </c>
      <c r="I549" s="285">
        <v>0</v>
      </c>
      <c r="J549" s="285">
        <v>189</v>
      </c>
      <c r="K549" s="284">
        <v>0</v>
      </c>
      <c r="L549" s="284">
        <v>0</v>
      </c>
      <c r="M549" s="284">
        <v>0</v>
      </c>
      <c r="N549" s="289">
        <v>258</v>
      </c>
      <c r="O549" s="284">
        <v>91</v>
      </c>
      <c r="P549" s="284">
        <v>557</v>
      </c>
      <c r="Q549" s="286">
        <v>219</v>
      </c>
      <c r="R549" s="274">
        <v>1316</v>
      </c>
      <c r="S549" s="274">
        <v>310</v>
      </c>
      <c r="T549" s="287">
        <f t="shared" si="8"/>
        <v>2017</v>
      </c>
      <c r="U549" s="274">
        <f>VLOOKUP(A549,'[1]SB35 Determination Data'!$B$4:$F$542,5,FALSE)</f>
        <v>2016</v>
      </c>
    </row>
    <row r="550" spans="1:21" s="274" customFormat="1" ht="12.75" x14ac:dyDescent="0.2">
      <c r="A550" s="282" t="s">
        <v>418</v>
      </c>
      <c r="B550" s="282" t="s">
        <v>189</v>
      </c>
      <c r="C550" s="282" t="s">
        <v>649</v>
      </c>
      <c r="D550" s="283">
        <v>2017</v>
      </c>
      <c r="E550" s="282" t="s">
        <v>650</v>
      </c>
      <c r="F550" s="284">
        <v>54</v>
      </c>
      <c r="G550" s="285">
        <v>0</v>
      </c>
      <c r="H550" s="288">
        <v>0</v>
      </c>
      <c r="I550" s="285">
        <v>0</v>
      </c>
      <c r="J550" s="285">
        <v>31</v>
      </c>
      <c r="K550" s="284">
        <v>1</v>
      </c>
      <c r="L550" s="284">
        <v>0</v>
      </c>
      <c r="M550" s="284">
        <v>1</v>
      </c>
      <c r="N550" s="284">
        <v>32</v>
      </c>
      <c r="O550" s="284">
        <v>1</v>
      </c>
      <c r="P550" s="284">
        <v>92</v>
      </c>
      <c r="Q550" s="286">
        <v>1</v>
      </c>
      <c r="R550" s="274">
        <v>209</v>
      </c>
      <c r="S550" s="274">
        <v>3</v>
      </c>
      <c r="T550" s="287">
        <f t="shared" si="8"/>
        <v>2017</v>
      </c>
      <c r="U550" s="274">
        <f>VLOOKUP(A550,'[1]SB35 Determination Data'!$B$4:$F$542,5,FALSE)</f>
        <v>2014</v>
      </c>
    </row>
    <row r="551" spans="1:21" s="274" customFormat="1" ht="12.75" x14ac:dyDescent="0.2">
      <c r="A551" s="282" t="s">
        <v>431</v>
      </c>
      <c r="B551" s="282" t="s">
        <v>679</v>
      </c>
      <c r="C551" s="282" t="s">
        <v>531</v>
      </c>
      <c r="D551" s="283">
        <v>2015</v>
      </c>
      <c r="E551" s="282" t="s">
        <v>650</v>
      </c>
      <c r="F551" s="284">
        <v>53</v>
      </c>
      <c r="G551" s="285">
        <v>0</v>
      </c>
      <c r="H551" s="288">
        <v>0</v>
      </c>
      <c r="I551" s="285">
        <v>0</v>
      </c>
      <c r="J551" s="285">
        <v>34</v>
      </c>
      <c r="K551" s="284">
        <v>0</v>
      </c>
      <c r="L551" s="284">
        <v>0</v>
      </c>
      <c r="M551" s="284">
        <v>0</v>
      </c>
      <c r="N551" s="284">
        <v>38</v>
      </c>
      <c r="O551" s="284">
        <v>0</v>
      </c>
      <c r="P551" s="284">
        <v>93</v>
      </c>
      <c r="Q551" s="286">
        <v>32</v>
      </c>
      <c r="R551" s="274">
        <v>218</v>
      </c>
      <c r="S551" s="274">
        <v>32</v>
      </c>
      <c r="T551" s="287">
        <f t="shared" si="8"/>
        <v>2016</v>
      </c>
      <c r="U551" s="274">
        <f>VLOOKUP(A551,'[1]SB35 Determination Data'!$B$4:$F$542,5,FALSE)</f>
        <v>2016</v>
      </c>
    </row>
    <row r="552" spans="1:21" s="274" customFormat="1" ht="12.75" x14ac:dyDescent="0.2">
      <c r="A552" s="282" t="s">
        <v>431</v>
      </c>
      <c r="B552" s="282" t="s">
        <v>679</v>
      </c>
      <c r="C552" s="282" t="s">
        <v>531</v>
      </c>
      <c r="D552" s="283">
        <v>2016</v>
      </c>
      <c r="E552" s="282" t="s">
        <v>650</v>
      </c>
      <c r="F552" s="284">
        <v>53</v>
      </c>
      <c r="G552" s="285">
        <v>0</v>
      </c>
      <c r="H552" s="288">
        <v>0</v>
      </c>
      <c r="I552" s="285">
        <v>0</v>
      </c>
      <c r="J552" s="285">
        <v>34</v>
      </c>
      <c r="K552" s="284">
        <v>0</v>
      </c>
      <c r="L552" s="284">
        <v>0</v>
      </c>
      <c r="M552" s="284">
        <v>0</v>
      </c>
      <c r="N552" s="284">
        <v>38</v>
      </c>
      <c r="O552" s="284">
        <v>0</v>
      </c>
      <c r="P552" s="284">
        <v>93</v>
      </c>
      <c r="Q552" s="286">
        <v>15</v>
      </c>
      <c r="R552" s="274">
        <v>218</v>
      </c>
      <c r="S552" s="274">
        <v>15</v>
      </c>
      <c r="T552" s="287">
        <f t="shared" si="8"/>
        <v>2016</v>
      </c>
      <c r="U552" s="274">
        <f>VLOOKUP(A552,'[1]SB35 Determination Data'!$B$4:$F$542,5,FALSE)</f>
        <v>2016</v>
      </c>
    </row>
    <row r="553" spans="1:21" s="274" customFormat="1" ht="12.75" x14ac:dyDescent="0.2">
      <c r="A553" s="282" t="s">
        <v>431</v>
      </c>
      <c r="B553" s="282" t="s">
        <v>679</v>
      </c>
      <c r="C553" s="282" t="s">
        <v>531</v>
      </c>
      <c r="D553" s="283">
        <v>2017</v>
      </c>
      <c r="E553" s="282" t="s">
        <v>650</v>
      </c>
      <c r="F553" s="284">
        <v>53</v>
      </c>
      <c r="G553" s="285">
        <v>0</v>
      </c>
      <c r="H553" s="288">
        <v>0</v>
      </c>
      <c r="I553" s="285">
        <v>0</v>
      </c>
      <c r="J553" s="285">
        <v>34</v>
      </c>
      <c r="K553" s="284">
        <v>0</v>
      </c>
      <c r="L553" s="284">
        <v>0</v>
      </c>
      <c r="M553" s="284">
        <v>0</v>
      </c>
      <c r="N553" s="284">
        <v>38</v>
      </c>
      <c r="O553" s="284">
        <v>0</v>
      </c>
      <c r="P553" s="284">
        <v>93</v>
      </c>
      <c r="Q553" s="286">
        <v>16</v>
      </c>
      <c r="R553" s="274">
        <v>218</v>
      </c>
      <c r="S553" s="274">
        <v>16</v>
      </c>
      <c r="T553" s="287">
        <f t="shared" si="8"/>
        <v>2017</v>
      </c>
      <c r="U553" s="274">
        <f>VLOOKUP(A553,'[1]SB35 Determination Data'!$B$4:$F$542,5,FALSE)</f>
        <v>2016</v>
      </c>
    </row>
    <row r="554" spans="1:21" s="274" customFormat="1" ht="12.75" x14ac:dyDescent="0.2">
      <c r="A554" s="282" t="s">
        <v>400</v>
      </c>
      <c r="B554" s="282" t="s">
        <v>171</v>
      </c>
      <c r="C554" s="282" t="s">
        <v>660</v>
      </c>
      <c r="D554" s="283">
        <v>2014</v>
      </c>
      <c r="E554" s="282" t="s">
        <v>650</v>
      </c>
      <c r="F554" s="284">
        <v>212</v>
      </c>
      <c r="G554" s="285">
        <v>16</v>
      </c>
      <c r="H554" s="288">
        <v>0</v>
      </c>
      <c r="I554" s="285">
        <v>16</v>
      </c>
      <c r="J554" s="285">
        <v>135</v>
      </c>
      <c r="K554" s="284">
        <v>13</v>
      </c>
      <c r="L554" s="284">
        <v>0</v>
      </c>
      <c r="M554" s="284">
        <v>13</v>
      </c>
      <c r="N554" s="289">
        <v>146</v>
      </c>
      <c r="O554" s="284">
        <v>26</v>
      </c>
      <c r="P554" s="284">
        <v>366</v>
      </c>
      <c r="Q554" s="286">
        <v>83</v>
      </c>
      <c r="R554" s="274">
        <v>859</v>
      </c>
      <c r="S554" s="274">
        <v>138</v>
      </c>
      <c r="T554" s="287">
        <f t="shared" si="8"/>
        <v>2014</v>
      </c>
      <c r="U554" s="274">
        <f>VLOOKUP(A554,'[1]SB35 Determination Data'!$B$4:$F$542,5,FALSE)</f>
        <v>2014</v>
      </c>
    </row>
    <row r="555" spans="1:21" s="274" customFormat="1" ht="12.75" x14ac:dyDescent="0.2">
      <c r="A555" s="282" t="s">
        <v>400</v>
      </c>
      <c r="B555" s="282" t="s">
        <v>171</v>
      </c>
      <c r="C555" s="282" t="s">
        <v>660</v>
      </c>
      <c r="D555" s="283">
        <v>2015</v>
      </c>
      <c r="E555" s="282" t="s">
        <v>650</v>
      </c>
      <c r="F555" s="284">
        <v>212</v>
      </c>
      <c r="G555" s="285">
        <v>5</v>
      </c>
      <c r="H555" s="288">
        <v>0</v>
      </c>
      <c r="I555" s="285">
        <v>5</v>
      </c>
      <c r="J555" s="285">
        <v>135</v>
      </c>
      <c r="K555" s="284">
        <v>4</v>
      </c>
      <c r="L555" s="284">
        <v>0</v>
      </c>
      <c r="M555" s="284">
        <v>4</v>
      </c>
      <c r="N555" s="284">
        <v>146</v>
      </c>
      <c r="O555" s="284">
        <v>53</v>
      </c>
      <c r="P555" s="284">
        <v>366</v>
      </c>
      <c r="Q555" s="286">
        <v>39</v>
      </c>
      <c r="R555" s="274">
        <v>859</v>
      </c>
      <c r="S555" s="274">
        <v>101</v>
      </c>
      <c r="T555" s="287">
        <f t="shared" si="8"/>
        <v>2015</v>
      </c>
      <c r="U555" s="274">
        <f>VLOOKUP(A555,'[1]SB35 Determination Data'!$B$4:$F$542,5,FALSE)</f>
        <v>2014</v>
      </c>
    </row>
    <row r="556" spans="1:21" s="274" customFormat="1" ht="12.75" x14ac:dyDescent="0.2">
      <c r="A556" s="282" t="s">
        <v>400</v>
      </c>
      <c r="B556" s="282" t="s">
        <v>171</v>
      </c>
      <c r="C556" s="282" t="s">
        <v>660</v>
      </c>
      <c r="D556" s="283">
        <v>2016</v>
      </c>
      <c r="E556" s="282" t="s">
        <v>650</v>
      </c>
      <c r="F556" s="284">
        <v>212</v>
      </c>
      <c r="G556" s="285">
        <v>3</v>
      </c>
      <c r="H556" s="288">
        <v>0</v>
      </c>
      <c r="I556" s="285">
        <v>3</v>
      </c>
      <c r="J556" s="285">
        <v>135</v>
      </c>
      <c r="K556" s="284">
        <v>11</v>
      </c>
      <c r="L556" s="284">
        <v>0</v>
      </c>
      <c r="M556" s="284">
        <v>11</v>
      </c>
      <c r="N556" s="284">
        <v>146</v>
      </c>
      <c r="O556" s="284">
        <v>30</v>
      </c>
      <c r="P556" s="284">
        <v>366</v>
      </c>
      <c r="Q556" s="286">
        <v>27</v>
      </c>
      <c r="R556" s="274">
        <v>859</v>
      </c>
      <c r="S556" s="274">
        <v>71</v>
      </c>
      <c r="T556" s="287">
        <f t="shared" si="8"/>
        <v>2016</v>
      </c>
      <c r="U556" s="274">
        <f>VLOOKUP(A556,'[1]SB35 Determination Data'!$B$4:$F$542,5,FALSE)</f>
        <v>2014</v>
      </c>
    </row>
    <row r="557" spans="1:21" s="274" customFormat="1" ht="12.75" x14ac:dyDescent="0.2">
      <c r="A557" s="282" t="s">
        <v>400</v>
      </c>
      <c r="B557" s="282" t="s">
        <v>171</v>
      </c>
      <c r="C557" s="282" t="s">
        <v>660</v>
      </c>
      <c r="D557" s="283">
        <v>2017</v>
      </c>
      <c r="E557" s="282" t="s">
        <v>650</v>
      </c>
      <c r="F557" s="284">
        <v>212</v>
      </c>
      <c r="G557" s="285">
        <v>7</v>
      </c>
      <c r="H557" s="288">
        <v>0</v>
      </c>
      <c r="I557" s="285">
        <v>7</v>
      </c>
      <c r="J557" s="285">
        <v>135</v>
      </c>
      <c r="K557" s="284">
        <v>15</v>
      </c>
      <c r="L557" s="284">
        <v>0</v>
      </c>
      <c r="M557" s="284">
        <v>15</v>
      </c>
      <c r="N557" s="284">
        <v>146</v>
      </c>
      <c r="O557" s="284">
        <v>86</v>
      </c>
      <c r="P557" s="284">
        <v>366</v>
      </c>
      <c r="Q557" s="286">
        <v>12</v>
      </c>
      <c r="R557" s="274">
        <v>859</v>
      </c>
      <c r="S557" s="274">
        <v>120</v>
      </c>
      <c r="T557" s="287">
        <f t="shared" si="8"/>
        <v>2017</v>
      </c>
      <c r="U557" s="274">
        <f>VLOOKUP(A557,'[1]SB35 Determination Data'!$B$4:$F$542,5,FALSE)</f>
        <v>2014</v>
      </c>
    </row>
    <row r="558" spans="1:21" s="274" customFormat="1" ht="12.75" x14ac:dyDescent="0.2">
      <c r="A558" s="282" t="s">
        <v>361</v>
      </c>
      <c r="B558" s="282" t="s">
        <v>125</v>
      </c>
      <c r="C558" s="282" t="s">
        <v>531</v>
      </c>
      <c r="D558" s="283">
        <v>2015</v>
      </c>
      <c r="E558" s="282" t="s">
        <v>650</v>
      </c>
      <c r="F558" s="284">
        <v>87</v>
      </c>
      <c r="G558" s="285">
        <v>0</v>
      </c>
      <c r="H558" s="288">
        <v>0</v>
      </c>
      <c r="I558" s="285">
        <v>0</v>
      </c>
      <c r="J558" s="285">
        <v>107</v>
      </c>
      <c r="K558" s="284">
        <v>0</v>
      </c>
      <c r="L558" s="284">
        <v>0</v>
      </c>
      <c r="M558" s="284">
        <v>0</v>
      </c>
      <c r="N558" s="284">
        <v>106</v>
      </c>
      <c r="O558" s="284">
        <v>0</v>
      </c>
      <c r="P558" s="284">
        <v>124</v>
      </c>
      <c r="Q558" s="286">
        <v>0</v>
      </c>
      <c r="R558" s="274">
        <v>424</v>
      </c>
      <c r="S558" s="274">
        <v>0</v>
      </c>
      <c r="T558" s="287">
        <f t="shared" si="8"/>
        <v>2016</v>
      </c>
      <c r="U558" s="274">
        <f>VLOOKUP(A558,'[1]SB35 Determination Data'!$B$4:$F$542,5,FALSE)</f>
        <v>2016</v>
      </c>
    </row>
    <row r="559" spans="1:21" s="274" customFormat="1" ht="12.75" x14ac:dyDescent="0.2">
      <c r="A559" s="282" t="s">
        <v>361</v>
      </c>
      <c r="B559" s="282" t="s">
        <v>125</v>
      </c>
      <c r="C559" s="282" t="s">
        <v>531</v>
      </c>
      <c r="D559" s="283">
        <v>2016</v>
      </c>
      <c r="E559" s="282" t="s">
        <v>650</v>
      </c>
      <c r="F559" s="284">
        <v>87</v>
      </c>
      <c r="G559" s="285">
        <v>0</v>
      </c>
      <c r="H559" s="288">
        <v>0</v>
      </c>
      <c r="I559" s="285">
        <v>0</v>
      </c>
      <c r="J559" s="285">
        <v>107</v>
      </c>
      <c r="K559" s="284">
        <v>22</v>
      </c>
      <c r="L559" s="284">
        <v>22</v>
      </c>
      <c r="M559" s="284">
        <v>0</v>
      </c>
      <c r="N559" s="284">
        <v>106</v>
      </c>
      <c r="O559" s="284">
        <v>34</v>
      </c>
      <c r="P559" s="284">
        <v>124</v>
      </c>
      <c r="Q559" s="286">
        <v>0</v>
      </c>
      <c r="R559" s="274">
        <v>424</v>
      </c>
      <c r="S559" s="274">
        <v>56</v>
      </c>
      <c r="T559" s="287">
        <f t="shared" si="8"/>
        <v>2016</v>
      </c>
      <c r="U559" s="274">
        <f>VLOOKUP(A559,'[1]SB35 Determination Data'!$B$4:$F$542,5,FALSE)</f>
        <v>2016</v>
      </c>
    </row>
    <row r="560" spans="1:21" s="274" customFormat="1" ht="12.75" x14ac:dyDescent="0.2">
      <c r="A560" s="282" t="s">
        <v>361</v>
      </c>
      <c r="B560" s="282" t="s">
        <v>125</v>
      </c>
      <c r="C560" s="282" t="s">
        <v>531</v>
      </c>
      <c r="D560" s="283">
        <v>2017</v>
      </c>
      <c r="E560" s="282" t="s">
        <v>650</v>
      </c>
      <c r="F560" s="284">
        <v>87</v>
      </c>
      <c r="G560" s="285">
        <v>0</v>
      </c>
      <c r="H560" s="288">
        <v>0</v>
      </c>
      <c r="I560" s="285">
        <v>0</v>
      </c>
      <c r="J560" s="285">
        <v>107</v>
      </c>
      <c r="K560" s="284">
        <v>0</v>
      </c>
      <c r="L560" s="284">
        <v>0</v>
      </c>
      <c r="M560" s="284">
        <v>0</v>
      </c>
      <c r="N560" s="284">
        <v>106</v>
      </c>
      <c r="O560" s="284">
        <v>0</v>
      </c>
      <c r="P560" s="284">
        <v>124</v>
      </c>
      <c r="Q560" s="286">
        <v>0</v>
      </c>
      <c r="R560" s="274">
        <v>424</v>
      </c>
      <c r="S560" s="274">
        <v>0</v>
      </c>
      <c r="T560" s="287">
        <f t="shared" si="8"/>
        <v>2017</v>
      </c>
      <c r="U560" s="274">
        <f>VLOOKUP(A560,'[1]SB35 Determination Data'!$B$4:$F$542,5,FALSE)</f>
        <v>2016</v>
      </c>
    </row>
    <row r="561" spans="1:21" s="274" customFormat="1" ht="12.75" x14ac:dyDescent="0.2">
      <c r="A561" s="282" t="s">
        <v>189</v>
      </c>
      <c r="B561" s="282" t="s">
        <v>189</v>
      </c>
      <c r="C561" s="282" t="s">
        <v>649</v>
      </c>
      <c r="D561" s="283">
        <v>2014</v>
      </c>
      <c r="E561" s="282" t="s">
        <v>650</v>
      </c>
      <c r="F561" s="284">
        <v>349</v>
      </c>
      <c r="G561" s="285">
        <v>56</v>
      </c>
      <c r="H561" s="288">
        <v>56</v>
      </c>
      <c r="I561" s="285">
        <v>0</v>
      </c>
      <c r="J561" s="285">
        <v>205</v>
      </c>
      <c r="K561" s="284">
        <v>0</v>
      </c>
      <c r="L561" s="284">
        <v>0</v>
      </c>
      <c r="M561" s="284">
        <v>0</v>
      </c>
      <c r="N561" s="289">
        <v>202</v>
      </c>
      <c r="O561" s="284">
        <v>43</v>
      </c>
      <c r="P561" s="284">
        <v>553</v>
      </c>
      <c r="Q561" s="286">
        <v>16</v>
      </c>
      <c r="R561" s="274">
        <v>1309</v>
      </c>
      <c r="S561" s="274">
        <v>115</v>
      </c>
      <c r="T561" s="287">
        <f t="shared" si="8"/>
        <v>2014</v>
      </c>
      <c r="U561" s="274">
        <f>VLOOKUP(A561,'[1]SB35 Determination Data'!$B$4:$F$542,5,FALSE)</f>
        <v>2014</v>
      </c>
    </row>
    <row r="562" spans="1:21" s="274" customFormat="1" ht="12.75" x14ac:dyDescent="0.2">
      <c r="A562" s="282" t="s">
        <v>189</v>
      </c>
      <c r="B562" s="282" t="s">
        <v>189</v>
      </c>
      <c r="C562" s="282" t="s">
        <v>649</v>
      </c>
      <c r="D562" s="283">
        <v>2015</v>
      </c>
      <c r="E562" s="282" t="s">
        <v>650</v>
      </c>
      <c r="F562" s="284">
        <v>349</v>
      </c>
      <c r="G562" s="285">
        <v>0</v>
      </c>
      <c r="H562" s="288">
        <v>0</v>
      </c>
      <c r="I562" s="285">
        <v>0</v>
      </c>
      <c r="J562" s="285">
        <v>205</v>
      </c>
      <c r="K562" s="284">
        <v>10</v>
      </c>
      <c r="L562" s="284">
        <v>10</v>
      </c>
      <c r="M562" s="284">
        <v>0</v>
      </c>
      <c r="N562" s="284">
        <v>202</v>
      </c>
      <c r="O562" s="284">
        <v>77</v>
      </c>
      <c r="P562" s="284">
        <v>553</v>
      </c>
      <c r="Q562" s="286">
        <v>19</v>
      </c>
      <c r="R562" s="274">
        <v>1309</v>
      </c>
      <c r="S562" s="274">
        <v>106</v>
      </c>
      <c r="T562" s="287">
        <f t="shared" si="8"/>
        <v>2015</v>
      </c>
      <c r="U562" s="274">
        <f>VLOOKUP(A562,'[1]SB35 Determination Data'!$B$4:$F$542,5,FALSE)</f>
        <v>2014</v>
      </c>
    </row>
    <row r="563" spans="1:21" s="274" customFormat="1" ht="12.75" x14ac:dyDescent="0.2">
      <c r="A563" s="282" t="s">
        <v>189</v>
      </c>
      <c r="B563" s="282" t="s">
        <v>189</v>
      </c>
      <c r="C563" s="282" t="s">
        <v>649</v>
      </c>
      <c r="D563" s="283">
        <v>2016</v>
      </c>
      <c r="E563" s="282" t="s">
        <v>650</v>
      </c>
      <c r="F563" s="284">
        <v>349</v>
      </c>
      <c r="G563" s="285">
        <v>0</v>
      </c>
      <c r="H563" s="288">
        <v>0</v>
      </c>
      <c r="I563" s="285">
        <v>0</v>
      </c>
      <c r="J563" s="285">
        <v>205</v>
      </c>
      <c r="K563" s="284">
        <v>0</v>
      </c>
      <c r="L563" s="284">
        <v>0</v>
      </c>
      <c r="M563" s="284">
        <v>0</v>
      </c>
      <c r="N563" s="284">
        <v>202</v>
      </c>
      <c r="O563" s="284">
        <v>227</v>
      </c>
      <c r="P563" s="284">
        <v>553</v>
      </c>
      <c r="Q563" s="286">
        <v>40</v>
      </c>
      <c r="R563" s="274">
        <v>1309</v>
      </c>
      <c r="S563" s="274">
        <v>267</v>
      </c>
      <c r="T563" s="287">
        <f t="shared" si="8"/>
        <v>2016</v>
      </c>
      <c r="U563" s="274">
        <f>VLOOKUP(A563,'[1]SB35 Determination Data'!$B$4:$F$542,5,FALSE)</f>
        <v>2014</v>
      </c>
    </row>
    <row r="564" spans="1:21" s="274" customFormat="1" ht="12.75" x14ac:dyDescent="0.2">
      <c r="A564" s="282" t="s">
        <v>189</v>
      </c>
      <c r="B564" s="282" t="s">
        <v>189</v>
      </c>
      <c r="C564" s="282" t="s">
        <v>649</v>
      </c>
      <c r="D564" s="283">
        <v>2017</v>
      </c>
      <c r="E564" s="282" t="s">
        <v>650</v>
      </c>
      <c r="F564" s="284">
        <v>349</v>
      </c>
      <c r="G564" s="285">
        <v>0</v>
      </c>
      <c r="H564" s="288">
        <v>0</v>
      </c>
      <c r="I564" s="285">
        <v>0</v>
      </c>
      <c r="J564" s="285">
        <v>205</v>
      </c>
      <c r="K564" s="284">
        <v>0</v>
      </c>
      <c r="L564" s="284">
        <v>0</v>
      </c>
      <c r="M564" s="284">
        <v>0</v>
      </c>
      <c r="N564" s="284">
        <v>202</v>
      </c>
      <c r="O564" s="284">
        <v>79</v>
      </c>
      <c r="P564" s="284">
        <v>553</v>
      </c>
      <c r="Q564" s="286">
        <v>36</v>
      </c>
      <c r="R564" s="274">
        <v>1309</v>
      </c>
      <c r="S564" s="274">
        <v>115</v>
      </c>
      <c r="T564" s="287">
        <f t="shared" si="8"/>
        <v>2017</v>
      </c>
      <c r="U564" s="274">
        <f>VLOOKUP(A564,'[1]SB35 Determination Data'!$B$4:$F$542,5,FALSE)</f>
        <v>2014</v>
      </c>
    </row>
    <row r="565" spans="1:21" s="274" customFormat="1" ht="12.75" x14ac:dyDescent="0.2">
      <c r="A565" s="282" t="s">
        <v>435</v>
      </c>
      <c r="B565" s="282" t="s">
        <v>557</v>
      </c>
      <c r="C565" s="282" t="s">
        <v>758</v>
      </c>
      <c r="D565" s="283">
        <v>2013</v>
      </c>
      <c r="E565" s="282" t="s">
        <v>650</v>
      </c>
      <c r="F565" s="284">
        <v>63</v>
      </c>
      <c r="G565" s="285">
        <v>3</v>
      </c>
      <c r="H565" s="288">
        <v>3</v>
      </c>
      <c r="I565" s="285">
        <v>0</v>
      </c>
      <c r="J565" s="285">
        <v>48</v>
      </c>
      <c r="K565" s="284">
        <v>26</v>
      </c>
      <c r="L565" s="284">
        <v>26</v>
      </c>
      <c r="M565" s="284">
        <v>0</v>
      </c>
      <c r="N565" s="284">
        <v>45</v>
      </c>
      <c r="O565" s="284">
        <v>5</v>
      </c>
      <c r="P565" s="284">
        <v>98</v>
      </c>
      <c r="Q565" s="286">
        <v>22</v>
      </c>
      <c r="R565" s="274">
        <v>254</v>
      </c>
      <c r="S565" s="274">
        <v>56</v>
      </c>
      <c r="T565" s="287">
        <f t="shared" si="8"/>
        <v>2013</v>
      </c>
      <c r="U565" s="274">
        <f>VLOOKUP(A565,'[1]SB35 Determination Data'!$B$4:$F$542,5,FALSE)</f>
        <v>2013</v>
      </c>
    </row>
    <row r="566" spans="1:21" s="274" customFormat="1" ht="12.75" x14ac:dyDescent="0.2">
      <c r="A566" s="282" t="s">
        <v>435</v>
      </c>
      <c r="B566" s="282" t="s">
        <v>557</v>
      </c>
      <c r="C566" s="282" t="s">
        <v>758</v>
      </c>
      <c r="D566" s="283">
        <v>2014</v>
      </c>
      <c r="E566" s="282" t="s">
        <v>650</v>
      </c>
      <c r="F566" s="284">
        <v>63</v>
      </c>
      <c r="G566" s="285">
        <v>0</v>
      </c>
      <c r="H566" s="288">
        <v>0</v>
      </c>
      <c r="I566" s="285">
        <v>0</v>
      </c>
      <c r="J566" s="285">
        <v>48</v>
      </c>
      <c r="K566" s="284">
        <v>6</v>
      </c>
      <c r="L566" s="284">
        <v>6</v>
      </c>
      <c r="M566" s="284">
        <v>0</v>
      </c>
      <c r="N566" s="289">
        <v>45</v>
      </c>
      <c r="O566" s="284">
        <v>0</v>
      </c>
      <c r="P566" s="284">
        <v>98</v>
      </c>
      <c r="Q566" s="286">
        <v>40</v>
      </c>
      <c r="R566" s="274">
        <v>254</v>
      </c>
      <c r="S566" s="274">
        <v>46</v>
      </c>
      <c r="T566" s="287">
        <f t="shared" si="8"/>
        <v>2014</v>
      </c>
      <c r="U566" s="274">
        <f>VLOOKUP(A566,'[1]SB35 Determination Data'!$B$4:$F$542,5,FALSE)</f>
        <v>2013</v>
      </c>
    </row>
    <row r="567" spans="1:21" s="274" customFormat="1" ht="12.75" x14ac:dyDescent="0.2">
      <c r="A567" s="282" t="s">
        <v>435</v>
      </c>
      <c r="B567" s="282" t="s">
        <v>557</v>
      </c>
      <c r="C567" s="282" t="s">
        <v>758</v>
      </c>
      <c r="D567" s="283">
        <v>2015</v>
      </c>
      <c r="E567" s="282" t="s">
        <v>650</v>
      </c>
      <c r="F567" s="284">
        <v>63</v>
      </c>
      <c r="G567" s="285">
        <v>0</v>
      </c>
      <c r="H567" s="288">
        <v>0</v>
      </c>
      <c r="I567" s="285">
        <v>0</v>
      </c>
      <c r="J567" s="285">
        <v>48</v>
      </c>
      <c r="K567" s="284">
        <v>0</v>
      </c>
      <c r="L567" s="284">
        <v>0</v>
      </c>
      <c r="M567" s="284">
        <v>0</v>
      </c>
      <c r="N567" s="284">
        <v>45</v>
      </c>
      <c r="O567" s="284">
        <v>0</v>
      </c>
      <c r="P567" s="284">
        <v>98</v>
      </c>
      <c r="Q567" s="286">
        <v>20</v>
      </c>
      <c r="R567" s="274">
        <v>254</v>
      </c>
      <c r="S567" s="274">
        <v>20</v>
      </c>
      <c r="T567" s="287">
        <f t="shared" si="8"/>
        <v>2015</v>
      </c>
      <c r="U567" s="274">
        <f>VLOOKUP(A567,'[1]SB35 Determination Data'!$B$4:$F$542,5,FALSE)</f>
        <v>2013</v>
      </c>
    </row>
    <row r="568" spans="1:21" s="274" customFormat="1" ht="12.75" x14ac:dyDescent="0.2">
      <c r="A568" s="282" t="s">
        <v>435</v>
      </c>
      <c r="B568" s="282" t="s">
        <v>557</v>
      </c>
      <c r="C568" s="282" t="s">
        <v>758</v>
      </c>
      <c r="D568" s="283">
        <v>2016</v>
      </c>
      <c r="E568" s="282" t="s">
        <v>650</v>
      </c>
      <c r="F568" s="284">
        <v>63</v>
      </c>
      <c r="G568" s="285">
        <v>0</v>
      </c>
      <c r="H568" s="288">
        <v>0</v>
      </c>
      <c r="I568" s="285">
        <v>0</v>
      </c>
      <c r="J568" s="285">
        <v>48</v>
      </c>
      <c r="K568" s="284">
        <v>0</v>
      </c>
      <c r="L568" s="284">
        <v>0</v>
      </c>
      <c r="M568" s="284">
        <v>0</v>
      </c>
      <c r="N568" s="284">
        <v>45</v>
      </c>
      <c r="O568" s="284">
        <v>0</v>
      </c>
      <c r="P568" s="284">
        <v>98</v>
      </c>
      <c r="Q568" s="286">
        <v>13</v>
      </c>
      <c r="R568" s="274">
        <v>254</v>
      </c>
      <c r="S568" s="274">
        <v>13</v>
      </c>
      <c r="T568" s="287">
        <f t="shared" si="8"/>
        <v>2016</v>
      </c>
      <c r="U568" s="274">
        <f>VLOOKUP(A568,'[1]SB35 Determination Data'!$B$4:$F$542,5,FALSE)</f>
        <v>2013</v>
      </c>
    </row>
    <row r="569" spans="1:21" s="274" customFormat="1" ht="12.75" x14ac:dyDescent="0.2">
      <c r="A569" s="282" t="s">
        <v>435</v>
      </c>
      <c r="B569" s="282" t="s">
        <v>557</v>
      </c>
      <c r="C569" s="282" t="s">
        <v>758</v>
      </c>
      <c r="D569" s="283">
        <v>2017</v>
      </c>
      <c r="E569" s="282" t="s">
        <v>650</v>
      </c>
      <c r="F569" s="284">
        <v>63</v>
      </c>
      <c r="G569" s="285">
        <v>0</v>
      </c>
      <c r="H569" s="288">
        <v>0</v>
      </c>
      <c r="I569" s="285">
        <v>0</v>
      </c>
      <c r="J569" s="285">
        <v>48</v>
      </c>
      <c r="K569" s="284">
        <v>0</v>
      </c>
      <c r="L569" s="284">
        <v>0</v>
      </c>
      <c r="M569" s="284">
        <v>0</v>
      </c>
      <c r="N569" s="284">
        <v>45</v>
      </c>
      <c r="O569" s="284">
        <v>0</v>
      </c>
      <c r="P569" s="284">
        <v>98</v>
      </c>
      <c r="Q569" s="286">
        <v>117</v>
      </c>
      <c r="R569" s="274">
        <v>254</v>
      </c>
      <c r="S569" s="274">
        <v>117</v>
      </c>
      <c r="T569" s="287">
        <f t="shared" si="8"/>
        <v>2017</v>
      </c>
      <c r="U569" s="274">
        <f>VLOOKUP(A569,'[1]SB35 Determination Data'!$B$4:$F$542,5,FALSE)</f>
        <v>2013</v>
      </c>
    </row>
    <row r="570" spans="1:21" s="274" customFormat="1" ht="12.75" x14ac:dyDescent="0.2">
      <c r="A570" s="282" t="s">
        <v>421</v>
      </c>
      <c r="B570" s="282" t="s">
        <v>189</v>
      </c>
      <c r="C570" s="282" t="s">
        <v>649</v>
      </c>
      <c r="D570" s="283">
        <v>2016</v>
      </c>
      <c r="E570" s="282" t="s">
        <v>650</v>
      </c>
      <c r="F570" s="284">
        <v>1633</v>
      </c>
      <c r="G570" s="285">
        <v>0</v>
      </c>
      <c r="H570" s="288">
        <v>0</v>
      </c>
      <c r="I570" s="285">
        <v>0</v>
      </c>
      <c r="J570" s="285">
        <v>1001</v>
      </c>
      <c r="K570" s="284">
        <v>0</v>
      </c>
      <c r="L570" s="284">
        <v>0</v>
      </c>
      <c r="M570" s="284">
        <v>0</v>
      </c>
      <c r="N570" s="284">
        <v>1001</v>
      </c>
      <c r="O570" s="284">
        <v>24</v>
      </c>
      <c r="P570" s="284">
        <v>2839</v>
      </c>
      <c r="Q570" s="286">
        <v>0</v>
      </c>
      <c r="R570" s="274">
        <v>6474</v>
      </c>
      <c r="S570" s="274">
        <v>24</v>
      </c>
      <c r="T570" s="287">
        <f t="shared" si="8"/>
        <v>2016</v>
      </c>
      <c r="U570" s="274">
        <f>VLOOKUP(A570,'[1]SB35 Determination Data'!$B$4:$F$542,5,FALSE)</f>
        <v>2014</v>
      </c>
    </row>
    <row r="571" spans="1:21" s="274" customFormat="1" ht="12.75" x14ac:dyDescent="0.2">
      <c r="A571" s="282" t="s">
        <v>421</v>
      </c>
      <c r="B571" s="282" t="s">
        <v>189</v>
      </c>
      <c r="C571" s="282" t="s">
        <v>649</v>
      </c>
      <c r="D571" s="283">
        <v>2017</v>
      </c>
      <c r="E571" s="282" t="s">
        <v>650</v>
      </c>
      <c r="F571" s="284">
        <v>1633</v>
      </c>
      <c r="G571" s="285">
        <v>0</v>
      </c>
      <c r="H571" s="288">
        <v>0</v>
      </c>
      <c r="I571" s="285">
        <v>0</v>
      </c>
      <c r="J571" s="285">
        <v>1001</v>
      </c>
      <c r="K571" s="284">
        <v>0</v>
      </c>
      <c r="L571" s="284">
        <v>0</v>
      </c>
      <c r="M571" s="284">
        <v>0</v>
      </c>
      <c r="N571" s="284">
        <v>1001</v>
      </c>
      <c r="O571" s="284">
        <v>13</v>
      </c>
      <c r="P571" s="284">
        <v>2839</v>
      </c>
      <c r="Q571" s="286">
        <v>0</v>
      </c>
      <c r="R571" s="274">
        <v>6474</v>
      </c>
      <c r="S571" s="274">
        <v>13</v>
      </c>
      <c r="T571" s="287">
        <f t="shared" si="8"/>
        <v>2017</v>
      </c>
      <c r="U571" s="274">
        <f>VLOOKUP(A571,'[1]SB35 Determination Data'!$B$4:$F$542,5,FALSE)</f>
        <v>2014</v>
      </c>
    </row>
    <row r="572" spans="1:21" s="274" customFormat="1" ht="12.75" x14ac:dyDescent="0.2">
      <c r="A572" s="282" t="s">
        <v>437</v>
      </c>
      <c r="B572" s="282" t="s">
        <v>481</v>
      </c>
      <c r="C572" s="282" t="s">
        <v>649</v>
      </c>
      <c r="D572" s="283">
        <v>2014</v>
      </c>
      <c r="E572" s="282" t="s">
        <v>650</v>
      </c>
      <c r="F572" s="284">
        <v>40</v>
      </c>
      <c r="G572" s="285">
        <v>0</v>
      </c>
      <c r="H572" s="288">
        <v>0</v>
      </c>
      <c r="I572" s="285">
        <v>0</v>
      </c>
      <c r="J572" s="285">
        <v>27</v>
      </c>
      <c r="K572" s="284">
        <v>0</v>
      </c>
      <c r="L572" s="284">
        <v>0</v>
      </c>
      <c r="M572" s="284">
        <v>0</v>
      </c>
      <c r="N572" s="284">
        <v>31</v>
      </c>
      <c r="O572" s="284">
        <v>0</v>
      </c>
      <c r="P572" s="284">
        <v>62</v>
      </c>
      <c r="Q572" s="286">
        <v>40</v>
      </c>
      <c r="R572" s="274">
        <v>160</v>
      </c>
      <c r="S572" s="274">
        <v>40</v>
      </c>
      <c r="T572" s="287">
        <f t="shared" si="8"/>
        <v>2014</v>
      </c>
      <c r="U572" s="274">
        <f>VLOOKUP(A572,'[1]SB35 Determination Data'!$B$4:$F$542,5,FALSE)</f>
        <v>2014</v>
      </c>
    </row>
    <row r="573" spans="1:21" s="274" customFormat="1" ht="12.75" x14ac:dyDescent="0.2">
      <c r="A573" s="282" t="s">
        <v>437</v>
      </c>
      <c r="B573" s="282" t="s">
        <v>481</v>
      </c>
      <c r="C573" s="282" t="s">
        <v>649</v>
      </c>
      <c r="D573" s="283">
        <v>2015</v>
      </c>
      <c r="E573" s="282" t="s">
        <v>650</v>
      </c>
      <c r="F573" s="284">
        <v>40</v>
      </c>
      <c r="G573" s="285">
        <v>0</v>
      </c>
      <c r="H573" s="288">
        <v>0</v>
      </c>
      <c r="I573" s="285">
        <v>0</v>
      </c>
      <c r="J573" s="285">
        <v>27</v>
      </c>
      <c r="K573" s="284">
        <v>0</v>
      </c>
      <c r="L573" s="284">
        <v>0</v>
      </c>
      <c r="M573" s="284">
        <v>0</v>
      </c>
      <c r="N573" s="284">
        <v>31</v>
      </c>
      <c r="O573" s="284">
        <v>0</v>
      </c>
      <c r="P573" s="284">
        <v>62</v>
      </c>
      <c r="Q573" s="286">
        <v>43</v>
      </c>
      <c r="R573" s="274">
        <v>160</v>
      </c>
      <c r="S573" s="274">
        <v>43</v>
      </c>
      <c r="T573" s="287">
        <f t="shared" si="8"/>
        <v>2015</v>
      </c>
      <c r="U573" s="274">
        <f>VLOOKUP(A573,'[1]SB35 Determination Data'!$B$4:$F$542,5,FALSE)</f>
        <v>2014</v>
      </c>
    </row>
    <row r="574" spans="1:21" s="274" customFormat="1" ht="12.75" x14ac:dyDescent="0.2">
      <c r="A574" s="282" t="s">
        <v>437</v>
      </c>
      <c r="B574" s="282" t="s">
        <v>481</v>
      </c>
      <c r="C574" s="282" t="s">
        <v>649</v>
      </c>
      <c r="D574" s="283">
        <v>2016</v>
      </c>
      <c r="E574" s="282" t="s">
        <v>650</v>
      </c>
      <c r="F574" s="284">
        <v>40</v>
      </c>
      <c r="G574" s="285">
        <v>0</v>
      </c>
      <c r="H574" s="288">
        <v>0</v>
      </c>
      <c r="I574" s="285">
        <v>0</v>
      </c>
      <c r="J574" s="285">
        <v>27</v>
      </c>
      <c r="K574" s="284">
        <v>0</v>
      </c>
      <c r="L574" s="284">
        <v>0</v>
      </c>
      <c r="M574" s="284">
        <v>0</v>
      </c>
      <c r="N574" s="284">
        <v>31</v>
      </c>
      <c r="O574" s="284">
        <v>0</v>
      </c>
      <c r="P574" s="284">
        <v>62</v>
      </c>
      <c r="Q574" s="286">
        <v>36</v>
      </c>
      <c r="R574" s="274">
        <v>160</v>
      </c>
      <c r="S574" s="274">
        <v>36</v>
      </c>
      <c r="T574" s="287">
        <f t="shared" si="8"/>
        <v>2016</v>
      </c>
      <c r="U574" s="274">
        <f>VLOOKUP(A574,'[1]SB35 Determination Data'!$B$4:$F$542,5,FALSE)</f>
        <v>2014</v>
      </c>
    </row>
    <row r="575" spans="1:21" s="274" customFormat="1" ht="12.75" x14ac:dyDescent="0.2">
      <c r="A575" s="282" t="s">
        <v>437</v>
      </c>
      <c r="B575" s="282" t="s">
        <v>481</v>
      </c>
      <c r="C575" s="282" t="s">
        <v>649</v>
      </c>
      <c r="D575" s="283">
        <v>2017</v>
      </c>
      <c r="E575" s="282" t="s">
        <v>650</v>
      </c>
      <c r="F575" s="284">
        <v>40</v>
      </c>
      <c r="G575" s="285">
        <v>0</v>
      </c>
      <c r="H575" s="288">
        <v>0</v>
      </c>
      <c r="I575" s="285">
        <v>0</v>
      </c>
      <c r="J575" s="285">
        <v>27</v>
      </c>
      <c r="K575" s="284">
        <v>0</v>
      </c>
      <c r="L575" s="284">
        <v>0</v>
      </c>
      <c r="M575" s="284">
        <v>0</v>
      </c>
      <c r="N575" s="284">
        <v>31</v>
      </c>
      <c r="O575" s="284">
        <v>0</v>
      </c>
      <c r="P575" s="284">
        <v>62</v>
      </c>
      <c r="Q575" s="286">
        <v>24</v>
      </c>
      <c r="R575" s="274">
        <v>160</v>
      </c>
      <c r="S575" s="274">
        <v>24</v>
      </c>
      <c r="T575" s="287">
        <f t="shared" si="8"/>
        <v>2017</v>
      </c>
      <c r="U575" s="274">
        <f>VLOOKUP(A575,'[1]SB35 Determination Data'!$B$4:$F$542,5,FALSE)</f>
        <v>2014</v>
      </c>
    </row>
    <row r="576" spans="1:21" s="274" customFormat="1" ht="12.75" x14ac:dyDescent="0.2">
      <c r="A576" s="282" t="s">
        <v>439</v>
      </c>
      <c r="B576" s="282" t="s">
        <v>481</v>
      </c>
      <c r="C576" s="282" t="s">
        <v>649</v>
      </c>
      <c r="D576" s="283">
        <v>2014</v>
      </c>
      <c r="E576" s="282" t="s">
        <v>650</v>
      </c>
      <c r="F576" s="284">
        <v>714</v>
      </c>
      <c r="G576" s="285">
        <v>84</v>
      </c>
      <c r="H576" s="288">
        <v>84</v>
      </c>
      <c r="I576" s="285">
        <v>0</v>
      </c>
      <c r="J576" s="285">
        <v>487</v>
      </c>
      <c r="K576" s="284">
        <v>0</v>
      </c>
      <c r="L576" s="284">
        <v>0</v>
      </c>
      <c r="M576" s="284">
        <v>0</v>
      </c>
      <c r="N576" s="284">
        <v>553</v>
      </c>
      <c r="O576" s="284">
        <v>1</v>
      </c>
      <c r="P576" s="284">
        <v>1271</v>
      </c>
      <c r="Q576" s="286">
        <v>367</v>
      </c>
      <c r="R576" s="274">
        <v>3025</v>
      </c>
      <c r="S576" s="274">
        <v>452</v>
      </c>
      <c r="T576" s="287">
        <f t="shared" si="8"/>
        <v>2014</v>
      </c>
      <c r="U576" s="274">
        <f>VLOOKUP(A576,'[1]SB35 Determination Data'!$B$4:$F$542,5,FALSE)</f>
        <v>2014</v>
      </c>
    </row>
    <row r="577" spans="1:21" s="274" customFormat="1" ht="12.75" x14ac:dyDescent="0.2">
      <c r="A577" s="282" t="s">
        <v>439</v>
      </c>
      <c r="B577" s="282" t="s">
        <v>481</v>
      </c>
      <c r="C577" s="282" t="s">
        <v>649</v>
      </c>
      <c r="D577" s="283">
        <v>2015</v>
      </c>
      <c r="E577" s="282" t="s">
        <v>650</v>
      </c>
      <c r="F577" s="284">
        <v>714</v>
      </c>
      <c r="G577" s="285">
        <v>0</v>
      </c>
      <c r="H577" s="288">
        <v>0</v>
      </c>
      <c r="I577" s="285">
        <v>0</v>
      </c>
      <c r="J577" s="285">
        <v>487</v>
      </c>
      <c r="K577" s="284">
        <v>0</v>
      </c>
      <c r="L577" s="284">
        <v>0</v>
      </c>
      <c r="M577" s="284">
        <v>0</v>
      </c>
      <c r="N577" s="289">
        <v>553</v>
      </c>
      <c r="O577" s="284">
        <v>0</v>
      </c>
      <c r="P577" s="284">
        <v>1271</v>
      </c>
      <c r="Q577" s="286">
        <v>319</v>
      </c>
      <c r="R577" s="274">
        <v>3025</v>
      </c>
      <c r="S577" s="274">
        <v>319</v>
      </c>
      <c r="T577" s="287">
        <f t="shared" si="8"/>
        <v>2015</v>
      </c>
      <c r="U577" s="274">
        <f>VLOOKUP(A577,'[1]SB35 Determination Data'!$B$4:$F$542,5,FALSE)</f>
        <v>2014</v>
      </c>
    </row>
    <row r="578" spans="1:21" s="274" customFormat="1" ht="12.75" x14ac:dyDescent="0.2">
      <c r="A578" s="282" t="s">
        <v>439</v>
      </c>
      <c r="B578" s="282" t="s">
        <v>481</v>
      </c>
      <c r="C578" s="282" t="s">
        <v>649</v>
      </c>
      <c r="D578" s="283">
        <v>2016</v>
      </c>
      <c r="E578" s="282" t="s">
        <v>650</v>
      </c>
      <c r="F578" s="284">
        <v>714</v>
      </c>
      <c r="G578" s="285">
        <v>0</v>
      </c>
      <c r="H578" s="288">
        <v>0</v>
      </c>
      <c r="I578" s="285">
        <v>0</v>
      </c>
      <c r="J578" s="285">
        <v>487</v>
      </c>
      <c r="K578" s="284">
        <v>0</v>
      </c>
      <c r="L578" s="284">
        <v>0</v>
      </c>
      <c r="M578" s="284">
        <v>0</v>
      </c>
      <c r="N578" s="284">
        <v>553</v>
      </c>
      <c r="O578" s="284">
        <v>0</v>
      </c>
      <c r="P578" s="284">
        <v>1271</v>
      </c>
      <c r="Q578" s="286">
        <v>228</v>
      </c>
      <c r="R578" s="274">
        <v>3025</v>
      </c>
      <c r="S578" s="274">
        <v>228</v>
      </c>
      <c r="T578" s="287">
        <f t="shared" si="8"/>
        <v>2016</v>
      </c>
      <c r="U578" s="274">
        <f>VLOOKUP(A578,'[1]SB35 Determination Data'!$B$4:$F$542,5,FALSE)</f>
        <v>2014</v>
      </c>
    </row>
    <row r="579" spans="1:21" s="274" customFormat="1" ht="12.75" x14ac:dyDescent="0.2">
      <c r="A579" s="282" t="s">
        <v>439</v>
      </c>
      <c r="B579" s="282" t="s">
        <v>481</v>
      </c>
      <c r="C579" s="282" t="s">
        <v>649</v>
      </c>
      <c r="D579" s="283">
        <v>2017</v>
      </c>
      <c r="E579" s="282" t="s">
        <v>650</v>
      </c>
      <c r="F579" s="284">
        <v>714</v>
      </c>
      <c r="G579" s="285">
        <v>0</v>
      </c>
      <c r="H579" s="288">
        <v>0</v>
      </c>
      <c r="I579" s="285">
        <v>0</v>
      </c>
      <c r="J579" s="285">
        <v>487</v>
      </c>
      <c r="K579" s="284">
        <v>0</v>
      </c>
      <c r="L579" s="284">
        <v>0</v>
      </c>
      <c r="M579" s="284">
        <v>0</v>
      </c>
      <c r="N579" s="284">
        <v>553</v>
      </c>
      <c r="O579" s="284">
        <v>0</v>
      </c>
      <c r="P579" s="284">
        <v>1271</v>
      </c>
      <c r="Q579" s="286">
        <v>247</v>
      </c>
      <c r="R579" s="274">
        <v>3025</v>
      </c>
      <c r="S579" s="274">
        <v>247</v>
      </c>
      <c r="T579" s="287">
        <f t="shared" si="8"/>
        <v>2017</v>
      </c>
      <c r="U579" s="274">
        <f>VLOOKUP(A579,'[1]SB35 Determination Data'!$B$4:$F$542,5,FALSE)</f>
        <v>2014</v>
      </c>
    </row>
    <row r="580" spans="1:21" s="274" customFormat="1" ht="12.75" x14ac:dyDescent="0.2">
      <c r="A580" s="282" t="s">
        <v>441</v>
      </c>
      <c r="B580" s="282" t="s">
        <v>262</v>
      </c>
      <c r="C580" s="282" t="s">
        <v>649</v>
      </c>
      <c r="D580" s="283">
        <v>2017</v>
      </c>
      <c r="E580" s="282" t="s">
        <v>650</v>
      </c>
      <c r="F580" s="284">
        <v>0</v>
      </c>
      <c r="G580" s="285">
        <v>0</v>
      </c>
      <c r="H580" s="288">
        <v>0</v>
      </c>
      <c r="I580" s="285">
        <v>0</v>
      </c>
      <c r="J580" s="285">
        <v>0</v>
      </c>
      <c r="K580" s="284">
        <v>0</v>
      </c>
      <c r="L580" s="284">
        <v>0</v>
      </c>
      <c r="M580" s="284">
        <v>0</v>
      </c>
      <c r="N580" s="284">
        <v>0</v>
      </c>
      <c r="O580" s="284">
        <v>0</v>
      </c>
      <c r="P580" s="284">
        <v>0</v>
      </c>
      <c r="Q580" s="286">
        <v>0</v>
      </c>
      <c r="R580" s="274">
        <v>0</v>
      </c>
      <c r="S580" s="274">
        <v>0</v>
      </c>
      <c r="T580" s="287">
        <f t="shared" ref="T580:T643" si="9">IF(D580&gt;U580,D580,U580)</f>
        <v>2017</v>
      </c>
      <c r="U580" s="274">
        <f>VLOOKUP(A580,'[1]SB35 Determination Data'!$B$4:$F$542,5,FALSE)</f>
        <v>2014</v>
      </c>
    </row>
    <row r="581" spans="1:21" s="274" customFormat="1" ht="12.75" x14ac:dyDescent="0.2">
      <c r="A581" s="282" t="s">
        <v>443</v>
      </c>
      <c r="B581" s="282" t="s">
        <v>262</v>
      </c>
      <c r="C581" s="282" t="s">
        <v>649</v>
      </c>
      <c r="D581" s="283">
        <v>2014</v>
      </c>
      <c r="E581" s="282" t="s">
        <v>650</v>
      </c>
      <c r="F581" s="284">
        <v>250</v>
      </c>
      <c r="G581" s="285">
        <v>0</v>
      </c>
      <c r="H581" s="288">
        <v>0</v>
      </c>
      <c r="I581" s="285">
        <v>0</v>
      </c>
      <c r="J581" s="285">
        <v>150</v>
      </c>
      <c r="K581" s="284">
        <v>0</v>
      </c>
      <c r="L581" s="284">
        <v>0</v>
      </c>
      <c r="M581" s="284">
        <v>0</v>
      </c>
      <c r="N581" s="284">
        <v>167</v>
      </c>
      <c r="O581" s="284">
        <v>0</v>
      </c>
      <c r="P581" s="284">
        <v>446</v>
      </c>
      <c r="Q581" s="286">
        <v>3</v>
      </c>
      <c r="R581" s="274">
        <v>1013</v>
      </c>
      <c r="S581" s="274">
        <v>3</v>
      </c>
      <c r="T581" s="287">
        <f t="shared" si="9"/>
        <v>2014</v>
      </c>
      <c r="U581" s="274">
        <f>VLOOKUP(A581,'[1]SB35 Determination Data'!$B$4:$F$542,5,FALSE)</f>
        <v>2014</v>
      </c>
    </row>
    <row r="582" spans="1:21" s="274" customFormat="1" ht="12.75" x14ac:dyDescent="0.2">
      <c r="A582" s="282" t="s">
        <v>443</v>
      </c>
      <c r="B582" s="282" t="s">
        <v>262</v>
      </c>
      <c r="C582" s="282" t="s">
        <v>649</v>
      </c>
      <c r="D582" s="283">
        <v>2015</v>
      </c>
      <c r="E582" s="282" t="s">
        <v>650</v>
      </c>
      <c r="F582" s="284">
        <v>250</v>
      </c>
      <c r="G582" s="285">
        <v>0</v>
      </c>
      <c r="H582" s="288">
        <v>0</v>
      </c>
      <c r="I582" s="285">
        <v>0</v>
      </c>
      <c r="J582" s="285">
        <v>150</v>
      </c>
      <c r="K582" s="284">
        <v>0</v>
      </c>
      <c r="L582" s="284">
        <v>0</v>
      </c>
      <c r="M582" s="284">
        <v>0</v>
      </c>
      <c r="N582" s="284">
        <v>167</v>
      </c>
      <c r="O582" s="284">
        <v>0</v>
      </c>
      <c r="P582" s="284">
        <v>446</v>
      </c>
      <c r="Q582" s="286">
        <v>5</v>
      </c>
      <c r="R582" s="274">
        <v>1013</v>
      </c>
      <c r="S582" s="274">
        <v>5</v>
      </c>
      <c r="T582" s="287">
        <f t="shared" si="9"/>
        <v>2015</v>
      </c>
      <c r="U582" s="274">
        <f>VLOOKUP(A582,'[1]SB35 Determination Data'!$B$4:$F$542,5,FALSE)</f>
        <v>2014</v>
      </c>
    </row>
    <row r="583" spans="1:21" s="274" customFormat="1" ht="12.75" x14ac:dyDescent="0.2">
      <c r="A583" s="282" t="s">
        <v>443</v>
      </c>
      <c r="B583" s="282" t="s">
        <v>262</v>
      </c>
      <c r="C583" s="282" t="s">
        <v>649</v>
      </c>
      <c r="D583" s="283">
        <v>2016</v>
      </c>
      <c r="E583" s="282" t="s">
        <v>650</v>
      </c>
      <c r="F583" s="284">
        <v>250</v>
      </c>
      <c r="G583" s="285">
        <v>0</v>
      </c>
      <c r="H583" s="288">
        <v>0</v>
      </c>
      <c r="I583" s="285">
        <v>0</v>
      </c>
      <c r="J583" s="285">
        <v>150</v>
      </c>
      <c r="K583" s="284">
        <v>0</v>
      </c>
      <c r="L583" s="284">
        <v>0</v>
      </c>
      <c r="M583" s="284">
        <v>0</v>
      </c>
      <c r="N583" s="284">
        <v>167</v>
      </c>
      <c r="O583" s="284">
        <v>0</v>
      </c>
      <c r="P583" s="284">
        <v>446</v>
      </c>
      <c r="Q583" s="286">
        <v>12</v>
      </c>
      <c r="R583" s="274">
        <v>1013</v>
      </c>
      <c r="S583" s="274">
        <v>12</v>
      </c>
      <c r="T583" s="287">
        <f t="shared" si="9"/>
        <v>2016</v>
      </c>
      <c r="U583" s="274">
        <f>VLOOKUP(A583,'[1]SB35 Determination Data'!$B$4:$F$542,5,FALSE)</f>
        <v>2014</v>
      </c>
    </row>
    <row r="584" spans="1:21" s="274" customFormat="1" ht="12.75" x14ac:dyDescent="0.2">
      <c r="A584" s="282" t="s">
        <v>443</v>
      </c>
      <c r="B584" s="282" t="s">
        <v>262</v>
      </c>
      <c r="C584" s="282" t="s">
        <v>649</v>
      </c>
      <c r="D584" s="283">
        <v>2017</v>
      </c>
      <c r="E584" s="282" t="s">
        <v>650</v>
      </c>
      <c r="F584" s="284">
        <v>250</v>
      </c>
      <c r="G584" s="285">
        <v>39</v>
      </c>
      <c r="H584" s="288">
        <v>39</v>
      </c>
      <c r="I584" s="285">
        <v>0</v>
      </c>
      <c r="J584" s="285">
        <v>150</v>
      </c>
      <c r="K584" s="284">
        <v>1</v>
      </c>
      <c r="L584" s="284">
        <v>1</v>
      </c>
      <c r="M584" s="284">
        <v>0</v>
      </c>
      <c r="N584" s="284">
        <v>167</v>
      </c>
      <c r="O584" s="284">
        <v>0</v>
      </c>
      <c r="P584" s="284">
        <v>446</v>
      </c>
      <c r="Q584" s="286">
        <v>13</v>
      </c>
      <c r="R584" s="274">
        <v>1013</v>
      </c>
      <c r="S584" s="274">
        <v>53</v>
      </c>
      <c r="T584" s="287">
        <f t="shared" si="9"/>
        <v>2017</v>
      </c>
      <c r="U584" s="274">
        <f>VLOOKUP(A584,'[1]SB35 Determination Data'!$B$4:$F$542,5,FALSE)</f>
        <v>2014</v>
      </c>
    </row>
    <row r="585" spans="1:21" s="274" customFormat="1" ht="12.75" x14ac:dyDescent="0.2">
      <c r="A585" s="282" t="s">
        <v>432</v>
      </c>
      <c r="B585" s="282" t="s">
        <v>204</v>
      </c>
      <c r="C585" s="282" t="s">
        <v>660</v>
      </c>
      <c r="D585" s="283">
        <v>2014</v>
      </c>
      <c r="E585" s="282" t="s">
        <v>650</v>
      </c>
      <c r="F585" s="284">
        <v>35</v>
      </c>
      <c r="G585" s="285">
        <v>0</v>
      </c>
      <c r="H585" s="288">
        <v>0</v>
      </c>
      <c r="I585" s="285">
        <v>0</v>
      </c>
      <c r="J585" s="285">
        <v>25</v>
      </c>
      <c r="K585" s="284">
        <v>0</v>
      </c>
      <c r="L585" s="284">
        <v>0</v>
      </c>
      <c r="M585" s="284">
        <v>0</v>
      </c>
      <c r="N585" s="284">
        <v>28</v>
      </c>
      <c r="O585" s="284">
        <v>0</v>
      </c>
      <c r="P585" s="284">
        <v>72</v>
      </c>
      <c r="Q585" s="286">
        <v>3</v>
      </c>
      <c r="R585" s="274">
        <v>160</v>
      </c>
      <c r="S585" s="274">
        <v>3</v>
      </c>
      <c r="T585" s="287">
        <f t="shared" si="9"/>
        <v>2014</v>
      </c>
      <c r="U585" s="274">
        <f>VLOOKUP(A585,'[1]SB35 Determination Data'!$B$4:$F$542,5,FALSE)</f>
        <v>2014</v>
      </c>
    </row>
    <row r="586" spans="1:21" s="274" customFormat="1" ht="12.75" x14ac:dyDescent="0.2">
      <c r="A586" s="282" t="s">
        <v>432</v>
      </c>
      <c r="B586" s="282" t="s">
        <v>204</v>
      </c>
      <c r="C586" s="282" t="s">
        <v>660</v>
      </c>
      <c r="D586" s="283">
        <v>2015</v>
      </c>
      <c r="E586" s="282" t="s">
        <v>650</v>
      </c>
      <c r="F586" s="284">
        <v>35</v>
      </c>
      <c r="G586" s="285">
        <v>0</v>
      </c>
      <c r="H586" s="288">
        <v>0</v>
      </c>
      <c r="I586" s="285">
        <v>0</v>
      </c>
      <c r="J586" s="285">
        <v>25</v>
      </c>
      <c r="K586" s="284">
        <v>0</v>
      </c>
      <c r="L586" s="284">
        <v>0</v>
      </c>
      <c r="M586" s="284">
        <v>0</v>
      </c>
      <c r="N586" s="284">
        <v>28</v>
      </c>
      <c r="O586" s="284">
        <v>0</v>
      </c>
      <c r="P586" s="284">
        <v>72</v>
      </c>
      <c r="Q586" s="286">
        <v>2</v>
      </c>
      <c r="R586" s="274">
        <v>160</v>
      </c>
      <c r="S586" s="274">
        <v>2</v>
      </c>
      <c r="T586" s="287">
        <f t="shared" si="9"/>
        <v>2015</v>
      </c>
      <c r="U586" s="274">
        <f>VLOOKUP(A586,'[1]SB35 Determination Data'!$B$4:$F$542,5,FALSE)</f>
        <v>2014</v>
      </c>
    </row>
    <row r="587" spans="1:21" s="274" customFormat="1" ht="12.75" x14ac:dyDescent="0.2">
      <c r="A587" s="282" t="s">
        <v>432</v>
      </c>
      <c r="B587" s="282" t="s">
        <v>204</v>
      </c>
      <c r="C587" s="282" t="s">
        <v>660</v>
      </c>
      <c r="D587" s="283">
        <v>2016</v>
      </c>
      <c r="E587" s="282" t="s">
        <v>650</v>
      </c>
      <c r="F587" s="284">
        <v>35</v>
      </c>
      <c r="G587" s="285">
        <v>0</v>
      </c>
      <c r="H587" s="288">
        <v>0</v>
      </c>
      <c r="I587" s="285">
        <v>0</v>
      </c>
      <c r="J587" s="285">
        <v>25</v>
      </c>
      <c r="K587" s="284">
        <v>0</v>
      </c>
      <c r="L587" s="284">
        <v>0</v>
      </c>
      <c r="M587" s="284">
        <v>0</v>
      </c>
      <c r="N587" s="284">
        <v>28</v>
      </c>
      <c r="O587" s="284">
        <v>0</v>
      </c>
      <c r="P587" s="284">
        <v>72</v>
      </c>
      <c r="Q587" s="286">
        <v>9</v>
      </c>
      <c r="R587" s="274">
        <v>160</v>
      </c>
      <c r="S587" s="274">
        <v>9</v>
      </c>
      <c r="T587" s="287">
        <f t="shared" si="9"/>
        <v>2016</v>
      </c>
      <c r="U587" s="274">
        <f>VLOOKUP(A587,'[1]SB35 Determination Data'!$B$4:$F$542,5,FALSE)</f>
        <v>2014</v>
      </c>
    </row>
    <row r="588" spans="1:21" s="274" customFormat="1" ht="12.75" x14ac:dyDescent="0.2">
      <c r="A588" s="282" t="s">
        <v>432</v>
      </c>
      <c r="B588" s="282" t="s">
        <v>204</v>
      </c>
      <c r="C588" s="282" t="s">
        <v>660</v>
      </c>
      <c r="D588" s="283">
        <v>2017</v>
      </c>
      <c r="E588" s="282" t="s">
        <v>650</v>
      </c>
      <c r="F588" s="284">
        <v>35</v>
      </c>
      <c r="G588" s="285">
        <v>0</v>
      </c>
      <c r="H588" s="288">
        <v>0</v>
      </c>
      <c r="I588" s="285">
        <v>0</v>
      </c>
      <c r="J588" s="285">
        <v>25</v>
      </c>
      <c r="K588" s="284">
        <v>0</v>
      </c>
      <c r="L588" s="284">
        <v>0</v>
      </c>
      <c r="M588" s="284">
        <v>0</v>
      </c>
      <c r="N588" s="284">
        <v>28</v>
      </c>
      <c r="O588" s="284">
        <v>0</v>
      </c>
      <c r="P588" s="284">
        <v>72</v>
      </c>
      <c r="Q588" s="286">
        <v>7</v>
      </c>
      <c r="R588" s="274">
        <v>160</v>
      </c>
      <c r="S588" s="274">
        <v>7</v>
      </c>
      <c r="T588" s="287">
        <f t="shared" si="9"/>
        <v>2017</v>
      </c>
      <c r="U588" s="274">
        <f>VLOOKUP(A588,'[1]SB35 Determination Data'!$B$4:$F$542,5,FALSE)</f>
        <v>2014</v>
      </c>
    </row>
    <row r="589" spans="1:21" s="274" customFormat="1" ht="12.75" x14ac:dyDescent="0.2">
      <c r="A589" s="282" t="s">
        <v>217</v>
      </c>
      <c r="B589" s="282" t="s">
        <v>90</v>
      </c>
      <c r="C589" s="282" t="s">
        <v>660</v>
      </c>
      <c r="D589" s="283">
        <v>2016</v>
      </c>
      <c r="E589" s="282" t="s">
        <v>650</v>
      </c>
      <c r="F589" s="284">
        <v>3</v>
      </c>
      <c r="G589" s="285">
        <v>0</v>
      </c>
      <c r="H589" s="288">
        <v>0</v>
      </c>
      <c r="I589" s="285">
        <v>0</v>
      </c>
      <c r="J589" s="285">
        <v>3</v>
      </c>
      <c r="K589" s="284">
        <v>0</v>
      </c>
      <c r="L589" s="284">
        <v>0</v>
      </c>
      <c r="M589" s="284">
        <v>0</v>
      </c>
      <c r="N589" s="284">
        <v>3</v>
      </c>
      <c r="O589" s="284">
        <v>0</v>
      </c>
      <c r="P589" s="284">
        <v>7</v>
      </c>
      <c r="Q589" s="286">
        <v>3</v>
      </c>
      <c r="R589" s="274">
        <v>16</v>
      </c>
      <c r="S589" s="274">
        <v>3</v>
      </c>
      <c r="T589" s="287">
        <f t="shared" si="9"/>
        <v>2016</v>
      </c>
      <c r="U589" s="274">
        <f>VLOOKUP(A589,'[1]SB35 Determination Data'!$B$4:$F$542,5,FALSE)</f>
        <v>2014</v>
      </c>
    </row>
    <row r="590" spans="1:21" s="274" customFormat="1" ht="12.75" x14ac:dyDescent="0.2">
      <c r="A590" s="282" t="s">
        <v>217</v>
      </c>
      <c r="B590" s="282" t="s">
        <v>90</v>
      </c>
      <c r="C590" s="282" t="s">
        <v>660</v>
      </c>
      <c r="D590" s="283">
        <v>2017</v>
      </c>
      <c r="E590" s="282" t="s">
        <v>650</v>
      </c>
      <c r="F590" s="284">
        <v>3</v>
      </c>
      <c r="G590" s="285">
        <v>0</v>
      </c>
      <c r="H590" s="288">
        <v>0</v>
      </c>
      <c r="I590" s="285">
        <v>0</v>
      </c>
      <c r="J590" s="285">
        <v>3</v>
      </c>
      <c r="K590" s="284">
        <v>0</v>
      </c>
      <c r="L590" s="284">
        <v>0</v>
      </c>
      <c r="M590" s="284">
        <v>0</v>
      </c>
      <c r="N590" s="284">
        <v>3</v>
      </c>
      <c r="O590" s="284">
        <v>1</v>
      </c>
      <c r="P590" s="284">
        <v>7</v>
      </c>
      <c r="Q590" s="286">
        <v>31</v>
      </c>
      <c r="R590" s="274">
        <v>16</v>
      </c>
      <c r="S590" s="274">
        <v>32</v>
      </c>
      <c r="T590" s="287">
        <f t="shared" si="9"/>
        <v>2017</v>
      </c>
      <c r="U590" s="274">
        <f>VLOOKUP(A590,'[1]SB35 Determination Data'!$B$4:$F$542,5,FALSE)</f>
        <v>2014</v>
      </c>
    </row>
    <row r="591" spans="1:21" s="274" customFormat="1" ht="12.75" x14ac:dyDescent="0.2">
      <c r="A591" s="282" t="s">
        <v>445</v>
      </c>
      <c r="B591" s="282" t="s">
        <v>436</v>
      </c>
      <c r="C591" s="282" t="s">
        <v>649</v>
      </c>
      <c r="D591" s="283">
        <v>2014</v>
      </c>
      <c r="E591" s="282" t="s">
        <v>650</v>
      </c>
      <c r="F591" s="284">
        <v>2817</v>
      </c>
      <c r="G591" s="285">
        <v>137</v>
      </c>
      <c r="H591" s="288">
        <v>137</v>
      </c>
      <c r="I591" s="285">
        <v>0</v>
      </c>
      <c r="J591" s="285">
        <v>2034</v>
      </c>
      <c r="K591" s="284">
        <v>0</v>
      </c>
      <c r="L591" s="284">
        <v>0</v>
      </c>
      <c r="M591" s="284">
        <v>0</v>
      </c>
      <c r="N591" s="284">
        <v>2239</v>
      </c>
      <c r="O591" s="284">
        <v>1702</v>
      </c>
      <c r="P591" s="284">
        <v>5059</v>
      </c>
      <c r="Q591" s="286">
        <v>1654</v>
      </c>
      <c r="R591" s="274">
        <v>12149</v>
      </c>
      <c r="S591" s="274">
        <v>3493</v>
      </c>
      <c r="T591" s="287">
        <f t="shared" si="9"/>
        <v>2014</v>
      </c>
      <c r="U591" s="274">
        <f>VLOOKUP(A591,'[1]SB35 Determination Data'!$B$4:$F$542,5,FALSE)</f>
        <v>2014</v>
      </c>
    </row>
    <row r="592" spans="1:21" s="274" customFormat="1" ht="12.75" x14ac:dyDescent="0.2">
      <c r="A592" s="282" t="s">
        <v>445</v>
      </c>
      <c r="B592" s="282" t="s">
        <v>436</v>
      </c>
      <c r="C592" s="282" t="s">
        <v>649</v>
      </c>
      <c r="D592" s="283">
        <v>2015</v>
      </c>
      <c r="E592" s="282" t="s">
        <v>650</v>
      </c>
      <c r="F592" s="284">
        <v>2817</v>
      </c>
      <c r="G592" s="285">
        <v>22</v>
      </c>
      <c r="H592" s="288">
        <v>22</v>
      </c>
      <c r="I592" s="285">
        <v>0</v>
      </c>
      <c r="J592" s="285">
        <v>2034</v>
      </c>
      <c r="K592" s="284">
        <v>1</v>
      </c>
      <c r="L592" s="284">
        <v>1</v>
      </c>
      <c r="M592" s="284">
        <v>0</v>
      </c>
      <c r="N592" s="284">
        <v>2239</v>
      </c>
      <c r="O592" s="284">
        <v>4531</v>
      </c>
      <c r="P592" s="284">
        <v>5059</v>
      </c>
      <c r="Q592" s="286">
        <v>1645</v>
      </c>
      <c r="R592" s="274">
        <v>12149</v>
      </c>
      <c r="S592" s="274">
        <v>6199</v>
      </c>
      <c r="T592" s="287">
        <f t="shared" si="9"/>
        <v>2015</v>
      </c>
      <c r="U592" s="274">
        <f>VLOOKUP(A592,'[1]SB35 Determination Data'!$B$4:$F$542,5,FALSE)</f>
        <v>2014</v>
      </c>
    </row>
    <row r="593" spans="1:21" s="274" customFormat="1" ht="12.75" x14ac:dyDescent="0.2">
      <c r="A593" s="282" t="s">
        <v>445</v>
      </c>
      <c r="B593" s="282" t="s">
        <v>436</v>
      </c>
      <c r="C593" s="282" t="s">
        <v>649</v>
      </c>
      <c r="D593" s="283">
        <v>2016</v>
      </c>
      <c r="E593" s="282" t="s">
        <v>650</v>
      </c>
      <c r="F593" s="284">
        <v>2817</v>
      </c>
      <c r="G593" s="285">
        <v>724</v>
      </c>
      <c r="H593" s="288">
        <v>724</v>
      </c>
      <c r="I593" s="285">
        <v>0</v>
      </c>
      <c r="J593" s="285">
        <v>2034</v>
      </c>
      <c r="K593" s="284">
        <v>2</v>
      </c>
      <c r="L593" s="284">
        <v>2</v>
      </c>
      <c r="M593" s="284">
        <v>0</v>
      </c>
      <c r="N593" s="284">
        <v>2239</v>
      </c>
      <c r="O593" s="284">
        <v>4582</v>
      </c>
      <c r="P593" s="284">
        <v>5059</v>
      </c>
      <c r="Q593" s="286">
        <v>2987</v>
      </c>
      <c r="R593" s="274">
        <v>12149</v>
      </c>
      <c r="S593" s="274">
        <v>8295</v>
      </c>
      <c r="T593" s="287">
        <f t="shared" si="9"/>
        <v>2016</v>
      </c>
      <c r="U593" s="274">
        <f>VLOOKUP(A593,'[1]SB35 Determination Data'!$B$4:$F$542,5,FALSE)</f>
        <v>2014</v>
      </c>
    </row>
    <row r="594" spans="1:21" s="274" customFormat="1" ht="12.75" x14ac:dyDescent="0.2">
      <c r="A594" s="282" t="s">
        <v>445</v>
      </c>
      <c r="B594" s="282" t="s">
        <v>436</v>
      </c>
      <c r="C594" s="282" t="s">
        <v>649</v>
      </c>
      <c r="D594" s="283">
        <v>2017</v>
      </c>
      <c r="E594" s="282" t="s">
        <v>650</v>
      </c>
      <c r="F594" s="284">
        <v>2817</v>
      </c>
      <c r="G594" s="285">
        <v>24</v>
      </c>
      <c r="H594" s="288">
        <v>24</v>
      </c>
      <c r="I594" s="285">
        <v>0</v>
      </c>
      <c r="J594" s="285">
        <v>2034</v>
      </c>
      <c r="K594" s="284">
        <v>0</v>
      </c>
      <c r="L594" s="284">
        <v>0</v>
      </c>
      <c r="M594" s="284">
        <v>0</v>
      </c>
      <c r="N594" s="284">
        <v>2239</v>
      </c>
      <c r="O594" s="284">
        <v>2158</v>
      </c>
      <c r="P594" s="284">
        <v>5059</v>
      </c>
      <c r="Q594" s="286">
        <v>2396</v>
      </c>
      <c r="R594" s="274">
        <v>12149</v>
      </c>
      <c r="S594" s="274">
        <v>4578</v>
      </c>
      <c r="T594" s="287">
        <f t="shared" si="9"/>
        <v>2017</v>
      </c>
      <c r="U594" s="274">
        <f>VLOOKUP(A594,'[1]SB35 Determination Data'!$B$4:$F$542,5,FALSE)</f>
        <v>2014</v>
      </c>
    </row>
    <row r="595" spans="1:21" s="274" customFormat="1" ht="12.75" x14ac:dyDescent="0.2">
      <c r="A595" s="282" t="s">
        <v>446</v>
      </c>
      <c r="B595" s="282" t="s">
        <v>262</v>
      </c>
      <c r="C595" s="282" t="s">
        <v>649</v>
      </c>
      <c r="D595" s="283">
        <v>2017</v>
      </c>
      <c r="E595" s="282" t="s">
        <v>650</v>
      </c>
      <c r="F595" s="284">
        <v>4</v>
      </c>
      <c r="G595" s="285">
        <v>3</v>
      </c>
      <c r="H595" s="288">
        <v>3</v>
      </c>
      <c r="I595" s="285">
        <v>0</v>
      </c>
      <c r="J595" s="285">
        <v>2</v>
      </c>
      <c r="K595" s="284">
        <v>2</v>
      </c>
      <c r="L595" s="284">
        <v>2</v>
      </c>
      <c r="M595" s="284">
        <v>0</v>
      </c>
      <c r="N595" s="284">
        <v>2</v>
      </c>
      <c r="O595" s="284">
        <v>4</v>
      </c>
      <c r="P595" s="284">
        <v>7</v>
      </c>
      <c r="Q595" s="286">
        <v>0</v>
      </c>
      <c r="R595" s="274">
        <v>15</v>
      </c>
      <c r="S595" s="274">
        <v>9</v>
      </c>
      <c r="T595" s="287">
        <f t="shared" si="9"/>
        <v>2017</v>
      </c>
      <c r="U595" s="274">
        <f>VLOOKUP(A595,'[1]SB35 Determination Data'!$B$4:$F$542,5,FALSE)</f>
        <v>2014</v>
      </c>
    </row>
    <row r="596" spans="1:21" s="274" customFormat="1" ht="12.75" x14ac:dyDescent="0.2">
      <c r="A596" s="282" t="s">
        <v>219</v>
      </c>
      <c r="B596" s="282" t="s">
        <v>90</v>
      </c>
      <c r="C596" s="282" t="s">
        <v>660</v>
      </c>
      <c r="D596" s="283">
        <v>2014</v>
      </c>
      <c r="E596" s="282" t="s">
        <v>650</v>
      </c>
      <c r="F596" s="284">
        <v>4</v>
      </c>
      <c r="G596" s="285">
        <v>0</v>
      </c>
      <c r="H596" s="288">
        <v>0</v>
      </c>
      <c r="I596" s="285">
        <v>0</v>
      </c>
      <c r="J596" s="285">
        <v>3</v>
      </c>
      <c r="K596" s="284">
        <v>0</v>
      </c>
      <c r="L596" s="284">
        <v>0</v>
      </c>
      <c r="M596" s="284">
        <v>0</v>
      </c>
      <c r="N596" s="284">
        <v>4</v>
      </c>
      <c r="O596" s="284">
        <v>1</v>
      </c>
      <c r="P596" s="284">
        <v>8</v>
      </c>
      <c r="Q596" s="286">
        <v>0</v>
      </c>
      <c r="R596" s="274">
        <v>19</v>
      </c>
      <c r="S596" s="274">
        <v>1</v>
      </c>
      <c r="T596" s="287">
        <f t="shared" si="9"/>
        <v>2014</v>
      </c>
      <c r="U596" s="274">
        <f>VLOOKUP(A596,'[1]SB35 Determination Data'!$B$4:$F$542,5,FALSE)</f>
        <v>2014</v>
      </c>
    </row>
    <row r="597" spans="1:21" s="274" customFormat="1" ht="12.75" x14ac:dyDescent="0.2">
      <c r="A597" s="282" t="s">
        <v>219</v>
      </c>
      <c r="B597" s="282" t="s">
        <v>90</v>
      </c>
      <c r="C597" s="282" t="s">
        <v>660</v>
      </c>
      <c r="D597" s="283">
        <v>2015</v>
      </c>
      <c r="E597" s="282" t="s">
        <v>650</v>
      </c>
      <c r="F597" s="284">
        <v>4</v>
      </c>
      <c r="G597" s="285">
        <v>0</v>
      </c>
      <c r="H597" s="288">
        <v>0</v>
      </c>
      <c r="I597" s="285">
        <v>0</v>
      </c>
      <c r="J597" s="285">
        <v>3</v>
      </c>
      <c r="K597" s="284">
        <v>0</v>
      </c>
      <c r="L597" s="284">
        <v>0</v>
      </c>
      <c r="M597" s="284">
        <v>0</v>
      </c>
      <c r="N597" s="289">
        <v>4</v>
      </c>
      <c r="O597" s="284">
        <v>11</v>
      </c>
      <c r="P597" s="284">
        <v>8</v>
      </c>
      <c r="Q597" s="286">
        <v>0</v>
      </c>
      <c r="R597" s="274">
        <v>19</v>
      </c>
      <c r="S597" s="274">
        <v>11</v>
      </c>
      <c r="T597" s="287">
        <f t="shared" si="9"/>
        <v>2015</v>
      </c>
      <c r="U597" s="274">
        <f>VLOOKUP(A597,'[1]SB35 Determination Data'!$B$4:$F$542,5,FALSE)</f>
        <v>2014</v>
      </c>
    </row>
    <row r="598" spans="1:21" s="274" customFormat="1" ht="12.75" x14ac:dyDescent="0.2">
      <c r="A598" s="282" t="s">
        <v>219</v>
      </c>
      <c r="B598" s="282" t="s">
        <v>90</v>
      </c>
      <c r="C598" s="282" t="s">
        <v>660</v>
      </c>
      <c r="D598" s="283">
        <v>2016</v>
      </c>
      <c r="E598" s="282" t="s">
        <v>650</v>
      </c>
      <c r="F598" s="284">
        <v>4</v>
      </c>
      <c r="G598" s="285">
        <v>0</v>
      </c>
      <c r="H598" s="288">
        <v>0</v>
      </c>
      <c r="I598" s="285">
        <v>0</v>
      </c>
      <c r="J598" s="285">
        <v>3</v>
      </c>
      <c r="K598" s="284">
        <v>0</v>
      </c>
      <c r="L598" s="284">
        <v>0</v>
      </c>
      <c r="M598" s="284">
        <v>0</v>
      </c>
      <c r="N598" s="284">
        <v>4</v>
      </c>
      <c r="O598" s="284">
        <v>4</v>
      </c>
      <c r="P598" s="284">
        <v>8</v>
      </c>
      <c r="Q598" s="286">
        <v>0</v>
      </c>
      <c r="R598" s="274">
        <v>19</v>
      </c>
      <c r="S598" s="274">
        <v>4</v>
      </c>
      <c r="T598" s="287">
        <f t="shared" si="9"/>
        <v>2016</v>
      </c>
      <c r="U598" s="274">
        <f>VLOOKUP(A598,'[1]SB35 Determination Data'!$B$4:$F$542,5,FALSE)</f>
        <v>2014</v>
      </c>
    </row>
    <row r="599" spans="1:21" s="274" customFormat="1" ht="12.75" x14ac:dyDescent="0.2">
      <c r="A599" s="282" t="s">
        <v>219</v>
      </c>
      <c r="B599" s="282" t="s">
        <v>90</v>
      </c>
      <c r="C599" s="282" t="s">
        <v>660</v>
      </c>
      <c r="D599" s="283">
        <v>2017</v>
      </c>
      <c r="E599" s="282" t="s">
        <v>650</v>
      </c>
      <c r="F599" s="284">
        <v>4</v>
      </c>
      <c r="G599" s="285">
        <v>0</v>
      </c>
      <c r="H599" s="288">
        <v>0</v>
      </c>
      <c r="I599" s="285">
        <v>0</v>
      </c>
      <c r="J599" s="285">
        <v>3</v>
      </c>
      <c r="K599" s="284">
        <v>0</v>
      </c>
      <c r="L599" s="284">
        <v>0</v>
      </c>
      <c r="M599" s="284">
        <v>0</v>
      </c>
      <c r="N599" s="284">
        <v>4</v>
      </c>
      <c r="O599" s="284">
        <v>13</v>
      </c>
      <c r="P599" s="284">
        <v>8</v>
      </c>
      <c r="Q599" s="286">
        <v>0</v>
      </c>
      <c r="R599" s="274">
        <v>19</v>
      </c>
      <c r="S599" s="274">
        <v>13</v>
      </c>
      <c r="T599" s="287">
        <f t="shared" si="9"/>
        <v>2017</v>
      </c>
      <c r="U599" s="274">
        <f>VLOOKUP(A599,'[1]SB35 Determination Data'!$B$4:$F$542,5,FALSE)</f>
        <v>2014</v>
      </c>
    </row>
    <row r="600" spans="1:21" s="274" customFormat="1" ht="12.75" x14ac:dyDescent="0.2">
      <c r="A600" s="282" t="s">
        <v>363</v>
      </c>
      <c r="B600" s="282" t="s">
        <v>125</v>
      </c>
      <c r="C600" s="282" t="s">
        <v>531</v>
      </c>
      <c r="D600" s="283">
        <v>2017</v>
      </c>
      <c r="E600" s="282" t="s">
        <v>650</v>
      </c>
      <c r="F600" s="284">
        <v>238</v>
      </c>
      <c r="G600" s="285">
        <v>0</v>
      </c>
      <c r="H600" s="288">
        <v>0</v>
      </c>
      <c r="I600" s="285">
        <v>0</v>
      </c>
      <c r="J600" s="285">
        <v>211</v>
      </c>
      <c r="K600" s="284">
        <v>5</v>
      </c>
      <c r="L600" s="284">
        <v>5</v>
      </c>
      <c r="M600" s="284">
        <v>0</v>
      </c>
      <c r="N600" s="284">
        <v>202</v>
      </c>
      <c r="O600" s="284">
        <v>34</v>
      </c>
      <c r="P600" s="284">
        <v>258</v>
      </c>
      <c r="Q600" s="286">
        <v>9</v>
      </c>
      <c r="R600" s="274">
        <v>909</v>
      </c>
      <c r="S600" s="274">
        <v>48</v>
      </c>
      <c r="T600" s="287">
        <f t="shared" si="9"/>
        <v>2017</v>
      </c>
      <c r="U600" s="274">
        <f>VLOOKUP(A600,'[1]SB35 Determination Data'!$B$4:$F$542,5,FALSE)</f>
        <v>2016</v>
      </c>
    </row>
    <row r="601" spans="1:21" s="274" customFormat="1" ht="12.75" x14ac:dyDescent="0.2">
      <c r="A601" s="282" t="s">
        <v>438</v>
      </c>
      <c r="B601" s="282" t="s">
        <v>220</v>
      </c>
      <c r="C601" s="282" t="s">
        <v>531</v>
      </c>
      <c r="D601" s="283">
        <v>2015</v>
      </c>
      <c r="E601" s="282" t="s">
        <v>650</v>
      </c>
      <c r="F601" s="284">
        <v>4888</v>
      </c>
      <c r="G601" s="285">
        <v>0</v>
      </c>
      <c r="H601" s="288">
        <v>0</v>
      </c>
      <c r="I601" s="285">
        <v>0</v>
      </c>
      <c r="J601" s="285">
        <v>3107</v>
      </c>
      <c r="K601" s="284">
        <v>0</v>
      </c>
      <c r="L601" s="284">
        <v>0</v>
      </c>
      <c r="M601" s="284">
        <v>0</v>
      </c>
      <c r="N601" s="284">
        <v>3126</v>
      </c>
      <c r="O601" s="284">
        <v>0</v>
      </c>
      <c r="P601" s="284">
        <v>10462</v>
      </c>
      <c r="Q601" s="286">
        <v>0</v>
      </c>
      <c r="R601" s="274">
        <v>21583</v>
      </c>
      <c r="S601" s="274">
        <v>0</v>
      </c>
      <c r="T601" s="287">
        <f t="shared" si="9"/>
        <v>2016</v>
      </c>
      <c r="U601" s="274">
        <f>VLOOKUP(A601,'[1]SB35 Determination Data'!$B$4:$F$542,5,FALSE)</f>
        <v>2016</v>
      </c>
    </row>
    <row r="602" spans="1:21" s="274" customFormat="1" ht="12.75" x14ac:dyDescent="0.2">
      <c r="A602" s="282" t="s">
        <v>438</v>
      </c>
      <c r="B602" s="282" t="s">
        <v>220</v>
      </c>
      <c r="C602" s="282" t="s">
        <v>531</v>
      </c>
      <c r="D602" s="283">
        <v>2016</v>
      </c>
      <c r="E602" s="282" t="s">
        <v>650</v>
      </c>
      <c r="F602" s="284">
        <v>4888</v>
      </c>
      <c r="G602" s="285">
        <v>103</v>
      </c>
      <c r="H602" s="288">
        <v>103</v>
      </c>
      <c r="I602" s="285">
        <v>0</v>
      </c>
      <c r="J602" s="285">
        <v>3107</v>
      </c>
      <c r="K602" s="284">
        <v>57</v>
      </c>
      <c r="L602" s="284">
        <v>57</v>
      </c>
      <c r="M602" s="284">
        <v>0</v>
      </c>
      <c r="N602" s="289">
        <v>3126</v>
      </c>
      <c r="O602" s="284">
        <v>0</v>
      </c>
      <c r="P602" s="284">
        <v>10462</v>
      </c>
      <c r="Q602" s="286">
        <v>3</v>
      </c>
      <c r="R602" s="274">
        <v>21583</v>
      </c>
      <c r="S602" s="274">
        <v>163</v>
      </c>
      <c r="T602" s="287">
        <f t="shared" si="9"/>
        <v>2016</v>
      </c>
      <c r="U602" s="274">
        <f>VLOOKUP(A602,'[1]SB35 Determination Data'!$B$4:$F$542,5,FALSE)</f>
        <v>2016</v>
      </c>
    </row>
    <row r="603" spans="1:21" s="274" customFormat="1" ht="12.75" x14ac:dyDescent="0.2">
      <c r="A603" s="282" t="s">
        <v>438</v>
      </c>
      <c r="B603" s="282" t="s">
        <v>220</v>
      </c>
      <c r="C603" s="282" t="s">
        <v>531</v>
      </c>
      <c r="D603" s="283">
        <v>2017</v>
      </c>
      <c r="E603" s="282" t="s">
        <v>650</v>
      </c>
      <c r="F603" s="284">
        <v>4888</v>
      </c>
      <c r="G603" s="285">
        <v>0</v>
      </c>
      <c r="H603" s="288">
        <v>0</v>
      </c>
      <c r="I603" s="285">
        <v>0</v>
      </c>
      <c r="J603" s="285">
        <v>3107</v>
      </c>
      <c r="K603" s="284">
        <v>0</v>
      </c>
      <c r="L603" s="284">
        <v>0</v>
      </c>
      <c r="M603" s="284">
        <v>0</v>
      </c>
      <c r="N603" s="284">
        <v>3126</v>
      </c>
      <c r="O603" s="284">
        <v>0</v>
      </c>
      <c r="P603" s="284">
        <v>10462</v>
      </c>
      <c r="Q603" s="286">
        <v>0</v>
      </c>
      <c r="R603" s="274">
        <v>21583</v>
      </c>
      <c r="S603" s="274">
        <v>0</v>
      </c>
      <c r="T603" s="287">
        <f t="shared" si="9"/>
        <v>2017</v>
      </c>
      <c r="U603" s="274">
        <f>VLOOKUP(A603,'[1]SB35 Determination Data'!$B$4:$F$542,5,FALSE)</f>
        <v>2016</v>
      </c>
    </row>
    <row r="604" spans="1:21" s="274" customFormat="1" ht="12.75" x14ac:dyDescent="0.2">
      <c r="A604" s="282" t="s">
        <v>452</v>
      </c>
      <c r="B604" s="282" t="s">
        <v>403</v>
      </c>
      <c r="C604" s="282" t="s">
        <v>531</v>
      </c>
      <c r="D604" s="283">
        <v>2015</v>
      </c>
      <c r="E604" s="282" t="s">
        <v>650</v>
      </c>
      <c r="F604" s="284">
        <v>43</v>
      </c>
      <c r="G604" s="285">
        <v>0</v>
      </c>
      <c r="H604" s="288">
        <v>0</v>
      </c>
      <c r="I604" s="285">
        <v>0</v>
      </c>
      <c r="J604" s="285">
        <v>28</v>
      </c>
      <c r="K604" s="284">
        <v>0</v>
      </c>
      <c r="L604" s="284">
        <v>0</v>
      </c>
      <c r="M604" s="284">
        <v>0</v>
      </c>
      <c r="N604" s="289">
        <v>33</v>
      </c>
      <c r="O604" s="284">
        <v>0</v>
      </c>
      <c r="P604" s="284">
        <v>76</v>
      </c>
      <c r="Q604" s="286">
        <v>25</v>
      </c>
      <c r="R604" s="274">
        <v>180</v>
      </c>
      <c r="S604" s="274">
        <v>25</v>
      </c>
      <c r="T604" s="287">
        <f t="shared" si="9"/>
        <v>2016</v>
      </c>
      <c r="U604" s="274">
        <f>VLOOKUP(A604,'[1]SB35 Determination Data'!$B$4:$F$542,5,FALSE)</f>
        <v>2016</v>
      </c>
    </row>
    <row r="605" spans="1:21" s="274" customFormat="1" ht="12.75" x14ac:dyDescent="0.2">
      <c r="A605" s="282" t="s">
        <v>452</v>
      </c>
      <c r="B605" s="282" t="s">
        <v>403</v>
      </c>
      <c r="C605" s="282" t="s">
        <v>531</v>
      </c>
      <c r="D605" s="283">
        <v>2016</v>
      </c>
      <c r="E605" s="282" t="s">
        <v>650</v>
      </c>
      <c r="F605" s="284">
        <v>43</v>
      </c>
      <c r="G605" s="285">
        <v>0</v>
      </c>
      <c r="H605" s="288">
        <v>0</v>
      </c>
      <c r="I605" s="285">
        <v>0</v>
      </c>
      <c r="J605" s="285">
        <v>28</v>
      </c>
      <c r="K605" s="284">
        <v>4</v>
      </c>
      <c r="L605" s="284">
        <v>4</v>
      </c>
      <c r="M605" s="284">
        <v>0</v>
      </c>
      <c r="N605" s="284">
        <v>33</v>
      </c>
      <c r="O605" s="284">
        <v>1</v>
      </c>
      <c r="P605" s="284">
        <v>76</v>
      </c>
      <c r="Q605" s="286">
        <v>30</v>
      </c>
      <c r="R605" s="274">
        <v>180</v>
      </c>
      <c r="S605" s="274">
        <v>35</v>
      </c>
      <c r="T605" s="287">
        <f t="shared" si="9"/>
        <v>2016</v>
      </c>
      <c r="U605" s="274">
        <f>VLOOKUP(A605,'[1]SB35 Determination Data'!$B$4:$F$542,5,FALSE)</f>
        <v>2016</v>
      </c>
    </row>
    <row r="606" spans="1:21" s="274" customFormat="1" ht="12.75" x14ac:dyDescent="0.2">
      <c r="A606" s="282" t="s">
        <v>452</v>
      </c>
      <c r="B606" s="282" t="s">
        <v>403</v>
      </c>
      <c r="C606" s="282" t="s">
        <v>531</v>
      </c>
      <c r="D606" s="283">
        <v>2017</v>
      </c>
      <c r="E606" s="282" t="s">
        <v>650</v>
      </c>
      <c r="F606" s="284">
        <v>43</v>
      </c>
      <c r="G606" s="285">
        <v>0</v>
      </c>
      <c r="H606" s="288">
        <v>0</v>
      </c>
      <c r="I606" s="285">
        <v>0</v>
      </c>
      <c r="J606" s="285">
        <v>28</v>
      </c>
      <c r="K606" s="284">
        <v>2</v>
      </c>
      <c r="L606" s="284">
        <v>2</v>
      </c>
      <c r="M606" s="284">
        <v>0</v>
      </c>
      <c r="N606" s="284">
        <v>33</v>
      </c>
      <c r="O606" s="284">
        <v>5</v>
      </c>
      <c r="P606" s="284">
        <v>76</v>
      </c>
      <c r="Q606" s="286">
        <v>31</v>
      </c>
      <c r="R606" s="274">
        <v>180</v>
      </c>
      <c r="S606" s="274">
        <v>38</v>
      </c>
      <c r="T606" s="287">
        <f t="shared" si="9"/>
        <v>2017</v>
      </c>
      <c r="U606" s="274">
        <f>VLOOKUP(A606,'[1]SB35 Determination Data'!$B$4:$F$542,5,FALSE)</f>
        <v>2016</v>
      </c>
    </row>
    <row r="607" spans="1:21" s="274" customFormat="1" ht="12.75" x14ac:dyDescent="0.2">
      <c r="A607" s="282" t="s">
        <v>450</v>
      </c>
      <c r="B607" s="282" t="s">
        <v>229</v>
      </c>
      <c r="C607" s="282" t="s">
        <v>693</v>
      </c>
      <c r="D607" s="283">
        <v>2017</v>
      </c>
      <c r="E607" s="282" t="s">
        <v>650</v>
      </c>
      <c r="F607" s="284">
        <v>186</v>
      </c>
      <c r="G607" s="285">
        <v>0</v>
      </c>
      <c r="H607" s="288">
        <v>0</v>
      </c>
      <c r="I607" s="285">
        <v>0</v>
      </c>
      <c r="J607" s="285">
        <v>138</v>
      </c>
      <c r="K607" s="284">
        <v>8</v>
      </c>
      <c r="L607" s="284">
        <v>8</v>
      </c>
      <c r="M607" s="284">
        <v>0</v>
      </c>
      <c r="N607" s="284">
        <v>147</v>
      </c>
      <c r="O607" s="284">
        <v>1</v>
      </c>
      <c r="P607" s="284">
        <v>347</v>
      </c>
      <c r="Q607" s="286">
        <v>8</v>
      </c>
      <c r="R607" s="274">
        <v>818</v>
      </c>
      <c r="S607" s="274">
        <v>17</v>
      </c>
      <c r="T607" s="287">
        <f t="shared" si="9"/>
        <v>2017</v>
      </c>
      <c r="U607" s="274">
        <f>VLOOKUP(A607,'[1]SB35 Determination Data'!$B$4:$F$542,5,FALSE)</f>
        <v>2016</v>
      </c>
    </row>
    <row r="608" spans="1:21" s="274" customFormat="1" ht="12.75" x14ac:dyDescent="0.2">
      <c r="A608" s="282" t="s">
        <v>365</v>
      </c>
      <c r="B608" s="282" t="s">
        <v>125</v>
      </c>
      <c r="C608" s="282" t="s">
        <v>531</v>
      </c>
      <c r="D608" s="283">
        <v>2017</v>
      </c>
      <c r="E608" s="282" t="s">
        <v>650</v>
      </c>
      <c r="F608" s="284">
        <v>113</v>
      </c>
      <c r="G608" s="285">
        <v>0</v>
      </c>
      <c r="H608" s="288">
        <v>0</v>
      </c>
      <c r="I608" s="285">
        <v>0</v>
      </c>
      <c r="J608" s="285">
        <v>70</v>
      </c>
      <c r="K608" s="284">
        <v>0</v>
      </c>
      <c r="L608" s="284">
        <v>0</v>
      </c>
      <c r="M608" s="284">
        <v>0</v>
      </c>
      <c r="N608" s="289">
        <v>60</v>
      </c>
      <c r="O608" s="284">
        <v>19</v>
      </c>
      <c r="P608" s="284">
        <v>131</v>
      </c>
      <c r="Q608" s="286">
        <v>0</v>
      </c>
      <c r="R608" s="274">
        <v>374</v>
      </c>
      <c r="S608" s="274">
        <v>19</v>
      </c>
      <c r="T608" s="287">
        <f t="shared" si="9"/>
        <v>2017</v>
      </c>
      <c r="U608" s="274">
        <f>VLOOKUP(A608,'[1]SB35 Determination Data'!$B$4:$F$542,5,FALSE)</f>
        <v>2016</v>
      </c>
    </row>
    <row r="609" spans="1:21" s="274" customFormat="1" ht="12.75" x14ac:dyDescent="0.2">
      <c r="A609" s="282" t="s">
        <v>453</v>
      </c>
      <c r="B609" s="282" t="s">
        <v>262</v>
      </c>
      <c r="C609" s="282" t="s">
        <v>649</v>
      </c>
      <c r="D609" s="283">
        <v>2014</v>
      </c>
      <c r="E609" s="282" t="s">
        <v>650</v>
      </c>
      <c r="F609" s="284">
        <v>30</v>
      </c>
      <c r="G609" s="285">
        <v>0</v>
      </c>
      <c r="H609" s="288">
        <v>0</v>
      </c>
      <c r="I609" s="285">
        <v>0</v>
      </c>
      <c r="J609" s="285">
        <v>18</v>
      </c>
      <c r="K609" s="284">
        <v>0</v>
      </c>
      <c r="L609" s="284">
        <v>0</v>
      </c>
      <c r="M609" s="284">
        <v>0</v>
      </c>
      <c r="N609" s="284">
        <v>20</v>
      </c>
      <c r="O609" s="284">
        <v>0</v>
      </c>
      <c r="P609" s="284">
        <v>44</v>
      </c>
      <c r="Q609" s="286">
        <v>5</v>
      </c>
      <c r="R609" s="274">
        <v>112</v>
      </c>
      <c r="S609" s="274">
        <v>5</v>
      </c>
      <c r="T609" s="287">
        <f t="shared" si="9"/>
        <v>2014</v>
      </c>
      <c r="U609" s="274">
        <f>VLOOKUP(A609,'[1]SB35 Determination Data'!$B$4:$F$542,5,FALSE)</f>
        <v>2014</v>
      </c>
    </row>
    <row r="610" spans="1:21" s="274" customFormat="1" ht="12.75" x14ac:dyDescent="0.2">
      <c r="A610" s="282" t="s">
        <v>453</v>
      </c>
      <c r="B610" s="282" t="s">
        <v>262</v>
      </c>
      <c r="C610" s="282" t="s">
        <v>649</v>
      </c>
      <c r="D610" s="283">
        <v>2015</v>
      </c>
      <c r="E610" s="282" t="s">
        <v>650</v>
      </c>
      <c r="F610" s="284">
        <v>30</v>
      </c>
      <c r="G610" s="285">
        <v>0</v>
      </c>
      <c r="H610" s="288">
        <v>0</v>
      </c>
      <c r="I610" s="285">
        <v>0</v>
      </c>
      <c r="J610" s="285">
        <v>18</v>
      </c>
      <c r="K610" s="284">
        <v>0</v>
      </c>
      <c r="L610" s="284">
        <v>0</v>
      </c>
      <c r="M610" s="284">
        <v>0</v>
      </c>
      <c r="N610" s="284">
        <v>20</v>
      </c>
      <c r="O610" s="284">
        <v>0</v>
      </c>
      <c r="P610" s="284">
        <v>44</v>
      </c>
      <c r="Q610" s="286">
        <v>18</v>
      </c>
      <c r="R610" s="274">
        <v>112</v>
      </c>
      <c r="S610" s="274">
        <v>18</v>
      </c>
      <c r="T610" s="287">
        <f t="shared" si="9"/>
        <v>2015</v>
      </c>
      <c r="U610" s="274">
        <f>VLOOKUP(A610,'[1]SB35 Determination Data'!$B$4:$F$542,5,FALSE)</f>
        <v>2014</v>
      </c>
    </row>
    <row r="611" spans="1:21" s="274" customFormat="1" ht="12.75" x14ac:dyDescent="0.2">
      <c r="A611" s="282" t="s">
        <v>453</v>
      </c>
      <c r="B611" s="282" t="s">
        <v>262</v>
      </c>
      <c r="C611" s="282" t="s">
        <v>649</v>
      </c>
      <c r="D611" s="283">
        <v>2016</v>
      </c>
      <c r="E611" s="282" t="s">
        <v>650</v>
      </c>
      <c r="F611" s="284">
        <v>30</v>
      </c>
      <c r="G611" s="285">
        <v>0</v>
      </c>
      <c r="H611" s="288">
        <v>0</v>
      </c>
      <c r="I611" s="285">
        <v>0</v>
      </c>
      <c r="J611" s="285">
        <v>18</v>
      </c>
      <c r="K611" s="284">
        <v>0</v>
      </c>
      <c r="L611" s="284">
        <v>0</v>
      </c>
      <c r="M611" s="284">
        <v>0</v>
      </c>
      <c r="N611" s="284">
        <v>20</v>
      </c>
      <c r="O611" s="284">
        <v>0</v>
      </c>
      <c r="P611" s="284">
        <v>44</v>
      </c>
      <c r="Q611" s="286">
        <v>0</v>
      </c>
      <c r="R611" s="274">
        <v>112</v>
      </c>
      <c r="S611" s="274">
        <v>0</v>
      </c>
      <c r="T611" s="287">
        <f t="shared" si="9"/>
        <v>2016</v>
      </c>
      <c r="U611" s="274">
        <f>VLOOKUP(A611,'[1]SB35 Determination Data'!$B$4:$F$542,5,FALSE)</f>
        <v>2014</v>
      </c>
    </row>
    <row r="612" spans="1:21" s="274" customFormat="1" ht="12.75" x14ac:dyDescent="0.2">
      <c r="A612" s="282" t="s">
        <v>453</v>
      </c>
      <c r="B612" s="282" t="s">
        <v>262</v>
      </c>
      <c r="C612" s="282" t="s">
        <v>649</v>
      </c>
      <c r="D612" s="283">
        <v>2017</v>
      </c>
      <c r="E612" s="282" t="s">
        <v>650</v>
      </c>
      <c r="F612" s="284">
        <v>30</v>
      </c>
      <c r="G612" s="285">
        <v>0</v>
      </c>
      <c r="H612" s="288">
        <v>0</v>
      </c>
      <c r="I612" s="285">
        <v>0</v>
      </c>
      <c r="J612" s="285">
        <v>18</v>
      </c>
      <c r="K612" s="284">
        <v>0</v>
      </c>
      <c r="L612" s="284">
        <v>0</v>
      </c>
      <c r="M612" s="284">
        <v>0</v>
      </c>
      <c r="N612" s="289">
        <v>20</v>
      </c>
      <c r="O612" s="284">
        <v>0</v>
      </c>
      <c r="P612" s="284">
        <v>44</v>
      </c>
      <c r="Q612" s="286">
        <v>11</v>
      </c>
      <c r="R612" s="274">
        <v>112</v>
      </c>
      <c r="S612" s="274">
        <v>11</v>
      </c>
      <c r="T612" s="287">
        <f t="shared" si="9"/>
        <v>2017</v>
      </c>
      <c r="U612" s="274">
        <f>VLOOKUP(A612,'[1]SB35 Determination Data'!$B$4:$F$542,5,FALSE)</f>
        <v>2014</v>
      </c>
    </row>
    <row r="613" spans="1:21" s="274" customFormat="1" ht="12.75" x14ac:dyDescent="0.2">
      <c r="A613" s="282" t="s">
        <v>454</v>
      </c>
      <c r="B613" s="282" t="s">
        <v>436</v>
      </c>
      <c r="C613" s="282" t="s">
        <v>649</v>
      </c>
      <c r="D613" s="283">
        <v>2014</v>
      </c>
      <c r="E613" s="282" t="s">
        <v>650</v>
      </c>
      <c r="F613" s="284">
        <v>1</v>
      </c>
      <c r="G613" s="285">
        <v>0</v>
      </c>
      <c r="H613" s="288">
        <v>0</v>
      </c>
      <c r="I613" s="285">
        <v>0</v>
      </c>
      <c r="J613" s="285">
        <v>1</v>
      </c>
      <c r="K613" s="284">
        <v>0</v>
      </c>
      <c r="L613" s="284">
        <v>0</v>
      </c>
      <c r="M613" s="284">
        <v>0</v>
      </c>
      <c r="N613" s="284">
        <v>1</v>
      </c>
      <c r="O613" s="284">
        <v>7</v>
      </c>
      <c r="P613" s="284">
        <v>1</v>
      </c>
      <c r="Q613" s="286">
        <v>0</v>
      </c>
      <c r="R613" s="274">
        <v>4</v>
      </c>
      <c r="S613" s="274">
        <v>7</v>
      </c>
      <c r="T613" s="287">
        <f t="shared" si="9"/>
        <v>2014</v>
      </c>
      <c r="U613" s="274">
        <f>VLOOKUP(A613,'[1]SB35 Determination Data'!$B$4:$F$542,5,FALSE)</f>
        <v>2014</v>
      </c>
    </row>
    <row r="614" spans="1:21" s="274" customFormat="1" ht="12.75" x14ac:dyDescent="0.2">
      <c r="A614" s="282" t="s">
        <v>454</v>
      </c>
      <c r="B614" s="282" t="s">
        <v>436</v>
      </c>
      <c r="C614" s="282" t="s">
        <v>649</v>
      </c>
      <c r="D614" s="283">
        <v>2015</v>
      </c>
      <c r="E614" s="282" t="s">
        <v>650</v>
      </c>
      <c r="F614" s="284">
        <v>1</v>
      </c>
      <c r="G614" s="285">
        <v>0</v>
      </c>
      <c r="H614" s="288">
        <v>0</v>
      </c>
      <c r="I614" s="285">
        <v>0</v>
      </c>
      <c r="J614" s="285">
        <v>1</v>
      </c>
      <c r="K614" s="284">
        <v>3</v>
      </c>
      <c r="L614" s="284">
        <v>3</v>
      </c>
      <c r="M614" s="284">
        <v>0</v>
      </c>
      <c r="N614" s="284">
        <v>1</v>
      </c>
      <c r="O614" s="284">
        <v>4</v>
      </c>
      <c r="P614" s="284">
        <v>1</v>
      </c>
      <c r="Q614" s="286">
        <v>22</v>
      </c>
      <c r="R614" s="274">
        <v>4</v>
      </c>
      <c r="S614" s="274">
        <v>29</v>
      </c>
      <c r="T614" s="287">
        <f t="shared" si="9"/>
        <v>2015</v>
      </c>
      <c r="U614" s="274">
        <f>VLOOKUP(A614,'[1]SB35 Determination Data'!$B$4:$F$542,5,FALSE)</f>
        <v>2014</v>
      </c>
    </row>
    <row r="615" spans="1:21" s="274" customFormat="1" ht="12.75" x14ac:dyDescent="0.2">
      <c r="A615" s="282" t="s">
        <v>454</v>
      </c>
      <c r="B615" s="282" t="s">
        <v>436</v>
      </c>
      <c r="C615" s="282" t="s">
        <v>649</v>
      </c>
      <c r="D615" s="283">
        <v>2016</v>
      </c>
      <c r="E615" s="282" t="s">
        <v>650</v>
      </c>
      <c r="F615" s="284">
        <v>1</v>
      </c>
      <c r="G615" s="285">
        <v>0</v>
      </c>
      <c r="H615" s="288">
        <v>0</v>
      </c>
      <c r="I615" s="285">
        <v>0</v>
      </c>
      <c r="J615" s="285">
        <v>1</v>
      </c>
      <c r="K615" s="284">
        <v>0</v>
      </c>
      <c r="L615" s="284">
        <v>0</v>
      </c>
      <c r="M615" s="284">
        <v>0</v>
      </c>
      <c r="N615" s="284">
        <v>1</v>
      </c>
      <c r="O615" s="284">
        <v>0</v>
      </c>
      <c r="P615" s="284">
        <v>1</v>
      </c>
      <c r="Q615" s="286">
        <v>357</v>
      </c>
      <c r="R615" s="274">
        <v>4</v>
      </c>
      <c r="S615" s="274">
        <v>357</v>
      </c>
      <c r="T615" s="287">
        <f t="shared" si="9"/>
        <v>2016</v>
      </c>
      <c r="U615" s="274">
        <f>VLOOKUP(A615,'[1]SB35 Determination Data'!$B$4:$F$542,5,FALSE)</f>
        <v>2014</v>
      </c>
    </row>
    <row r="616" spans="1:21" s="274" customFormat="1" ht="12.75" x14ac:dyDescent="0.2">
      <c r="A616" s="282" t="s">
        <v>454</v>
      </c>
      <c r="B616" s="282" t="s">
        <v>436</v>
      </c>
      <c r="C616" s="282" t="s">
        <v>649</v>
      </c>
      <c r="D616" s="283">
        <v>2017</v>
      </c>
      <c r="E616" s="282" t="s">
        <v>650</v>
      </c>
      <c r="F616" s="284">
        <v>1</v>
      </c>
      <c r="G616" s="285">
        <v>0</v>
      </c>
      <c r="H616" s="288">
        <v>0</v>
      </c>
      <c r="I616" s="285">
        <v>0</v>
      </c>
      <c r="J616" s="285">
        <v>1</v>
      </c>
      <c r="K616" s="284">
        <v>0</v>
      </c>
      <c r="L616" s="284">
        <v>0</v>
      </c>
      <c r="M616" s="284">
        <v>0</v>
      </c>
      <c r="N616" s="284">
        <v>1</v>
      </c>
      <c r="O616" s="284">
        <v>0</v>
      </c>
      <c r="P616" s="284">
        <v>1</v>
      </c>
      <c r="Q616" s="286">
        <v>41</v>
      </c>
      <c r="R616" s="274">
        <v>4</v>
      </c>
      <c r="S616" s="274">
        <v>41</v>
      </c>
      <c r="T616" s="287">
        <f t="shared" si="9"/>
        <v>2017</v>
      </c>
      <c r="U616" s="274">
        <f>VLOOKUP(A616,'[1]SB35 Determination Data'!$B$4:$F$542,5,FALSE)</f>
        <v>2014</v>
      </c>
    </row>
    <row r="617" spans="1:21" s="274" customFormat="1" ht="12.75" x14ac:dyDescent="0.2">
      <c r="A617" s="282" t="s">
        <v>458</v>
      </c>
      <c r="B617" s="282" t="s">
        <v>557</v>
      </c>
      <c r="C617" s="282" t="s">
        <v>758</v>
      </c>
      <c r="D617" s="283">
        <v>2013</v>
      </c>
      <c r="E617" s="282" t="s">
        <v>650</v>
      </c>
      <c r="F617" s="284">
        <v>430</v>
      </c>
      <c r="G617" s="285">
        <v>18</v>
      </c>
      <c r="H617" s="288">
        <v>18</v>
      </c>
      <c r="I617" s="285">
        <v>0</v>
      </c>
      <c r="J617" s="285">
        <v>326</v>
      </c>
      <c r="K617" s="284">
        <v>0</v>
      </c>
      <c r="L617" s="284">
        <v>0</v>
      </c>
      <c r="M617" s="284">
        <v>0</v>
      </c>
      <c r="N617" s="289">
        <v>302</v>
      </c>
      <c r="O617" s="284">
        <v>279</v>
      </c>
      <c r="P617" s="284">
        <v>664</v>
      </c>
      <c r="Q617" s="286">
        <v>241</v>
      </c>
      <c r="R617" s="274">
        <v>1722</v>
      </c>
      <c r="S617" s="274">
        <v>538</v>
      </c>
      <c r="T617" s="287">
        <f t="shared" si="9"/>
        <v>2013</v>
      </c>
      <c r="U617" s="274">
        <f>VLOOKUP(A617,'[1]SB35 Determination Data'!$B$4:$F$542,5,FALSE)</f>
        <v>2013</v>
      </c>
    </row>
    <row r="618" spans="1:21" s="274" customFormat="1" ht="12.75" x14ac:dyDescent="0.2">
      <c r="A618" s="282" t="s">
        <v>458</v>
      </c>
      <c r="B618" s="282" t="s">
        <v>557</v>
      </c>
      <c r="C618" s="282" t="s">
        <v>758</v>
      </c>
      <c r="D618" s="283">
        <v>2014</v>
      </c>
      <c r="E618" s="282" t="s">
        <v>650</v>
      </c>
      <c r="F618" s="284">
        <v>430</v>
      </c>
      <c r="G618" s="285">
        <v>0</v>
      </c>
      <c r="H618" s="288">
        <v>0</v>
      </c>
      <c r="I618" s="285">
        <v>0</v>
      </c>
      <c r="J618" s="285">
        <v>326</v>
      </c>
      <c r="K618" s="284">
        <v>1</v>
      </c>
      <c r="L618" s="284">
        <v>0</v>
      </c>
      <c r="M618" s="284">
        <v>1</v>
      </c>
      <c r="N618" s="284">
        <v>302</v>
      </c>
      <c r="O618" s="284">
        <v>0</v>
      </c>
      <c r="P618" s="284">
        <v>664</v>
      </c>
      <c r="Q618" s="286">
        <v>310</v>
      </c>
      <c r="R618" s="274">
        <v>1722</v>
      </c>
      <c r="S618" s="274">
        <v>311</v>
      </c>
      <c r="T618" s="287">
        <f t="shared" si="9"/>
        <v>2014</v>
      </c>
      <c r="U618" s="274">
        <f>VLOOKUP(A618,'[1]SB35 Determination Data'!$B$4:$F$542,5,FALSE)</f>
        <v>2013</v>
      </c>
    </row>
    <row r="619" spans="1:21" s="274" customFormat="1" ht="12.75" x14ac:dyDescent="0.2">
      <c r="A619" s="282" t="s">
        <v>458</v>
      </c>
      <c r="B619" s="282" t="s">
        <v>557</v>
      </c>
      <c r="C619" s="282" t="s">
        <v>758</v>
      </c>
      <c r="D619" s="283">
        <v>2015</v>
      </c>
      <c r="E619" s="282" t="s">
        <v>650</v>
      </c>
      <c r="F619" s="284">
        <v>430</v>
      </c>
      <c r="G619" s="285">
        <v>0</v>
      </c>
      <c r="H619" s="288">
        <v>0</v>
      </c>
      <c r="I619" s="285">
        <v>0</v>
      </c>
      <c r="J619" s="285">
        <v>326</v>
      </c>
      <c r="K619" s="284">
        <v>1</v>
      </c>
      <c r="L619" s="284">
        <v>0</v>
      </c>
      <c r="M619" s="284">
        <v>1</v>
      </c>
      <c r="N619" s="284">
        <v>302</v>
      </c>
      <c r="O619" s="284">
        <v>0</v>
      </c>
      <c r="P619" s="284">
        <v>664</v>
      </c>
      <c r="Q619" s="286">
        <v>28</v>
      </c>
      <c r="R619" s="274">
        <v>1722</v>
      </c>
      <c r="S619" s="274">
        <v>29</v>
      </c>
      <c r="T619" s="287">
        <f t="shared" si="9"/>
        <v>2015</v>
      </c>
      <c r="U619" s="274">
        <f>VLOOKUP(A619,'[1]SB35 Determination Data'!$B$4:$F$542,5,FALSE)</f>
        <v>2013</v>
      </c>
    </row>
    <row r="620" spans="1:21" s="274" customFormat="1" ht="12.75" x14ac:dyDescent="0.2">
      <c r="A620" s="282" t="s">
        <v>458</v>
      </c>
      <c r="B620" s="282" t="s">
        <v>557</v>
      </c>
      <c r="C620" s="282" t="s">
        <v>758</v>
      </c>
      <c r="D620" s="283">
        <v>2016</v>
      </c>
      <c r="E620" s="282" t="s">
        <v>650</v>
      </c>
      <c r="F620" s="284">
        <v>430</v>
      </c>
      <c r="G620" s="285">
        <v>0</v>
      </c>
      <c r="H620" s="288">
        <v>0</v>
      </c>
      <c r="I620" s="285">
        <v>0</v>
      </c>
      <c r="J620" s="285">
        <v>326</v>
      </c>
      <c r="K620" s="284">
        <v>0</v>
      </c>
      <c r="L620" s="284">
        <v>0</v>
      </c>
      <c r="M620" s="284">
        <v>0</v>
      </c>
      <c r="N620" s="284">
        <v>302</v>
      </c>
      <c r="O620" s="284">
        <v>0</v>
      </c>
      <c r="P620" s="284">
        <v>664</v>
      </c>
      <c r="Q620" s="286">
        <v>106</v>
      </c>
      <c r="R620" s="274">
        <v>1722</v>
      </c>
      <c r="S620" s="274">
        <v>106</v>
      </c>
      <c r="T620" s="287">
        <f t="shared" si="9"/>
        <v>2016</v>
      </c>
      <c r="U620" s="274">
        <f>VLOOKUP(A620,'[1]SB35 Determination Data'!$B$4:$F$542,5,FALSE)</f>
        <v>2013</v>
      </c>
    </row>
    <row r="621" spans="1:21" s="274" customFormat="1" ht="12.75" x14ac:dyDescent="0.2">
      <c r="A621" s="282" t="s">
        <v>458</v>
      </c>
      <c r="B621" s="282" t="s">
        <v>557</v>
      </c>
      <c r="C621" s="282" t="s">
        <v>758</v>
      </c>
      <c r="D621" s="283">
        <v>2017</v>
      </c>
      <c r="E621" s="282" t="s">
        <v>650</v>
      </c>
      <c r="F621" s="284">
        <v>430</v>
      </c>
      <c r="G621" s="285">
        <v>0</v>
      </c>
      <c r="H621" s="288">
        <v>0</v>
      </c>
      <c r="I621" s="285">
        <v>0</v>
      </c>
      <c r="J621" s="285">
        <v>326</v>
      </c>
      <c r="K621" s="284">
        <v>7</v>
      </c>
      <c r="L621" s="284">
        <v>0</v>
      </c>
      <c r="M621" s="284">
        <v>7</v>
      </c>
      <c r="N621" s="284">
        <v>302</v>
      </c>
      <c r="O621" s="284">
        <v>0</v>
      </c>
      <c r="P621" s="284">
        <v>664</v>
      </c>
      <c r="Q621" s="286">
        <v>24</v>
      </c>
      <c r="R621" s="274">
        <v>1722</v>
      </c>
      <c r="S621" s="274">
        <v>31</v>
      </c>
      <c r="T621" s="287">
        <f t="shared" si="9"/>
        <v>2017</v>
      </c>
      <c r="U621" s="274">
        <f>VLOOKUP(A621,'[1]SB35 Determination Data'!$B$4:$F$542,5,FALSE)</f>
        <v>2013</v>
      </c>
    </row>
    <row r="622" spans="1:21" s="274" customFormat="1" ht="12.75" x14ac:dyDescent="0.2">
      <c r="A622" s="282" t="s">
        <v>459</v>
      </c>
      <c r="B622" s="282" t="s">
        <v>262</v>
      </c>
      <c r="C622" s="282" t="s">
        <v>649</v>
      </c>
      <c r="D622" s="283">
        <v>2017</v>
      </c>
      <c r="E622" s="282" t="s">
        <v>650</v>
      </c>
      <c r="F622" s="284">
        <v>62</v>
      </c>
      <c r="G622" s="285">
        <v>0</v>
      </c>
      <c r="H622" s="288">
        <v>0</v>
      </c>
      <c r="I622" s="285">
        <v>0</v>
      </c>
      <c r="J622" s="285">
        <v>37</v>
      </c>
      <c r="K622" s="284">
        <v>0</v>
      </c>
      <c r="L622" s="284">
        <v>0</v>
      </c>
      <c r="M622" s="284">
        <v>0</v>
      </c>
      <c r="N622" s="289">
        <v>40</v>
      </c>
      <c r="O622" s="284">
        <v>1</v>
      </c>
      <c r="P622" s="284">
        <v>96</v>
      </c>
      <c r="Q622" s="286">
        <v>31</v>
      </c>
      <c r="R622" s="274">
        <v>235</v>
      </c>
      <c r="S622" s="274">
        <v>32</v>
      </c>
      <c r="T622" s="287">
        <f t="shared" si="9"/>
        <v>2017</v>
      </c>
      <c r="U622" s="274">
        <f>VLOOKUP(A622,'[1]SB35 Determination Data'!$B$4:$F$542,5,FALSE)</f>
        <v>2014</v>
      </c>
    </row>
    <row r="623" spans="1:21" s="274" customFormat="1" ht="12.75" x14ac:dyDescent="0.2">
      <c r="A623" s="282" t="s">
        <v>460</v>
      </c>
      <c r="B623" s="282" t="s">
        <v>436</v>
      </c>
      <c r="C623" s="282" t="s">
        <v>649</v>
      </c>
      <c r="D623" s="283">
        <v>2014</v>
      </c>
      <c r="E623" s="282" t="s">
        <v>650</v>
      </c>
      <c r="F623" s="284">
        <v>2</v>
      </c>
      <c r="G623" s="285">
        <v>0</v>
      </c>
      <c r="H623" s="288">
        <v>0</v>
      </c>
      <c r="I623" s="285">
        <v>0</v>
      </c>
      <c r="J623" s="285">
        <v>2</v>
      </c>
      <c r="K623" s="284">
        <v>0</v>
      </c>
      <c r="L623" s="284">
        <v>0</v>
      </c>
      <c r="M623" s="284">
        <v>0</v>
      </c>
      <c r="N623" s="284">
        <v>2</v>
      </c>
      <c r="O623" s="284">
        <v>0</v>
      </c>
      <c r="P623" s="284">
        <v>3</v>
      </c>
      <c r="Q623" s="286">
        <v>0</v>
      </c>
      <c r="R623" s="274">
        <v>9</v>
      </c>
      <c r="S623" s="274">
        <v>0</v>
      </c>
      <c r="T623" s="287">
        <f t="shared" si="9"/>
        <v>2014</v>
      </c>
      <c r="U623" s="274">
        <f>VLOOKUP(A623,'[1]SB35 Determination Data'!$B$4:$F$542,5,FALSE)</f>
        <v>2014</v>
      </c>
    </row>
    <row r="624" spans="1:21" s="274" customFormat="1" ht="12.75" x14ac:dyDescent="0.2">
      <c r="A624" s="282" t="s">
        <v>460</v>
      </c>
      <c r="B624" s="282" t="s">
        <v>436</v>
      </c>
      <c r="C624" s="282" t="s">
        <v>649</v>
      </c>
      <c r="D624" s="283">
        <v>2015</v>
      </c>
      <c r="E624" s="282" t="s">
        <v>650</v>
      </c>
      <c r="F624" s="284">
        <v>2</v>
      </c>
      <c r="G624" s="285">
        <v>0</v>
      </c>
      <c r="H624" s="288">
        <v>0</v>
      </c>
      <c r="I624" s="285">
        <v>0</v>
      </c>
      <c r="J624" s="285">
        <v>2</v>
      </c>
      <c r="K624" s="284">
        <v>0</v>
      </c>
      <c r="L624" s="284">
        <v>0</v>
      </c>
      <c r="M624" s="284">
        <v>0</v>
      </c>
      <c r="N624" s="284">
        <v>2</v>
      </c>
      <c r="O624" s="284">
        <v>0</v>
      </c>
      <c r="P624" s="284">
        <v>3</v>
      </c>
      <c r="Q624" s="286">
        <v>0</v>
      </c>
      <c r="R624" s="274">
        <v>9</v>
      </c>
      <c r="S624" s="274">
        <v>0</v>
      </c>
      <c r="T624" s="287">
        <f t="shared" si="9"/>
        <v>2015</v>
      </c>
      <c r="U624" s="274">
        <f>VLOOKUP(A624,'[1]SB35 Determination Data'!$B$4:$F$542,5,FALSE)</f>
        <v>2014</v>
      </c>
    </row>
    <row r="625" spans="1:21" s="274" customFormat="1" ht="12.75" x14ac:dyDescent="0.2">
      <c r="A625" s="282" t="s">
        <v>460</v>
      </c>
      <c r="B625" s="282" t="s">
        <v>436</v>
      </c>
      <c r="C625" s="282" t="s">
        <v>649</v>
      </c>
      <c r="D625" s="283">
        <v>2016</v>
      </c>
      <c r="E625" s="282" t="s">
        <v>650</v>
      </c>
      <c r="F625" s="284">
        <v>2</v>
      </c>
      <c r="G625" s="285">
        <v>0</v>
      </c>
      <c r="H625" s="288">
        <v>0</v>
      </c>
      <c r="I625" s="285">
        <v>0</v>
      </c>
      <c r="J625" s="285">
        <v>2</v>
      </c>
      <c r="K625" s="284">
        <v>0</v>
      </c>
      <c r="L625" s="284">
        <v>0</v>
      </c>
      <c r="M625" s="284">
        <v>0</v>
      </c>
      <c r="N625" s="284">
        <v>2</v>
      </c>
      <c r="O625" s="284">
        <v>0</v>
      </c>
      <c r="P625" s="284">
        <v>3</v>
      </c>
      <c r="Q625" s="286">
        <v>0</v>
      </c>
      <c r="R625" s="274">
        <v>9</v>
      </c>
      <c r="S625" s="274">
        <v>0</v>
      </c>
      <c r="T625" s="287">
        <f t="shared" si="9"/>
        <v>2016</v>
      </c>
      <c r="U625" s="274">
        <f>VLOOKUP(A625,'[1]SB35 Determination Data'!$B$4:$F$542,5,FALSE)</f>
        <v>2014</v>
      </c>
    </row>
    <row r="626" spans="1:21" s="274" customFormat="1" ht="12.75" x14ac:dyDescent="0.2">
      <c r="A626" s="282" t="s">
        <v>460</v>
      </c>
      <c r="B626" s="282" t="s">
        <v>436</v>
      </c>
      <c r="C626" s="282" t="s">
        <v>649</v>
      </c>
      <c r="D626" s="283">
        <v>2017</v>
      </c>
      <c r="E626" s="282" t="s">
        <v>650</v>
      </c>
      <c r="F626" s="284">
        <v>2</v>
      </c>
      <c r="G626" s="285">
        <v>0</v>
      </c>
      <c r="H626" s="288">
        <v>0</v>
      </c>
      <c r="I626" s="285">
        <v>0</v>
      </c>
      <c r="J626" s="285">
        <v>2</v>
      </c>
      <c r="K626" s="284">
        <v>0</v>
      </c>
      <c r="L626" s="284">
        <v>0</v>
      </c>
      <c r="M626" s="284">
        <v>0</v>
      </c>
      <c r="N626" s="284">
        <v>2</v>
      </c>
      <c r="O626" s="284">
        <v>0</v>
      </c>
      <c r="P626" s="284">
        <v>3</v>
      </c>
      <c r="Q626" s="286">
        <v>10</v>
      </c>
      <c r="R626" s="274">
        <v>9</v>
      </c>
      <c r="S626" s="274">
        <v>10</v>
      </c>
      <c r="T626" s="287">
        <f t="shared" si="9"/>
        <v>2017</v>
      </c>
      <c r="U626" s="274">
        <f>VLOOKUP(A626,'[1]SB35 Determination Data'!$B$4:$F$542,5,FALSE)</f>
        <v>2014</v>
      </c>
    </row>
    <row r="627" spans="1:21" s="274" customFormat="1" ht="12.75" x14ac:dyDescent="0.2">
      <c r="A627" s="282" t="s">
        <v>462</v>
      </c>
      <c r="B627" s="282" t="s">
        <v>481</v>
      </c>
      <c r="C627" s="282" t="s">
        <v>649</v>
      </c>
      <c r="D627" s="283">
        <v>2017</v>
      </c>
      <c r="E627" s="282" t="s">
        <v>650</v>
      </c>
      <c r="F627" s="284">
        <v>91</v>
      </c>
      <c r="G627" s="285">
        <v>0</v>
      </c>
      <c r="H627" s="288">
        <v>0</v>
      </c>
      <c r="I627" s="285">
        <v>0</v>
      </c>
      <c r="J627" s="285">
        <v>61</v>
      </c>
      <c r="K627" s="284">
        <v>0</v>
      </c>
      <c r="L627" s="284">
        <v>0</v>
      </c>
      <c r="M627" s="284">
        <v>0</v>
      </c>
      <c r="N627" s="289">
        <v>66</v>
      </c>
      <c r="O627" s="284">
        <v>0</v>
      </c>
      <c r="P627" s="284">
        <v>146</v>
      </c>
      <c r="Q627" s="286">
        <v>102</v>
      </c>
      <c r="R627" s="274">
        <v>364</v>
      </c>
      <c r="S627" s="274">
        <v>102</v>
      </c>
      <c r="T627" s="287">
        <f t="shared" si="9"/>
        <v>2017</v>
      </c>
      <c r="U627" s="274">
        <f>VLOOKUP(A627,'[1]SB35 Determination Data'!$B$4:$F$542,5,FALSE)</f>
        <v>2014</v>
      </c>
    </row>
    <row r="628" spans="1:21" s="274" customFormat="1" ht="12.75" x14ac:dyDescent="0.2">
      <c r="A628" s="282" t="s">
        <v>463</v>
      </c>
      <c r="B628" s="282" t="s">
        <v>262</v>
      </c>
      <c r="C628" s="282" t="s">
        <v>649</v>
      </c>
      <c r="D628" s="283">
        <v>2014</v>
      </c>
      <c r="E628" s="282" t="s">
        <v>650</v>
      </c>
      <c r="F628" s="284">
        <v>147</v>
      </c>
      <c r="G628" s="285">
        <v>35</v>
      </c>
      <c r="H628" s="288">
        <v>35</v>
      </c>
      <c r="I628" s="285">
        <v>0</v>
      </c>
      <c r="J628" s="285">
        <v>88</v>
      </c>
      <c r="K628" s="284">
        <v>2</v>
      </c>
      <c r="L628" s="284">
        <v>2</v>
      </c>
      <c r="M628" s="284">
        <v>0</v>
      </c>
      <c r="N628" s="289">
        <v>94</v>
      </c>
      <c r="O628" s="284">
        <v>0</v>
      </c>
      <c r="P628" s="284">
        <v>233</v>
      </c>
      <c r="Q628" s="286">
        <v>78</v>
      </c>
      <c r="R628" s="274">
        <v>562</v>
      </c>
      <c r="S628" s="274">
        <v>115</v>
      </c>
      <c r="T628" s="287">
        <f t="shared" si="9"/>
        <v>2014</v>
      </c>
      <c r="U628" s="274">
        <f>VLOOKUP(A628,'[1]SB35 Determination Data'!$B$4:$F$542,5,FALSE)</f>
        <v>2014</v>
      </c>
    </row>
    <row r="629" spans="1:21" s="274" customFormat="1" ht="12.75" x14ac:dyDescent="0.2">
      <c r="A629" s="282" t="s">
        <v>463</v>
      </c>
      <c r="B629" s="282" t="s">
        <v>262</v>
      </c>
      <c r="C629" s="282" t="s">
        <v>649</v>
      </c>
      <c r="D629" s="283">
        <v>2015</v>
      </c>
      <c r="E629" s="282" t="s">
        <v>650</v>
      </c>
      <c r="F629" s="284">
        <v>147</v>
      </c>
      <c r="G629" s="285">
        <v>0</v>
      </c>
      <c r="H629" s="288">
        <v>0</v>
      </c>
      <c r="I629" s="285">
        <v>0</v>
      </c>
      <c r="J629" s="285">
        <v>88</v>
      </c>
      <c r="K629" s="284">
        <v>1</v>
      </c>
      <c r="L629" s="284">
        <v>0</v>
      </c>
      <c r="M629" s="284">
        <v>1</v>
      </c>
      <c r="N629" s="289">
        <v>94</v>
      </c>
      <c r="O629" s="284">
        <v>0</v>
      </c>
      <c r="P629" s="284">
        <v>233</v>
      </c>
      <c r="Q629" s="286">
        <v>4</v>
      </c>
      <c r="R629" s="274">
        <v>562</v>
      </c>
      <c r="S629" s="274">
        <v>5</v>
      </c>
      <c r="T629" s="287">
        <f t="shared" si="9"/>
        <v>2015</v>
      </c>
      <c r="U629" s="274">
        <f>VLOOKUP(A629,'[1]SB35 Determination Data'!$B$4:$F$542,5,FALSE)</f>
        <v>2014</v>
      </c>
    </row>
    <row r="630" spans="1:21" s="274" customFormat="1" ht="12.75" x14ac:dyDescent="0.2">
      <c r="A630" s="282" t="s">
        <v>463</v>
      </c>
      <c r="B630" s="282" t="s">
        <v>262</v>
      </c>
      <c r="C630" s="282" t="s">
        <v>649</v>
      </c>
      <c r="D630" s="283">
        <v>2016</v>
      </c>
      <c r="E630" s="282" t="s">
        <v>650</v>
      </c>
      <c r="F630" s="284">
        <v>147</v>
      </c>
      <c r="G630" s="285">
        <v>0</v>
      </c>
      <c r="H630" s="288">
        <v>0</v>
      </c>
      <c r="I630" s="285">
        <v>0</v>
      </c>
      <c r="J630" s="285">
        <v>88</v>
      </c>
      <c r="K630" s="284">
        <v>0</v>
      </c>
      <c r="L630" s="284">
        <v>0</v>
      </c>
      <c r="M630" s="284">
        <v>0</v>
      </c>
      <c r="N630" s="284">
        <v>94</v>
      </c>
      <c r="O630" s="284">
        <v>0</v>
      </c>
      <c r="P630" s="284">
        <v>233</v>
      </c>
      <c r="Q630" s="286">
        <v>10</v>
      </c>
      <c r="R630" s="274">
        <v>562</v>
      </c>
      <c r="S630" s="274">
        <v>10</v>
      </c>
      <c r="T630" s="287">
        <f t="shared" si="9"/>
        <v>2016</v>
      </c>
      <c r="U630" s="274">
        <f>VLOOKUP(A630,'[1]SB35 Determination Data'!$B$4:$F$542,5,FALSE)</f>
        <v>2014</v>
      </c>
    </row>
    <row r="631" spans="1:21" s="274" customFormat="1" ht="12.75" x14ac:dyDescent="0.2">
      <c r="A631" s="282" t="s">
        <v>463</v>
      </c>
      <c r="B631" s="282" t="s">
        <v>262</v>
      </c>
      <c r="C631" s="282" t="s">
        <v>649</v>
      </c>
      <c r="D631" s="283">
        <v>2017</v>
      </c>
      <c r="E631" s="282" t="s">
        <v>650</v>
      </c>
      <c r="F631" s="284">
        <v>147</v>
      </c>
      <c r="G631" s="285">
        <v>1</v>
      </c>
      <c r="H631" s="288">
        <v>1</v>
      </c>
      <c r="I631" s="285">
        <v>0</v>
      </c>
      <c r="J631" s="285">
        <v>88</v>
      </c>
      <c r="K631" s="284">
        <v>0</v>
      </c>
      <c r="L631" s="284">
        <v>0</v>
      </c>
      <c r="M631" s="284">
        <v>0</v>
      </c>
      <c r="N631" s="284">
        <v>94</v>
      </c>
      <c r="O631" s="284">
        <v>0</v>
      </c>
      <c r="P631" s="284">
        <v>233</v>
      </c>
      <c r="Q631" s="286">
        <v>20</v>
      </c>
      <c r="R631" s="274">
        <v>562</v>
      </c>
      <c r="S631" s="274">
        <v>21</v>
      </c>
      <c r="T631" s="287">
        <f t="shared" si="9"/>
        <v>2017</v>
      </c>
      <c r="U631" s="274">
        <f>VLOOKUP(A631,'[1]SB35 Determination Data'!$B$4:$F$542,5,FALSE)</f>
        <v>2014</v>
      </c>
    </row>
    <row r="632" spans="1:21" s="274" customFormat="1" ht="12.75" x14ac:dyDescent="0.2">
      <c r="A632" s="282" t="s">
        <v>287</v>
      </c>
      <c r="B632" s="282" t="s">
        <v>120</v>
      </c>
      <c r="C632" s="282" t="s">
        <v>654</v>
      </c>
      <c r="D632" s="283">
        <v>2014</v>
      </c>
      <c r="E632" s="282" t="s">
        <v>650</v>
      </c>
      <c r="F632" s="284">
        <v>138</v>
      </c>
      <c r="G632" s="285">
        <v>0</v>
      </c>
      <c r="H632" s="288">
        <v>0</v>
      </c>
      <c r="I632" s="285">
        <v>0</v>
      </c>
      <c r="J632" s="285">
        <v>78</v>
      </c>
      <c r="K632" s="284">
        <v>0</v>
      </c>
      <c r="L632" s="284">
        <v>0</v>
      </c>
      <c r="M632" s="284">
        <v>0</v>
      </c>
      <c r="N632" s="284">
        <v>85</v>
      </c>
      <c r="O632" s="284">
        <v>21</v>
      </c>
      <c r="P632" s="284">
        <v>99</v>
      </c>
      <c r="Q632" s="286">
        <v>247</v>
      </c>
      <c r="R632" s="274">
        <v>400</v>
      </c>
      <c r="S632" s="274">
        <v>268</v>
      </c>
      <c r="T632" s="287">
        <f t="shared" si="9"/>
        <v>2015</v>
      </c>
      <c r="U632" s="274">
        <f>VLOOKUP(A632,'[1]SB35 Determination Data'!$B$4:$F$542,5,FALSE)</f>
        <v>2015</v>
      </c>
    </row>
    <row r="633" spans="1:21" s="274" customFormat="1" ht="12.75" x14ac:dyDescent="0.2">
      <c r="A633" s="282" t="s">
        <v>287</v>
      </c>
      <c r="B633" s="282" t="s">
        <v>120</v>
      </c>
      <c r="C633" s="282" t="s">
        <v>654</v>
      </c>
      <c r="D633" s="283">
        <v>2015</v>
      </c>
      <c r="E633" s="282" t="s">
        <v>650</v>
      </c>
      <c r="F633" s="284">
        <v>138</v>
      </c>
      <c r="G633" s="285">
        <v>0</v>
      </c>
      <c r="H633" s="288">
        <v>0</v>
      </c>
      <c r="I633" s="285">
        <v>0</v>
      </c>
      <c r="J633" s="285">
        <v>78</v>
      </c>
      <c r="K633" s="284">
        <v>0</v>
      </c>
      <c r="L633" s="284">
        <v>0</v>
      </c>
      <c r="M633" s="284">
        <v>0</v>
      </c>
      <c r="N633" s="284">
        <v>85</v>
      </c>
      <c r="O633" s="284">
        <v>3</v>
      </c>
      <c r="P633" s="284">
        <v>99</v>
      </c>
      <c r="Q633" s="286">
        <v>13</v>
      </c>
      <c r="R633" s="274">
        <v>400</v>
      </c>
      <c r="S633" s="274">
        <v>16</v>
      </c>
      <c r="T633" s="287">
        <f t="shared" si="9"/>
        <v>2015</v>
      </c>
      <c r="U633" s="274">
        <f>VLOOKUP(A633,'[1]SB35 Determination Data'!$B$4:$F$542,5,FALSE)</f>
        <v>2015</v>
      </c>
    </row>
    <row r="634" spans="1:21" s="274" customFormat="1" ht="12.75" x14ac:dyDescent="0.2">
      <c r="A634" s="282" t="s">
        <v>287</v>
      </c>
      <c r="B634" s="282" t="s">
        <v>120</v>
      </c>
      <c r="C634" s="282" t="s">
        <v>654</v>
      </c>
      <c r="D634" s="283">
        <v>2016</v>
      </c>
      <c r="E634" s="282" t="s">
        <v>650</v>
      </c>
      <c r="F634" s="284">
        <v>138</v>
      </c>
      <c r="G634" s="285">
        <v>2</v>
      </c>
      <c r="H634" s="288">
        <v>2</v>
      </c>
      <c r="I634" s="285">
        <v>0</v>
      </c>
      <c r="J634" s="285">
        <v>78</v>
      </c>
      <c r="K634" s="284">
        <v>2</v>
      </c>
      <c r="L634" s="284">
        <v>2</v>
      </c>
      <c r="M634" s="284">
        <v>0</v>
      </c>
      <c r="N634" s="289">
        <v>85</v>
      </c>
      <c r="O634" s="284">
        <v>10</v>
      </c>
      <c r="P634" s="284">
        <v>99</v>
      </c>
      <c r="Q634" s="286">
        <v>62</v>
      </c>
      <c r="R634" s="274">
        <v>400</v>
      </c>
      <c r="S634" s="274">
        <v>76</v>
      </c>
      <c r="T634" s="287">
        <f t="shared" si="9"/>
        <v>2016</v>
      </c>
      <c r="U634" s="274">
        <f>VLOOKUP(A634,'[1]SB35 Determination Data'!$B$4:$F$542,5,FALSE)</f>
        <v>2015</v>
      </c>
    </row>
    <row r="635" spans="1:21" s="274" customFormat="1" ht="12.75" x14ac:dyDescent="0.2">
      <c r="A635" s="282" t="s">
        <v>287</v>
      </c>
      <c r="B635" s="282" t="s">
        <v>120</v>
      </c>
      <c r="C635" s="282" t="s">
        <v>654</v>
      </c>
      <c r="D635" s="283">
        <v>2017</v>
      </c>
      <c r="E635" s="282" t="s">
        <v>650</v>
      </c>
      <c r="F635" s="284">
        <v>138</v>
      </c>
      <c r="G635" s="285">
        <v>0</v>
      </c>
      <c r="H635" s="288">
        <v>0</v>
      </c>
      <c r="I635" s="285">
        <v>0</v>
      </c>
      <c r="J635" s="285">
        <v>78</v>
      </c>
      <c r="K635" s="284">
        <v>1</v>
      </c>
      <c r="L635" s="284">
        <v>1</v>
      </c>
      <c r="M635" s="284">
        <v>0</v>
      </c>
      <c r="N635" s="284">
        <v>85</v>
      </c>
      <c r="O635" s="284">
        <v>9</v>
      </c>
      <c r="P635" s="284">
        <v>99</v>
      </c>
      <c r="Q635" s="286">
        <v>25</v>
      </c>
      <c r="R635" s="274">
        <v>400</v>
      </c>
      <c r="S635" s="274">
        <v>35</v>
      </c>
      <c r="T635" s="287">
        <f t="shared" si="9"/>
        <v>2017</v>
      </c>
      <c r="U635" s="274">
        <f>VLOOKUP(A635,'[1]SB35 Determination Data'!$B$4:$F$542,5,FALSE)</f>
        <v>2015</v>
      </c>
    </row>
    <row r="636" spans="1:21" s="274" customFormat="1" ht="12.75" x14ac:dyDescent="0.2">
      <c r="A636" s="282" t="s">
        <v>464</v>
      </c>
      <c r="B636" s="282" t="s">
        <v>436</v>
      </c>
      <c r="C636" s="282" t="s">
        <v>649</v>
      </c>
      <c r="D636" s="283">
        <v>2014</v>
      </c>
      <c r="E636" s="282" t="s">
        <v>650</v>
      </c>
      <c r="F636" s="284">
        <v>1</v>
      </c>
      <c r="G636" s="285">
        <v>0</v>
      </c>
      <c r="H636" s="288">
        <v>0</v>
      </c>
      <c r="I636" s="285">
        <v>0</v>
      </c>
      <c r="J636" s="285">
        <v>1</v>
      </c>
      <c r="K636" s="284">
        <v>0</v>
      </c>
      <c r="L636" s="284">
        <v>0</v>
      </c>
      <c r="M636" s="284">
        <v>0</v>
      </c>
      <c r="N636" s="284">
        <v>0</v>
      </c>
      <c r="O636" s="284">
        <v>0</v>
      </c>
      <c r="P636" s="284">
        <v>0</v>
      </c>
      <c r="Q636" s="286">
        <v>15</v>
      </c>
      <c r="R636" s="274">
        <v>2</v>
      </c>
      <c r="S636" s="274">
        <v>15</v>
      </c>
      <c r="T636" s="287">
        <f t="shared" si="9"/>
        <v>2014</v>
      </c>
      <c r="U636" s="274">
        <f>VLOOKUP(A636,'[1]SB35 Determination Data'!$B$4:$F$542,5,FALSE)</f>
        <v>2014</v>
      </c>
    </row>
    <row r="637" spans="1:21" s="274" customFormat="1" ht="12.75" x14ac:dyDescent="0.2">
      <c r="A637" s="282" t="s">
        <v>464</v>
      </c>
      <c r="B637" s="282" t="s">
        <v>436</v>
      </c>
      <c r="C637" s="282" t="s">
        <v>649</v>
      </c>
      <c r="D637" s="283">
        <v>2015</v>
      </c>
      <c r="E637" s="282" t="s">
        <v>650</v>
      </c>
      <c r="F637" s="284">
        <v>1</v>
      </c>
      <c r="G637" s="285">
        <v>0</v>
      </c>
      <c r="H637" s="288">
        <v>0</v>
      </c>
      <c r="I637" s="285">
        <v>0</v>
      </c>
      <c r="J637" s="285">
        <v>1</v>
      </c>
      <c r="K637" s="284">
        <v>0</v>
      </c>
      <c r="L637" s="284">
        <v>0</v>
      </c>
      <c r="M637" s="284">
        <v>0</v>
      </c>
      <c r="N637" s="284">
        <v>0</v>
      </c>
      <c r="O637" s="284">
        <v>0</v>
      </c>
      <c r="P637" s="284">
        <v>0</v>
      </c>
      <c r="Q637" s="286">
        <v>15</v>
      </c>
      <c r="R637" s="274">
        <v>2</v>
      </c>
      <c r="S637" s="274">
        <v>15</v>
      </c>
      <c r="T637" s="287">
        <f t="shared" si="9"/>
        <v>2015</v>
      </c>
      <c r="U637" s="274">
        <f>VLOOKUP(A637,'[1]SB35 Determination Data'!$B$4:$F$542,5,FALSE)</f>
        <v>2014</v>
      </c>
    </row>
    <row r="638" spans="1:21" s="274" customFormat="1" ht="12.75" x14ac:dyDescent="0.2">
      <c r="A638" s="282" t="s">
        <v>464</v>
      </c>
      <c r="B638" s="282" t="s">
        <v>436</v>
      </c>
      <c r="C638" s="282" t="s">
        <v>649</v>
      </c>
      <c r="D638" s="283">
        <v>2016</v>
      </c>
      <c r="E638" s="282" t="s">
        <v>650</v>
      </c>
      <c r="F638" s="284">
        <v>1</v>
      </c>
      <c r="G638" s="285">
        <v>0</v>
      </c>
      <c r="H638" s="288">
        <v>0</v>
      </c>
      <c r="I638" s="285">
        <v>0</v>
      </c>
      <c r="J638" s="285">
        <v>1</v>
      </c>
      <c r="K638" s="284">
        <v>0</v>
      </c>
      <c r="L638" s="284">
        <v>0</v>
      </c>
      <c r="M638" s="284">
        <v>0</v>
      </c>
      <c r="N638" s="289">
        <v>0</v>
      </c>
      <c r="O638" s="284">
        <v>4</v>
      </c>
      <c r="P638" s="284">
        <v>0</v>
      </c>
      <c r="Q638" s="286">
        <v>8</v>
      </c>
      <c r="R638" s="274">
        <v>2</v>
      </c>
      <c r="S638" s="274">
        <v>12</v>
      </c>
      <c r="T638" s="287">
        <f t="shared" si="9"/>
        <v>2016</v>
      </c>
      <c r="U638" s="274">
        <f>VLOOKUP(A638,'[1]SB35 Determination Data'!$B$4:$F$542,5,FALSE)</f>
        <v>2014</v>
      </c>
    </row>
    <row r="639" spans="1:21" s="274" customFormat="1" ht="12.75" x14ac:dyDescent="0.2">
      <c r="A639" s="282" t="s">
        <v>464</v>
      </c>
      <c r="B639" s="282" t="s">
        <v>436</v>
      </c>
      <c r="C639" s="282" t="s">
        <v>649</v>
      </c>
      <c r="D639" s="283">
        <v>2017</v>
      </c>
      <c r="E639" s="282" t="s">
        <v>650</v>
      </c>
      <c r="F639" s="284">
        <v>1</v>
      </c>
      <c r="G639" s="285">
        <v>0</v>
      </c>
      <c r="H639" s="288">
        <v>0</v>
      </c>
      <c r="I639" s="285">
        <v>0</v>
      </c>
      <c r="J639" s="285">
        <v>1</v>
      </c>
      <c r="K639" s="284">
        <v>1</v>
      </c>
      <c r="L639" s="284">
        <v>1</v>
      </c>
      <c r="M639" s="284">
        <v>0</v>
      </c>
      <c r="N639" s="284">
        <v>0</v>
      </c>
      <c r="O639" s="284">
        <v>3</v>
      </c>
      <c r="P639" s="284">
        <v>0</v>
      </c>
      <c r="Q639" s="286">
        <v>19</v>
      </c>
      <c r="R639" s="274">
        <v>2</v>
      </c>
      <c r="S639" s="274">
        <v>23</v>
      </c>
      <c r="T639" s="287">
        <f t="shared" si="9"/>
        <v>2017</v>
      </c>
      <c r="U639" s="274">
        <f>VLOOKUP(A639,'[1]SB35 Determination Data'!$B$4:$F$542,5,FALSE)</f>
        <v>2014</v>
      </c>
    </row>
    <row r="640" spans="1:21" s="274" customFormat="1" ht="12.75" x14ac:dyDescent="0.2">
      <c r="A640" s="282" t="s">
        <v>465</v>
      </c>
      <c r="B640" s="282" t="s">
        <v>436</v>
      </c>
      <c r="C640" s="282" t="s">
        <v>649</v>
      </c>
      <c r="D640" s="283">
        <v>2014</v>
      </c>
      <c r="E640" s="282" t="s">
        <v>650</v>
      </c>
      <c r="F640" s="284">
        <v>1</v>
      </c>
      <c r="G640" s="285">
        <v>0</v>
      </c>
      <c r="H640" s="288">
        <v>0</v>
      </c>
      <c r="I640" s="285">
        <v>0</v>
      </c>
      <c r="J640" s="285">
        <v>1</v>
      </c>
      <c r="K640" s="284">
        <v>0</v>
      </c>
      <c r="L640" s="284">
        <v>0</v>
      </c>
      <c r="M640" s="284">
        <v>0</v>
      </c>
      <c r="N640" s="284">
        <v>0</v>
      </c>
      <c r="O640" s="284">
        <v>0</v>
      </c>
      <c r="P640" s="284">
        <v>0</v>
      </c>
      <c r="Q640" s="286">
        <v>0</v>
      </c>
      <c r="R640" s="274">
        <v>2</v>
      </c>
      <c r="S640" s="274">
        <v>0</v>
      </c>
      <c r="T640" s="287">
        <f t="shared" si="9"/>
        <v>2014</v>
      </c>
      <c r="U640" s="274">
        <f>VLOOKUP(A640,'[1]SB35 Determination Data'!$B$4:$F$542,5,FALSE)</f>
        <v>2014</v>
      </c>
    </row>
    <row r="641" spans="1:21" s="274" customFormat="1" ht="12.75" x14ac:dyDescent="0.2">
      <c r="A641" s="282" t="s">
        <v>465</v>
      </c>
      <c r="B641" s="282" t="s">
        <v>436</v>
      </c>
      <c r="C641" s="282" t="s">
        <v>649</v>
      </c>
      <c r="D641" s="283">
        <v>2015</v>
      </c>
      <c r="E641" s="282" t="s">
        <v>650</v>
      </c>
      <c r="F641" s="284">
        <v>1</v>
      </c>
      <c r="G641" s="285">
        <v>0</v>
      </c>
      <c r="H641" s="288">
        <v>0</v>
      </c>
      <c r="I641" s="285">
        <v>0</v>
      </c>
      <c r="J641" s="285">
        <v>1</v>
      </c>
      <c r="K641" s="284">
        <v>0</v>
      </c>
      <c r="L641" s="284">
        <v>0</v>
      </c>
      <c r="M641" s="284">
        <v>0</v>
      </c>
      <c r="N641" s="284">
        <v>0</v>
      </c>
      <c r="O641" s="284">
        <v>0</v>
      </c>
      <c r="P641" s="284">
        <v>0</v>
      </c>
      <c r="Q641" s="286">
        <v>0</v>
      </c>
      <c r="R641" s="274">
        <v>2</v>
      </c>
      <c r="S641" s="274">
        <v>0</v>
      </c>
      <c r="T641" s="287">
        <f t="shared" si="9"/>
        <v>2015</v>
      </c>
      <c r="U641" s="274">
        <f>VLOOKUP(A641,'[1]SB35 Determination Data'!$B$4:$F$542,5,FALSE)</f>
        <v>2014</v>
      </c>
    </row>
    <row r="642" spans="1:21" s="274" customFormat="1" ht="12.75" x14ac:dyDescent="0.2">
      <c r="A642" s="282" t="s">
        <v>465</v>
      </c>
      <c r="B642" s="282" t="s">
        <v>436</v>
      </c>
      <c r="C642" s="282" t="s">
        <v>649</v>
      </c>
      <c r="D642" s="283">
        <v>2016</v>
      </c>
      <c r="E642" s="282" t="s">
        <v>650</v>
      </c>
      <c r="F642" s="284">
        <v>1</v>
      </c>
      <c r="G642" s="285">
        <v>0</v>
      </c>
      <c r="H642" s="288">
        <v>0</v>
      </c>
      <c r="I642" s="285">
        <v>0</v>
      </c>
      <c r="J642" s="285">
        <v>1</v>
      </c>
      <c r="K642" s="284">
        <v>0</v>
      </c>
      <c r="L642" s="284">
        <v>0</v>
      </c>
      <c r="M642" s="284">
        <v>0</v>
      </c>
      <c r="N642" s="284">
        <v>0</v>
      </c>
      <c r="O642" s="284">
        <v>291</v>
      </c>
      <c r="P642" s="284">
        <v>0</v>
      </c>
      <c r="Q642" s="286">
        <v>1</v>
      </c>
      <c r="R642" s="274">
        <v>2</v>
      </c>
      <c r="S642" s="274">
        <v>292</v>
      </c>
      <c r="T642" s="287">
        <f t="shared" si="9"/>
        <v>2016</v>
      </c>
      <c r="U642" s="274">
        <f>VLOOKUP(A642,'[1]SB35 Determination Data'!$B$4:$F$542,5,FALSE)</f>
        <v>2014</v>
      </c>
    </row>
    <row r="643" spans="1:21" s="274" customFormat="1" ht="12.75" x14ac:dyDescent="0.2">
      <c r="A643" s="282" t="s">
        <v>465</v>
      </c>
      <c r="B643" s="282" t="s">
        <v>436</v>
      </c>
      <c r="C643" s="282" t="s">
        <v>649</v>
      </c>
      <c r="D643" s="283">
        <v>2017</v>
      </c>
      <c r="E643" s="282" t="s">
        <v>650</v>
      </c>
      <c r="F643" s="284">
        <v>1</v>
      </c>
      <c r="G643" s="285">
        <v>0</v>
      </c>
      <c r="H643" s="288">
        <v>0</v>
      </c>
      <c r="I643" s="285">
        <v>0</v>
      </c>
      <c r="J643" s="285">
        <v>1</v>
      </c>
      <c r="K643" s="284">
        <v>0</v>
      </c>
      <c r="L643" s="284">
        <v>0</v>
      </c>
      <c r="M643" s="284">
        <v>0</v>
      </c>
      <c r="N643" s="284">
        <v>0</v>
      </c>
      <c r="O643" s="284">
        <v>1</v>
      </c>
      <c r="P643" s="284">
        <v>0</v>
      </c>
      <c r="Q643" s="286">
        <v>1</v>
      </c>
      <c r="R643" s="274">
        <v>2</v>
      </c>
      <c r="S643" s="274">
        <v>2</v>
      </c>
      <c r="T643" s="287">
        <f t="shared" si="9"/>
        <v>2017</v>
      </c>
      <c r="U643" s="274">
        <f>VLOOKUP(A643,'[1]SB35 Determination Data'!$B$4:$F$542,5,FALSE)</f>
        <v>2014</v>
      </c>
    </row>
    <row r="644" spans="1:21" s="274" customFormat="1" ht="12.75" x14ac:dyDescent="0.2">
      <c r="A644" s="282" t="s">
        <v>466</v>
      </c>
      <c r="B644" s="282" t="s">
        <v>436</v>
      </c>
      <c r="C644" s="282" t="s">
        <v>649</v>
      </c>
      <c r="D644" s="283">
        <v>2014</v>
      </c>
      <c r="E644" s="282" t="s">
        <v>650</v>
      </c>
      <c r="F644" s="284">
        <v>43</v>
      </c>
      <c r="G644" s="285">
        <v>14</v>
      </c>
      <c r="H644" s="288">
        <v>14</v>
      </c>
      <c r="I644" s="285">
        <v>0</v>
      </c>
      <c r="J644" s="285">
        <v>30</v>
      </c>
      <c r="K644" s="284">
        <v>14</v>
      </c>
      <c r="L644" s="284">
        <v>14</v>
      </c>
      <c r="M644" s="284">
        <v>0</v>
      </c>
      <c r="N644" s="284">
        <v>34</v>
      </c>
      <c r="O644" s="284">
        <v>0</v>
      </c>
      <c r="P644" s="284">
        <v>75</v>
      </c>
      <c r="Q644" s="286">
        <v>427</v>
      </c>
      <c r="R644" s="274">
        <v>182</v>
      </c>
      <c r="S644" s="274">
        <v>455</v>
      </c>
      <c r="T644" s="287">
        <f t="shared" ref="T644:T707" si="10">IF(D644&gt;U644,D644,U644)</f>
        <v>2014</v>
      </c>
      <c r="U644" s="274">
        <f>VLOOKUP(A644,'[1]SB35 Determination Data'!$B$4:$F$542,5,FALSE)</f>
        <v>2014</v>
      </c>
    </row>
    <row r="645" spans="1:21" s="274" customFormat="1" ht="12.75" x14ac:dyDescent="0.2">
      <c r="A645" s="282" t="s">
        <v>466</v>
      </c>
      <c r="B645" s="282" t="s">
        <v>436</v>
      </c>
      <c r="C645" s="282" t="s">
        <v>649</v>
      </c>
      <c r="D645" s="283">
        <v>2015</v>
      </c>
      <c r="E645" s="282" t="s">
        <v>650</v>
      </c>
      <c r="F645" s="284">
        <v>43</v>
      </c>
      <c r="G645" s="285">
        <v>0</v>
      </c>
      <c r="H645" s="288">
        <v>0</v>
      </c>
      <c r="I645" s="285">
        <v>0</v>
      </c>
      <c r="J645" s="285">
        <v>30</v>
      </c>
      <c r="K645" s="284">
        <v>0</v>
      </c>
      <c r="L645" s="284">
        <v>0</v>
      </c>
      <c r="M645" s="284">
        <v>0</v>
      </c>
      <c r="N645" s="284">
        <v>34</v>
      </c>
      <c r="O645" s="284">
        <v>2</v>
      </c>
      <c r="P645" s="284">
        <v>75</v>
      </c>
      <c r="Q645" s="286">
        <v>4</v>
      </c>
      <c r="R645" s="274">
        <v>182</v>
      </c>
      <c r="S645" s="274">
        <v>6</v>
      </c>
      <c r="T645" s="287">
        <f t="shared" si="10"/>
        <v>2015</v>
      </c>
      <c r="U645" s="274">
        <f>VLOOKUP(A645,'[1]SB35 Determination Data'!$B$4:$F$542,5,FALSE)</f>
        <v>2014</v>
      </c>
    </row>
    <row r="646" spans="1:21" s="274" customFormat="1" ht="12.75" x14ac:dyDescent="0.2">
      <c r="A646" s="282" t="s">
        <v>466</v>
      </c>
      <c r="B646" s="282" t="s">
        <v>436</v>
      </c>
      <c r="C646" s="282" t="s">
        <v>649</v>
      </c>
      <c r="D646" s="283">
        <v>2016</v>
      </c>
      <c r="E646" s="282" t="s">
        <v>650</v>
      </c>
      <c r="F646" s="284">
        <v>43</v>
      </c>
      <c r="G646" s="285">
        <v>18</v>
      </c>
      <c r="H646" s="288">
        <v>18</v>
      </c>
      <c r="I646" s="285">
        <v>0</v>
      </c>
      <c r="J646" s="285">
        <v>30</v>
      </c>
      <c r="K646" s="284">
        <v>0</v>
      </c>
      <c r="L646" s="284">
        <v>0</v>
      </c>
      <c r="M646" s="284">
        <v>0</v>
      </c>
      <c r="N646" s="284">
        <v>34</v>
      </c>
      <c r="O646" s="284">
        <v>0</v>
      </c>
      <c r="P646" s="284">
        <v>75</v>
      </c>
      <c r="Q646" s="286">
        <v>508</v>
      </c>
      <c r="R646" s="274">
        <v>182</v>
      </c>
      <c r="S646" s="274">
        <v>526</v>
      </c>
      <c r="T646" s="287">
        <f t="shared" si="10"/>
        <v>2016</v>
      </c>
      <c r="U646" s="274">
        <f>VLOOKUP(A646,'[1]SB35 Determination Data'!$B$4:$F$542,5,FALSE)</f>
        <v>2014</v>
      </c>
    </row>
    <row r="647" spans="1:21" s="274" customFormat="1" ht="12.75" x14ac:dyDescent="0.2">
      <c r="A647" s="282" t="s">
        <v>466</v>
      </c>
      <c r="B647" s="282" t="s">
        <v>436</v>
      </c>
      <c r="C647" s="282" t="s">
        <v>649</v>
      </c>
      <c r="D647" s="283">
        <v>2017</v>
      </c>
      <c r="E647" s="282" t="s">
        <v>650</v>
      </c>
      <c r="F647" s="284">
        <v>43</v>
      </c>
      <c r="G647" s="285">
        <v>0</v>
      </c>
      <c r="H647" s="288">
        <v>0</v>
      </c>
      <c r="I647" s="285">
        <v>0</v>
      </c>
      <c r="J647" s="285">
        <v>30</v>
      </c>
      <c r="K647" s="284">
        <v>24</v>
      </c>
      <c r="L647" s="284">
        <v>24</v>
      </c>
      <c r="M647" s="284">
        <v>0</v>
      </c>
      <c r="N647" s="284">
        <v>34</v>
      </c>
      <c r="O647" s="284">
        <v>0</v>
      </c>
      <c r="P647" s="284">
        <v>75</v>
      </c>
      <c r="Q647" s="286">
        <v>211</v>
      </c>
      <c r="R647" s="274">
        <v>182</v>
      </c>
      <c r="S647" s="274">
        <v>235</v>
      </c>
      <c r="T647" s="287">
        <f t="shared" si="10"/>
        <v>2017</v>
      </c>
      <c r="U647" s="274">
        <f>VLOOKUP(A647,'[1]SB35 Determination Data'!$B$4:$F$542,5,FALSE)</f>
        <v>2014</v>
      </c>
    </row>
    <row r="648" spans="1:21" s="274" customFormat="1" ht="12.75" x14ac:dyDescent="0.2">
      <c r="A648" s="282" t="s">
        <v>469</v>
      </c>
      <c r="B648" s="282" t="s">
        <v>436</v>
      </c>
      <c r="C648" s="282" t="s">
        <v>649</v>
      </c>
      <c r="D648" s="283">
        <v>2014</v>
      </c>
      <c r="E648" s="282" t="s">
        <v>650</v>
      </c>
      <c r="F648" s="284">
        <v>1</v>
      </c>
      <c r="G648" s="285">
        <v>0</v>
      </c>
      <c r="H648" s="288">
        <v>0</v>
      </c>
      <c r="I648" s="285">
        <v>0</v>
      </c>
      <c r="J648" s="285">
        <v>1</v>
      </c>
      <c r="K648" s="284">
        <v>0</v>
      </c>
      <c r="L648" s="284">
        <v>0</v>
      </c>
      <c r="M648" s="284">
        <v>0</v>
      </c>
      <c r="N648" s="289">
        <v>0</v>
      </c>
      <c r="O648" s="284">
        <v>0</v>
      </c>
      <c r="P648" s="284">
        <v>0</v>
      </c>
      <c r="Q648" s="286">
        <v>0</v>
      </c>
      <c r="R648" s="274">
        <v>2</v>
      </c>
      <c r="S648" s="274">
        <v>0</v>
      </c>
      <c r="T648" s="287">
        <f t="shared" si="10"/>
        <v>2014</v>
      </c>
      <c r="U648" s="274">
        <f>VLOOKUP(A648,'[1]SB35 Determination Data'!$B$4:$F$542,5,FALSE)</f>
        <v>2014</v>
      </c>
    </row>
    <row r="649" spans="1:21" s="274" customFormat="1" ht="12.75" x14ac:dyDescent="0.2">
      <c r="A649" s="282" t="s">
        <v>469</v>
      </c>
      <c r="B649" s="282" t="s">
        <v>436</v>
      </c>
      <c r="C649" s="282" t="s">
        <v>649</v>
      </c>
      <c r="D649" s="283">
        <v>2015</v>
      </c>
      <c r="E649" s="282" t="s">
        <v>650</v>
      </c>
      <c r="F649" s="284">
        <v>1</v>
      </c>
      <c r="G649" s="285">
        <v>0</v>
      </c>
      <c r="H649" s="288">
        <v>0</v>
      </c>
      <c r="I649" s="285">
        <v>0</v>
      </c>
      <c r="J649" s="285">
        <v>1</v>
      </c>
      <c r="K649" s="284">
        <v>0</v>
      </c>
      <c r="L649" s="284">
        <v>0</v>
      </c>
      <c r="M649" s="284">
        <v>0</v>
      </c>
      <c r="N649" s="284">
        <v>0</v>
      </c>
      <c r="O649" s="284">
        <v>0</v>
      </c>
      <c r="P649" s="284">
        <v>0</v>
      </c>
      <c r="Q649" s="286">
        <v>0</v>
      </c>
      <c r="R649" s="274">
        <v>2</v>
      </c>
      <c r="S649" s="274">
        <v>0</v>
      </c>
      <c r="T649" s="287">
        <f t="shared" si="10"/>
        <v>2015</v>
      </c>
      <c r="U649" s="274">
        <f>VLOOKUP(A649,'[1]SB35 Determination Data'!$B$4:$F$542,5,FALSE)</f>
        <v>2014</v>
      </c>
    </row>
    <row r="650" spans="1:21" s="274" customFormat="1" ht="12.75" x14ac:dyDescent="0.2">
      <c r="A650" s="282" t="s">
        <v>469</v>
      </c>
      <c r="B650" s="282" t="s">
        <v>436</v>
      </c>
      <c r="C650" s="282" t="s">
        <v>649</v>
      </c>
      <c r="D650" s="283">
        <v>2016</v>
      </c>
      <c r="E650" s="282" t="s">
        <v>650</v>
      </c>
      <c r="F650" s="284">
        <v>1</v>
      </c>
      <c r="G650" s="285">
        <v>0</v>
      </c>
      <c r="H650" s="288">
        <v>0</v>
      </c>
      <c r="I650" s="285">
        <v>0</v>
      </c>
      <c r="J650" s="285">
        <v>1</v>
      </c>
      <c r="K650" s="284">
        <v>0</v>
      </c>
      <c r="L650" s="284">
        <v>0</v>
      </c>
      <c r="M650" s="284">
        <v>0</v>
      </c>
      <c r="N650" s="284">
        <v>0</v>
      </c>
      <c r="O650" s="284">
        <v>0</v>
      </c>
      <c r="P650" s="284">
        <v>0</v>
      </c>
      <c r="Q650" s="286">
        <v>0</v>
      </c>
      <c r="R650" s="274">
        <v>2</v>
      </c>
      <c r="S650" s="274">
        <v>0</v>
      </c>
      <c r="T650" s="287">
        <f t="shared" si="10"/>
        <v>2016</v>
      </c>
      <c r="U650" s="274">
        <f>VLOOKUP(A650,'[1]SB35 Determination Data'!$B$4:$F$542,5,FALSE)</f>
        <v>2014</v>
      </c>
    </row>
    <row r="651" spans="1:21" s="274" customFormat="1" ht="12.75" x14ac:dyDescent="0.2">
      <c r="A651" s="282" t="s">
        <v>469</v>
      </c>
      <c r="B651" s="282" t="s">
        <v>436</v>
      </c>
      <c r="C651" s="282" t="s">
        <v>649</v>
      </c>
      <c r="D651" s="283">
        <v>2017</v>
      </c>
      <c r="E651" s="282" t="s">
        <v>650</v>
      </c>
      <c r="F651" s="284">
        <v>1</v>
      </c>
      <c r="G651" s="285">
        <v>0</v>
      </c>
      <c r="H651" s="288">
        <v>0</v>
      </c>
      <c r="I651" s="285">
        <v>0</v>
      </c>
      <c r="J651" s="285">
        <v>1</v>
      </c>
      <c r="K651" s="284">
        <v>0</v>
      </c>
      <c r="L651" s="284">
        <v>0</v>
      </c>
      <c r="M651" s="284">
        <v>0</v>
      </c>
      <c r="N651" s="284">
        <v>0</v>
      </c>
      <c r="O651" s="284">
        <v>0</v>
      </c>
      <c r="P651" s="284">
        <v>0</v>
      </c>
      <c r="Q651" s="286">
        <v>0</v>
      </c>
      <c r="R651" s="274">
        <v>2</v>
      </c>
      <c r="S651" s="274">
        <v>0</v>
      </c>
      <c r="T651" s="287">
        <f t="shared" si="10"/>
        <v>2017</v>
      </c>
      <c r="U651" s="274">
        <f>VLOOKUP(A651,'[1]SB35 Determination Data'!$B$4:$F$542,5,FALSE)</f>
        <v>2014</v>
      </c>
    </row>
    <row r="652" spans="1:21" s="274" customFormat="1" ht="12.75" x14ac:dyDescent="0.2">
      <c r="A652" s="282" t="s">
        <v>470</v>
      </c>
      <c r="B652" s="282" t="s">
        <v>481</v>
      </c>
      <c r="C652" s="282" t="s">
        <v>649</v>
      </c>
      <c r="D652" s="283">
        <v>2014</v>
      </c>
      <c r="E652" s="282" t="s">
        <v>650</v>
      </c>
      <c r="F652" s="284">
        <v>1196</v>
      </c>
      <c r="G652" s="285">
        <v>0</v>
      </c>
      <c r="H652" s="288">
        <v>0</v>
      </c>
      <c r="I652" s="285">
        <v>0</v>
      </c>
      <c r="J652" s="285">
        <v>801</v>
      </c>
      <c r="K652" s="284">
        <v>0</v>
      </c>
      <c r="L652" s="284">
        <v>0</v>
      </c>
      <c r="M652" s="284">
        <v>0</v>
      </c>
      <c r="N652" s="289">
        <v>897</v>
      </c>
      <c r="O652" s="284">
        <v>0</v>
      </c>
      <c r="P652" s="284">
        <v>2035</v>
      </c>
      <c r="Q652" s="286">
        <v>0</v>
      </c>
      <c r="R652" s="274">
        <v>4929</v>
      </c>
      <c r="S652" s="274">
        <v>0</v>
      </c>
      <c r="T652" s="287">
        <f t="shared" si="10"/>
        <v>2014</v>
      </c>
      <c r="U652" s="274">
        <f>VLOOKUP(A652,'[1]SB35 Determination Data'!$B$4:$F$542,5,FALSE)</f>
        <v>2014</v>
      </c>
    </row>
    <row r="653" spans="1:21" s="274" customFormat="1" ht="12.75" x14ac:dyDescent="0.2">
      <c r="A653" s="282" t="s">
        <v>470</v>
      </c>
      <c r="B653" s="282" t="s">
        <v>481</v>
      </c>
      <c r="C653" s="282" t="s">
        <v>649</v>
      </c>
      <c r="D653" s="283">
        <v>2015</v>
      </c>
      <c r="E653" s="282" t="s">
        <v>650</v>
      </c>
      <c r="F653" s="284">
        <v>1196</v>
      </c>
      <c r="G653" s="285">
        <v>0</v>
      </c>
      <c r="H653" s="288">
        <v>0</v>
      </c>
      <c r="I653" s="285">
        <v>0</v>
      </c>
      <c r="J653" s="285">
        <v>801</v>
      </c>
      <c r="K653" s="284">
        <v>0</v>
      </c>
      <c r="L653" s="284">
        <v>0</v>
      </c>
      <c r="M653" s="284">
        <v>0</v>
      </c>
      <c r="N653" s="284">
        <v>897</v>
      </c>
      <c r="O653" s="284">
        <v>341</v>
      </c>
      <c r="P653" s="284">
        <v>2035</v>
      </c>
      <c r="Q653" s="286">
        <v>2</v>
      </c>
      <c r="R653" s="274">
        <v>4929</v>
      </c>
      <c r="S653" s="274">
        <v>343</v>
      </c>
      <c r="T653" s="287">
        <f t="shared" si="10"/>
        <v>2015</v>
      </c>
      <c r="U653" s="274">
        <f>VLOOKUP(A653,'[1]SB35 Determination Data'!$B$4:$F$542,5,FALSE)</f>
        <v>2014</v>
      </c>
    </row>
    <row r="654" spans="1:21" s="274" customFormat="1" ht="12.75" x14ac:dyDescent="0.2">
      <c r="A654" s="282" t="s">
        <v>470</v>
      </c>
      <c r="B654" s="282" t="s">
        <v>481</v>
      </c>
      <c r="C654" s="282" t="s">
        <v>649</v>
      </c>
      <c r="D654" s="283">
        <v>2016</v>
      </c>
      <c r="E654" s="282" t="s">
        <v>650</v>
      </c>
      <c r="F654" s="284">
        <v>1196</v>
      </c>
      <c r="G654" s="285">
        <v>0</v>
      </c>
      <c r="H654" s="288">
        <v>0</v>
      </c>
      <c r="I654" s="285">
        <v>0</v>
      </c>
      <c r="J654" s="285">
        <v>801</v>
      </c>
      <c r="K654" s="284">
        <v>0</v>
      </c>
      <c r="L654" s="284">
        <v>0</v>
      </c>
      <c r="M654" s="284">
        <v>0</v>
      </c>
      <c r="N654" s="284">
        <v>897</v>
      </c>
      <c r="O654" s="284">
        <v>203</v>
      </c>
      <c r="P654" s="284">
        <v>2035</v>
      </c>
      <c r="Q654" s="286">
        <v>258</v>
      </c>
      <c r="R654" s="274">
        <v>4929</v>
      </c>
      <c r="S654" s="274">
        <v>461</v>
      </c>
      <c r="T654" s="287">
        <f t="shared" si="10"/>
        <v>2016</v>
      </c>
      <c r="U654" s="274">
        <f>VLOOKUP(A654,'[1]SB35 Determination Data'!$B$4:$F$542,5,FALSE)</f>
        <v>2014</v>
      </c>
    </row>
    <row r="655" spans="1:21" s="274" customFormat="1" ht="12.75" x14ac:dyDescent="0.2">
      <c r="A655" s="282" t="s">
        <v>470</v>
      </c>
      <c r="B655" s="282" t="s">
        <v>481</v>
      </c>
      <c r="C655" s="282" t="s">
        <v>649</v>
      </c>
      <c r="D655" s="283">
        <v>2017</v>
      </c>
      <c r="E655" s="282" t="s">
        <v>650</v>
      </c>
      <c r="F655" s="284">
        <v>1196</v>
      </c>
      <c r="G655" s="285">
        <v>2</v>
      </c>
      <c r="H655" s="288">
        <v>0</v>
      </c>
      <c r="I655" s="285">
        <v>2</v>
      </c>
      <c r="J655" s="285">
        <v>801</v>
      </c>
      <c r="K655" s="284">
        <v>0</v>
      </c>
      <c r="L655" s="284">
        <v>0</v>
      </c>
      <c r="M655" s="284">
        <v>0</v>
      </c>
      <c r="N655" s="284">
        <v>897</v>
      </c>
      <c r="O655" s="284">
        <v>129</v>
      </c>
      <c r="P655" s="284">
        <v>2035</v>
      </c>
      <c r="Q655" s="286">
        <v>435</v>
      </c>
      <c r="R655" s="274">
        <v>4929</v>
      </c>
      <c r="S655" s="274">
        <v>566</v>
      </c>
      <c r="T655" s="287">
        <f t="shared" si="10"/>
        <v>2017</v>
      </c>
      <c r="U655" s="274">
        <f>VLOOKUP(A655,'[1]SB35 Determination Data'!$B$4:$F$542,5,FALSE)</f>
        <v>2014</v>
      </c>
    </row>
    <row r="656" spans="1:21" s="274" customFormat="1" ht="12.75" x14ac:dyDescent="0.2">
      <c r="A656" s="282" t="s">
        <v>471</v>
      </c>
      <c r="B656" s="282" t="s">
        <v>436</v>
      </c>
      <c r="C656" s="282" t="s">
        <v>649</v>
      </c>
      <c r="D656" s="283">
        <v>2014</v>
      </c>
      <c r="E656" s="282" t="s">
        <v>650</v>
      </c>
      <c r="F656" s="284">
        <v>647</v>
      </c>
      <c r="G656" s="285">
        <v>0</v>
      </c>
      <c r="H656" s="288">
        <v>0</v>
      </c>
      <c r="I656" s="285">
        <v>0</v>
      </c>
      <c r="J656" s="285">
        <v>450</v>
      </c>
      <c r="K656" s="284">
        <v>0</v>
      </c>
      <c r="L656" s="284">
        <v>0</v>
      </c>
      <c r="M656" s="284">
        <v>0</v>
      </c>
      <c r="N656" s="284">
        <v>497</v>
      </c>
      <c r="O656" s="284">
        <v>145</v>
      </c>
      <c r="P656" s="284">
        <v>1133</v>
      </c>
      <c r="Q656" s="286">
        <v>688</v>
      </c>
      <c r="R656" s="274">
        <v>2727</v>
      </c>
      <c r="S656" s="274">
        <v>833</v>
      </c>
      <c r="T656" s="287">
        <f t="shared" si="10"/>
        <v>2014</v>
      </c>
      <c r="U656" s="274">
        <f>VLOOKUP(A656,'[1]SB35 Determination Data'!$B$4:$F$542,5,FALSE)</f>
        <v>2014</v>
      </c>
    </row>
    <row r="657" spans="1:21" s="274" customFormat="1" ht="12.75" x14ac:dyDescent="0.2">
      <c r="A657" s="282" t="s">
        <v>471</v>
      </c>
      <c r="B657" s="282" t="s">
        <v>436</v>
      </c>
      <c r="C657" s="282" t="s">
        <v>649</v>
      </c>
      <c r="D657" s="283">
        <v>2015</v>
      </c>
      <c r="E657" s="282" t="s">
        <v>650</v>
      </c>
      <c r="F657" s="284">
        <v>647</v>
      </c>
      <c r="G657" s="285">
        <v>0</v>
      </c>
      <c r="H657" s="288">
        <v>0</v>
      </c>
      <c r="I657" s="285">
        <v>0</v>
      </c>
      <c r="J657" s="285">
        <v>450</v>
      </c>
      <c r="K657" s="284">
        <v>0</v>
      </c>
      <c r="L657" s="284">
        <v>0</v>
      </c>
      <c r="M657" s="284">
        <v>0</v>
      </c>
      <c r="N657" s="289">
        <v>497</v>
      </c>
      <c r="O657" s="284">
        <v>48</v>
      </c>
      <c r="P657" s="284">
        <v>1133</v>
      </c>
      <c r="Q657" s="286">
        <v>461</v>
      </c>
      <c r="R657" s="274">
        <v>2727</v>
      </c>
      <c r="S657" s="274">
        <v>509</v>
      </c>
      <c r="T657" s="287">
        <f t="shared" si="10"/>
        <v>2015</v>
      </c>
      <c r="U657" s="274">
        <f>VLOOKUP(A657,'[1]SB35 Determination Data'!$B$4:$F$542,5,FALSE)</f>
        <v>2014</v>
      </c>
    </row>
    <row r="658" spans="1:21" s="274" customFormat="1" ht="12.75" x14ac:dyDescent="0.2">
      <c r="A658" s="282" t="s">
        <v>471</v>
      </c>
      <c r="B658" s="282" t="s">
        <v>436</v>
      </c>
      <c r="C658" s="282" t="s">
        <v>649</v>
      </c>
      <c r="D658" s="283">
        <v>2016</v>
      </c>
      <c r="E658" s="282" t="s">
        <v>650</v>
      </c>
      <c r="F658" s="284">
        <v>647</v>
      </c>
      <c r="G658" s="285">
        <v>0</v>
      </c>
      <c r="H658" s="288">
        <v>0</v>
      </c>
      <c r="I658" s="285">
        <v>0</v>
      </c>
      <c r="J658" s="285">
        <v>450</v>
      </c>
      <c r="K658" s="284">
        <v>0</v>
      </c>
      <c r="L658" s="284">
        <v>0</v>
      </c>
      <c r="M658" s="284">
        <v>0</v>
      </c>
      <c r="N658" s="289">
        <v>497</v>
      </c>
      <c r="O658" s="284">
        <v>8</v>
      </c>
      <c r="P658" s="284">
        <v>1133</v>
      </c>
      <c r="Q658" s="286">
        <v>489</v>
      </c>
      <c r="R658" s="274">
        <v>2727</v>
      </c>
      <c r="S658" s="274">
        <v>497</v>
      </c>
      <c r="T658" s="287">
        <f t="shared" si="10"/>
        <v>2016</v>
      </c>
      <c r="U658" s="274">
        <f>VLOOKUP(A658,'[1]SB35 Determination Data'!$B$4:$F$542,5,FALSE)</f>
        <v>2014</v>
      </c>
    </row>
    <row r="659" spans="1:21" s="274" customFormat="1" ht="12.75" x14ac:dyDescent="0.2">
      <c r="A659" s="282" t="s">
        <v>471</v>
      </c>
      <c r="B659" s="282" t="s">
        <v>436</v>
      </c>
      <c r="C659" s="282" t="s">
        <v>649</v>
      </c>
      <c r="D659" s="283">
        <v>2017</v>
      </c>
      <c r="E659" s="282" t="s">
        <v>650</v>
      </c>
      <c r="F659" s="284">
        <v>647</v>
      </c>
      <c r="G659" s="285">
        <v>0</v>
      </c>
      <c r="H659" s="288">
        <v>0</v>
      </c>
      <c r="I659" s="285">
        <v>0</v>
      </c>
      <c r="J659" s="285">
        <v>450</v>
      </c>
      <c r="K659" s="284">
        <v>0</v>
      </c>
      <c r="L659" s="284">
        <v>0</v>
      </c>
      <c r="M659" s="284">
        <v>0</v>
      </c>
      <c r="N659" s="284">
        <v>497</v>
      </c>
      <c r="O659" s="284">
        <v>0</v>
      </c>
      <c r="P659" s="284">
        <v>1133</v>
      </c>
      <c r="Q659" s="286">
        <v>749</v>
      </c>
      <c r="R659" s="274">
        <v>2727</v>
      </c>
      <c r="S659" s="274">
        <v>749</v>
      </c>
      <c r="T659" s="287">
        <f t="shared" si="10"/>
        <v>2017</v>
      </c>
      <c r="U659" s="274">
        <f>VLOOKUP(A659,'[1]SB35 Determination Data'!$B$4:$F$542,5,FALSE)</f>
        <v>2014</v>
      </c>
    </row>
    <row r="660" spans="1:21" s="274" customFormat="1" ht="12.75" x14ac:dyDescent="0.2">
      <c r="A660" s="282" t="s">
        <v>455</v>
      </c>
      <c r="B660" s="282" t="s">
        <v>240</v>
      </c>
      <c r="C660" s="282" t="s">
        <v>660</v>
      </c>
      <c r="D660" s="283">
        <v>2017</v>
      </c>
      <c r="E660" s="282" t="s">
        <v>650</v>
      </c>
      <c r="F660" s="284">
        <v>34</v>
      </c>
      <c r="G660" s="285">
        <v>0</v>
      </c>
      <c r="H660" s="288">
        <v>0</v>
      </c>
      <c r="I660" s="285">
        <v>0</v>
      </c>
      <c r="J660" s="285">
        <v>22</v>
      </c>
      <c r="K660" s="284">
        <v>0</v>
      </c>
      <c r="L660" s="284">
        <v>0</v>
      </c>
      <c r="M660" s="284">
        <v>0</v>
      </c>
      <c r="N660" s="284">
        <v>27</v>
      </c>
      <c r="O660" s="284">
        <v>0</v>
      </c>
      <c r="P660" s="284">
        <v>64</v>
      </c>
      <c r="Q660" s="286">
        <v>4</v>
      </c>
      <c r="R660" s="274">
        <v>147</v>
      </c>
      <c r="S660" s="274">
        <v>4</v>
      </c>
      <c r="T660" s="287">
        <f t="shared" si="10"/>
        <v>2017</v>
      </c>
      <c r="U660" s="274">
        <f>VLOOKUP(A660,'[1]SB35 Determination Data'!$B$4:$F$542,5,FALSE)</f>
        <v>2014</v>
      </c>
    </row>
    <row r="661" spans="1:21" s="274" customFormat="1" ht="12.75" x14ac:dyDescent="0.2">
      <c r="A661" s="282" t="s">
        <v>472</v>
      </c>
      <c r="B661" s="282" t="s">
        <v>262</v>
      </c>
      <c r="C661" s="282" t="s">
        <v>649</v>
      </c>
      <c r="D661" s="283">
        <v>2014</v>
      </c>
      <c r="E661" s="282" t="s">
        <v>650</v>
      </c>
      <c r="F661" s="284">
        <v>107</v>
      </c>
      <c r="G661" s="285">
        <v>0</v>
      </c>
      <c r="H661" s="288">
        <v>0</v>
      </c>
      <c r="I661" s="285">
        <v>0</v>
      </c>
      <c r="J661" s="285">
        <v>63</v>
      </c>
      <c r="K661" s="284">
        <v>0</v>
      </c>
      <c r="L661" s="284">
        <v>0</v>
      </c>
      <c r="M661" s="284">
        <v>0</v>
      </c>
      <c r="N661" s="284">
        <v>67</v>
      </c>
      <c r="O661" s="284">
        <v>0</v>
      </c>
      <c r="P661" s="284">
        <v>166</v>
      </c>
      <c r="Q661" s="286">
        <v>0</v>
      </c>
      <c r="R661" s="274">
        <v>403</v>
      </c>
      <c r="S661" s="274">
        <v>0</v>
      </c>
      <c r="T661" s="287">
        <f t="shared" si="10"/>
        <v>2014</v>
      </c>
      <c r="U661" s="274">
        <f>VLOOKUP(A661,'[1]SB35 Determination Data'!$B$4:$F$542,5,FALSE)</f>
        <v>2014</v>
      </c>
    </row>
    <row r="662" spans="1:21" s="274" customFormat="1" ht="12.75" x14ac:dyDescent="0.2">
      <c r="A662" s="282" t="s">
        <v>472</v>
      </c>
      <c r="B662" s="282" t="s">
        <v>262</v>
      </c>
      <c r="C662" s="282" t="s">
        <v>649</v>
      </c>
      <c r="D662" s="283">
        <v>2015</v>
      </c>
      <c r="E662" s="282" t="s">
        <v>650</v>
      </c>
      <c r="F662" s="284">
        <v>107</v>
      </c>
      <c r="G662" s="285">
        <v>0</v>
      </c>
      <c r="H662" s="288">
        <v>0</v>
      </c>
      <c r="I662" s="285">
        <v>0</v>
      </c>
      <c r="J662" s="285">
        <v>63</v>
      </c>
      <c r="K662" s="284">
        <v>0</v>
      </c>
      <c r="L662" s="284">
        <v>0</v>
      </c>
      <c r="M662" s="284">
        <v>0</v>
      </c>
      <c r="N662" s="284">
        <v>67</v>
      </c>
      <c r="O662" s="284">
        <v>0</v>
      </c>
      <c r="P662" s="284">
        <v>166</v>
      </c>
      <c r="Q662" s="286">
        <v>52</v>
      </c>
      <c r="R662" s="274">
        <v>403</v>
      </c>
      <c r="S662" s="274">
        <v>52</v>
      </c>
      <c r="T662" s="287">
        <f t="shared" si="10"/>
        <v>2015</v>
      </c>
      <c r="U662" s="274">
        <f>VLOOKUP(A662,'[1]SB35 Determination Data'!$B$4:$F$542,5,FALSE)</f>
        <v>2014</v>
      </c>
    </row>
    <row r="663" spans="1:21" s="274" customFormat="1" ht="12.75" x14ac:dyDescent="0.2">
      <c r="A663" s="282" t="s">
        <v>472</v>
      </c>
      <c r="B663" s="282" t="s">
        <v>262</v>
      </c>
      <c r="C663" s="282" t="s">
        <v>649</v>
      </c>
      <c r="D663" s="283">
        <v>2016</v>
      </c>
      <c r="E663" s="282" t="s">
        <v>650</v>
      </c>
      <c r="F663" s="284">
        <v>107</v>
      </c>
      <c r="G663" s="285">
        <v>0</v>
      </c>
      <c r="H663" s="288">
        <v>0</v>
      </c>
      <c r="I663" s="285">
        <v>0</v>
      </c>
      <c r="J663" s="285">
        <v>63</v>
      </c>
      <c r="K663" s="284">
        <v>0</v>
      </c>
      <c r="L663" s="284">
        <v>0</v>
      </c>
      <c r="M663" s="284">
        <v>0</v>
      </c>
      <c r="N663" s="284">
        <v>67</v>
      </c>
      <c r="O663" s="284">
        <v>0</v>
      </c>
      <c r="P663" s="284">
        <v>166</v>
      </c>
      <c r="Q663" s="286">
        <v>20</v>
      </c>
      <c r="R663" s="274">
        <v>403</v>
      </c>
      <c r="S663" s="274">
        <v>20</v>
      </c>
      <c r="T663" s="287">
        <f t="shared" si="10"/>
        <v>2016</v>
      </c>
      <c r="U663" s="274">
        <f>VLOOKUP(A663,'[1]SB35 Determination Data'!$B$4:$F$542,5,FALSE)</f>
        <v>2014</v>
      </c>
    </row>
    <row r="664" spans="1:21" s="274" customFormat="1" ht="12.75" x14ac:dyDescent="0.2">
      <c r="A664" s="282" t="s">
        <v>472</v>
      </c>
      <c r="B664" s="282" t="s">
        <v>262</v>
      </c>
      <c r="C664" s="282" t="s">
        <v>649</v>
      </c>
      <c r="D664" s="283">
        <v>2017</v>
      </c>
      <c r="E664" s="282" t="s">
        <v>650</v>
      </c>
      <c r="F664" s="284">
        <v>107</v>
      </c>
      <c r="G664" s="285">
        <v>2</v>
      </c>
      <c r="H664" s="288">
        <v>0</v>
      </c>
      <c r="I664" s="285">
        <v>2</v>
      </c>
      <c r="J664" s="285">
        <v>63</v>
      </c>
      <c r="K664" s="284">
        <v>0</v>
      </c>
      <c r="L664" s="284">
        <v>0</v>
      </c>
      <c r="M664" s="284">
        <v>0</v>
      </c>
      <c r="N664" s="284">
        <v>67</v>
      </c>
      <c r="O664" s="284">
        <v>0</v>
      </c>
      <c r="P664" s="284">
        <v>166</v>
      </c>
      <c r="Q664" s="286">
        <v>48</v>
      </c>
      <c r="R664" s="274">
        <v>403</v>
      </c>
      <c r="S664" s="274">
        <v>50</v>
      </c>
      <c r="T664" s="287">
        <f t="shared" si="10"/>
        <v>2017</v>
      </c>
      <c r="U664" s="274">
        <f>VLOOKUP(A664,'[1]SB35 Determination Data'!$B$4:$F$542,5,FALSE)</f>
        <v>2014</v>
      </c>
    </row>
    <row r="665" spans="1:21" s="274" customFormat="1" ht="12.75" x14ac:dyDescent="0.2">
      <c r="A665" s="282" t="s">
        <v>476</v>
      </c>
      <c r="B665" s="282" t="s">
        <v>301</v>
      </c>
      <c r="C665" s="282" t="s">
        <v>654</v>
      </c>
      <c r="D665" s="283">
        <v>2014</v>
      </c>
      <c r="E665" s="282" t="s">
        <v>650</v>
      </c>
      <c r="F665" s="284">
        <v>40</v>
      </c>
      <c r="G665" s="285">
        <v>3</v>
      </c>
      <c r="H665" s="288">
        <v>3</v>
      </c>
      <c r="I665" s="285">
        <v>0</v>
      </c>
      <c r="J665" s="285">
        <v>20</v>
      </c>
      <c r="K665" s="284">
        <v>9</v>
      </c>
      <c r="L665" s="284">
        <v>9</v>
      </c>
      <c r="M665" s="284">
        <v>0</v>
      </c>
      <c r="N665" s="284">
        <v>21</v>
      </c>
      <c r="O665" s="284">
        <v>8</v>
      </c>
      <c r="P665" s="284">
        <v>51</v>
      </c>
      <c r="Q665" s="286">
        <v>76</v>
      </c>
      <c r="R665" s="274">
        <v>132</v>
      </c>
      <c r="S665" s="274">
        <v>96</v>
      </c>
      <c r="T665" s="287">
        <f t="shared" si="10"/>
        <v>2015</v>
      </c>
      <c r="U665" s="274">
        <f>VLOOKUP(A665,'[1]SB35 Determination Data'!$B$4:$F$542,5,FALSE)</f>
        <v>2015</v>
      </c>
    </row>
    <row r="666" spans="1:21" s="274" customFormat="1" ht="12.75" x14ac:dyDescent="0.2">
      <c r="A666" s="282" t="s">
        <v>476</v>
      </c>
      <c r="B666" s="282" t="s">
        <v>301</v>
      </c>
      <c r="C666" s="282" t="s">
        <v>654</v>
      </c>
      <c r="D666" s="283">
        <v>2015</v>
      </c>
      <c r="E666" s="282" t="s">
        <v>650</v>
      </c>
      <c r="F666" s="284">
        <v>40</v>
      </c>
      <c r="G666" s="285">
        <v>0</v>
      </c>
      <c r="H666" s="288">
        <v>0</v>
      </c>
      <c r="I666" s="285">
        <v>0</v>
      </c>
      <c r="J666" s="285">
        <v>20</v>
      </c>
      <c r="K666" s="284">
        <v>0</v>
      </c>
      <c r="L666" s="284">
        <v>0</v>
      </c>
      <c r="M666" s="284">
        <v>0</v>
      </c>
      <c r="N666" s="284">
        <v>21</v>
      </c>
      <c r="O666" s="284">
        <v>0</v>
      </c>
      <c r="P666" s="284">
        <v>51</v>
      </c>
      <c r="Q666" s="286">
        <v>7</v>
      </c>
      <c r="R666" s="274">
        <v>132</v>
      </c>
      <c r="S666" s="274">
        <v>7</v>
      </c>
      <c r="T666" s="287">
        <f t="shared" si="10"/>
        <v>2015</v>
      </c>
      <c r="U666" s="274">
        <f>VLOOKUP(A666,'[1]SB35 Determination Data'!$B$4:$F$542,5,FALSE)</f>
        <v>2015</v>
      </c>
    </row>
    <row r="667" spans="1:21" s="274" customFormat="1" ht="12.75" x14ac:dyDescent="0.2">
      <c r="A667" s="282" t="s">
        <v>476</v>
      </c>
      <c r="B667" s="282" t="s">
        <v>301</v>
      </c>
      <c r="C667" s="282" t="s">
        <v>654</v>
      </c>
      <c r="D667" s="283">
        <v>2016</v>
      </c>
      <c r="E667" s="282" t="s">
        <v>650</v>
      </c>
      <c r="F667" s="284">
        <v>40</v>
      </c>
      <c r="G667" s="285">
        <v>0</v>
      </c>
      <c r="H667" s="288">
        <v>0</v>
      </c>
      <c r="I667" s="285">
        <v>0</v>
      </c>
      <c r="J667" s="285">
        <v>20</v>
      </c>
      <c r="K667" s="284">
        <v>0</v>
      </c>
      <c r="L667" s="284">
        <v>0</v>
      </c>
      <c r="M667" s="284">
        <v>0</v>
      </c>
      <c r="N667" s="284">
        <v>21</v>
      </c>
      <c r="O667" s="284">
        <v>1</v>
      </c>
      <c r="P667" s="284">
        <v>51</v>
      </c>
      <c r="Q667" s="286">
        <v>3</v>
      </c>
      <c r="R667" s="274">
        <v>132</v>
      </c>
      <c r="S667" s="274">
        <v>4</v>
      </c>
      <c r="T667" s="287">
        <f t="shared" si="10"/>
        <v>2016</v>
      </c>
      <c r="U667" s="274">
        <f>VLOOKUP(A667,'[1]SB35 Determination Data'!$B$4:$F$542,5,FALSE)</f>
        <v>2015</v>
      </c>
    </row>
    <row r="668" spans="1:21" s="274" customFormat="1" ht="12.75" x14ac:dyDescent="0.2">
      <c r="A668" s="282" t="s">
        <v>476</v>
      </c>
      <c r="B668" s="282" t="s">
        <v>301</v>
      </c>
      <c r="C668" s="282" t="s">
        <v>654</v>
      </c>
      <c r="D668" s="283">
        <v>2017</v>
      </c>
      <c r="E668" s="282" t="s">
        <v>650</v>
      </c>
      <c r="F668" s="284">
        <v>40</v>
      </c>
      <c r="G668" s="285">
        <v>0</v>
      </c>
      <c r="H668" s="288">
        <v>0</v>
      </c>
      <c r="I668" s="285">
        <v>0</v>
      </c>
      <c r="J668" s="285">
        <v>20</v>
      </c>
      <c r="K668" s="284">
        <v>1</v>
      </c>
      <c r="L668" s="284">
        <v>0</v>
      </c>
      <c r="M668" s="284">
        <v>1</v>
      </c>
      <c r="N668" s="284">
        <v>21</v>
      </c>
      <c r="O668" s="284">
        <v>0</v>
      </c>
      <c r="P668" s="284">
        <v>51</v>
      </c>
      <c r="Q668" s="286">
        <v>0</v>
      </c>
      <c r="R668" s="274">
        <v>132</v>
      </c>
      <c r="S668" s="274">
        <v>1</v>
      </c>
      <c r="T668" s="287">
        <f t="shared" si="10"/>
        <v>2017</v>
      </c>
      <c r="U668" s="274">
        <f>VLOOKUP(A668,'[1]SB35 Determination Data'!$B$4:$F$542,5,FALSE)</f>
        <v>2015</v>
      </c>
    </row>
    <row r="669" spans="1:21" s="274" customFormat="1" ht="12.75" x14ac:dyDescent="0.2">
      <c r="A669" s="282" t="s">
        <v>479</v>
      </c>
      <c r="B669" s="282" t="s">
        <v>383</v>
      </c>
      <c r="C669" s="282" t="s">
        <v>531</v>
      </c>
      <c r="D669" s="283">
        <v>2016</v>
      </c>
      <c r="E669" s="282" t="s">
        <v>650</v>
      </c>
      <c r="F669" s="284">
        <v>1019</v>
      </c>
      <c r="G669" s="285">
        <v>0</v>
      </c>
      <c r="H669" s="288">
        <v>0</v>
      </c>
      <c r="I669" s="285">
        <v>0</v>
      </c>
      <c r="J669" s="285">
        <v>759</v>
      </c>
      <c r="K669" s="284">
        <v>0</v>
      </c>
      <c r="L669" s="284">
        <v>0</v>
      </c>
      <c r="M669" s="284">
        <v>0</v>
      </c>
      <c r="N669" s="284">
        <v>957</v>
      </c>
      <c r="O669" s="284">
        <v>0</v>
      </c>
      <c r="P669" s="284">
        <v>2421</v>
      </c>
      <c r="Q669" s="286">
        <v>170</v>
      </c>
      <c r="R669" s="274">
        <v>5156</v>
      </c>
      <c r="S669" s="274">
        <v>170</v>
      </c>
      <c r="T669" s="287">
        <f t="shared" si="10"/>
        <v>2016</v>
      </c>
      <c r="U669" s="274">
        <f>VLOOKUP(A669,'[1]SB35 Determination Data'!$B$4:$F$542,5,FALSE)</f>
        <v>2016</v>
      </c>
    </row>
    <row r="670" spans="1:21" s="274" customFormat="1" ht="12.75" x14ac:dyDescent="0.2">
      <c r="A670" s="282" t="s">
        <v>479</v>
      </c>
      <c r="B670" s="282" t="s">
        <v>383</v>
      </c>
      <c r="C670" s="282" t="s">
        <v>531</v>
      </c>
      <c r="D670" s="283">
        <v>2017</v>
      </c>
      <c r="E670" s="282" t="s">
        <v>650</v>
      </c>
      <c r="F670" s="284">
        <v>1019</v>
      </c>
      <c r="G670" s="285">
        <v>0</v>
      </c>
      <c r="H670" s="288">
        <v>0</v>
      </c>
      <c r="I670" s="285">
        <v>0</v>
      </c>
      <c r="J670" s="285">
        <v>759</v>
      </c>
      <c r="K670" s="284">
        <v>0</v>
      </c>
      <c r="L670" s="284">
        <v>0</v>
      </c>
      <c r="M670" s="284">
        <v>0</v>
      </c>
      <c r="N670" s="289">
        <v>957</v>
      </c>
      <c r="O670" s="284">
        <v>0</v>
      </c>
      <c r="P670" s="284">
        <v>2421</v>
      </c>
      <c r="Q670" s="286">
        <v>297</v>
      </c>
      <c r="R670" s="274">
        <v>5156</v>
      </c>
      <c r="S670" s="274">
        <v>297</v>
      </c>
      <c r="T670" s="287">
        <f t="shared" si="10"/>
        <v>2017</v>
      </c>
      <c r="U670" s="274">
        <f>VLOOKUP(A670,'[1]SB35 Determination Data'!$B$4:$F$542,5,FALSE)</f>
        <v>2016</v>
      </c>
    </row>
    <row r="671" spans="1:21" s="274" customFormat="1" ht="12.75" x14ac:dyDescent="0.2">
      <c r="A671" s="282" t="s">
        <v>474</v>
      </c>
      <c r="B671" s="282" t="s">
        <v>262</v>
      </c>
      <c r="C671" s="282" t="s">
        <v>649</v>
      </c>
      <c r="D671" s="283">
        <v>2014</v>
      </c>
      <c r="E671" s="282" t="s">
        <v>650</v>
      </c>
      <c r="F671" s="284">
        <v>96</v>
      </c>
      <c r="G671" s="285">
        <v>0</v>
      </c>
      <c r="H671" s="288">
        <v>0</v>
      </c>
      <c r="I671" s="285">
        <v>0</v>
      </c>
      <c r="J671" s="285">
        <v>57</v>
      </c>
      <c r="K671" s="284">
        <v>0</v>
      </c>
      <c r="L671" s="284">
        <v>0</v>
      </c>
      <c r="M671" s="284">
        <v>0</v>
      </c>
      <c r="N671" s="284">
        <v>62</v>
      </c>
      <c r="O671" s="284">
        <v>0</v>
      </c>
      <c r="P671" s="284">
        <v>166</v>
      </c>
      <c r="Q671" s="286">
        <v>5</v>
      </c>
      <c r="R671" s="274">
        <v>381</v>
      </c>
      <c r="S671" s="274">
        <v>5</v>
      </c>
      <c r="T671" s="287">
        <f t="shared" si="10"/>
        <v>2014</v>
      </c>
      <c r="U671" s="274">
        <f>VLOOKUP(A671,'[1]SB35 Determination Data'!$B$4:$F$542,5,FALSE)</f>
        <v>2014</v>
      </c>
    </row>
    <row r="672" spans="1:21" s="274" customFormat="1" ht="12.75" x14ac:dyDescent="0.2">
      <c r="A672" s="282" t="s">
        <v>474</v>
      </c>
      <c r="B672" s="282" t="s">
        <v>262</v>
      </c>
      <c r="C672" s="282" t="s">
        <v>649</v>
      </c>
      <c r="D672" s="283">
        <v>2016</v>
      </c>
      <c r="E672" s="282" t="s">
        <v>650</v>
      </c>
      <c r="F672" s="284">
        <v>96</v>
      </c>
      <c r="G672" s="285">
        <v>0</v>
      </c>
      <c r="H672" s="288">
        <v>0</v>
      </c>
      <c r="I672" s="285">
        <v>0</v>
      </c>
      <c r="J672" s="285">
        <v>57</v>
      </c>
      <c r="K672" s="284">
        <v>0</v>
      </c>
      <c r="L672" s="284">
        <v>0</v>
      </c>
      <c r="M672" s="284">
        <v>0</v>
      </c>
      <c r="N672" s="284">
        <v>62</v>
      </c>
      <c r="O672" s="284">
        <v>0</v>
      </c>
      <c r="P672" s="284">
        <v>166</v>
      </c>
      <c r="Q672" s="286">
        <v>3</v>
      </c>
      <c r="R672" s="274">
        <v>381</v>
      </c>
      <c r="S672" s="274">
        <v>3</v>
      </c>
      <c r="T672" s="287">
        <f t="shared" si="10"/>
        <v>2016</v>
      </c>
      <c r="U672" s="274">
        <f>VLOOKUP(A672,'[1]SB35 Determination Data'!$B$4:$F$542,5,FALSE)</f>
        <v>2014</v>
      </c>
    </row>
    <row r="673" spans="1:21" s="274" customFormat="1" ht="12.75" x14ac:dyDescent="0.2">
      <c r="A673" s="282" t="s">
        <v>474</v>
      </c>
      <c r="B673" s="282" t="s">
        <v>262</v>
      </c>
      <c r="C673" s="282" t="s">
        <v>649</v>
      </c>
      <c r="D673" s="283">
        <v>2017</v>
      </c>
      <c r="E673" s="282" t="s">
        <v>650</v>
      </c>
      <c r="F673" s="284">
        <v>96</v>
      </c>
      <c r="G673" s="285">
        <v>0</v>
      </c>
      <c r="H673" s="288">
        <v>0</v>
      </c>
      <c r="I673" s="285">
        <v>0</v>
      </c>
      <c r="J673" s="285">
        <v>57</v>
      </c>
      <c r="K673" s="284">
        <v>0</v>
      </c>
      <c r="L673" s="284">
        <v>0</v>
      </c>
      <c r="M673" s="284">
        <v>0</v>
      </c>
      <c r="N673" s="284">
        <v>62</v>
      </c>
      <c r="O673" s="284">
        <v>0</v>
      </c>
      <c r="P673" s="284">
        <v>166</v>
      </c>
      <c r="Q673" s="286">
        <v>13</v>
      </c>
      <c r="R673" s="274">
        <v>381</v>
      </c>
      <c r="S673" s="274">
        <v>13</v>
      </c>
      <c r="T673" s="287">
        <f t="shared" si="10"/>
        <v>2017</v>
      </c>
      <c r="U673" s="274">
        <f>VLOOKUP(A673,'[1]SB35 Determination Data'!$B$4:$F$542,5,FALSE)</f>
        <v>2014</v>
      </c>
    </row>
    <row r="674" spans="1:21" s="274" customFormat="1" ht="12.75" x14ac:dyDescent="0.2">
      <c r="A674" s="282" t="s">
        <v>485</v>
      </c>
      <c r="B674" s="282" t="s">
        <v>557</v>
      </c>
      <c r="C674" s="282" t="s">
        <v>758</v>
      </c>
      <c r="D674" s="283">
        <v>2013</v>
      </c>
      <c r="E674" s="282" t="s">
        <v>650</v>
      </c>
      <c r="F674" s="284">
        <v>77</v>
      </c>
      <c r="G674" s="285">
        <v>89</v>
      </c>
      <c r="H674" s="288">
        <v>89</v>
      </c>
      <c r="I674" s="285">
        <v>0</v>
      </c>
      <c r="J674" s="285">
        <v>59</v>
      </c>
      <c r="K674" s="284">
        <v>81</v>
      </c>
      <c r="L674" s="284">
        <v>81</v>
      </c>
      <c r="M674" s="284">
        <v>0</v>
      </c>
      <c r="N674" s="289">
        <v>54</v>
      </c>
      <c r="O674" s="284">
        <v>6</v>
      </c>
      <c r="P674" s="284">
        <v>119</v>
      </c>
      <c r="Q674" s="286">
        <v>1</v>
      </c>
      <c r="R674" s="274">
        <v>309</v>
      </c>
      <c r="S674" s="274">
        <v>177</v>
      </c>
      <c r="T674" s="287">
        <f t="shared" si="10"/>
        <v>2013</v>
      </c>
      <c r="U674" s="274">
        <f>VLOOKUP(A674,'[1]SB35 Determination Data'!$B$4:$F$542,5,FALSE)</f>
        <v>2013</v>
      </c>
    </row>
    <row r="675" spans="1:21" s="274" customFormat="1" ht="12.75" x14ac:dyDescent="0.2">
      <c r="A675" s="282" t="s">
        <v>485</v>
      </c>
      <c r="B675" s="282" t="s">
        <v>557</v>
      </c>
      <c r="C675" s="282" t="s">
        <v>758</v>
      </c>
      <c r="D675" s="283">
        <v>2014</v>
      </c>
      <c r="E675" s="282" t="s">
        <v>650</v>
      </c>
      <c r="F675" s="284">
        <v>77</v>
      </c>
      <c r="G675" s="285">
        <v>0</v>
      </c>
      <c r="H675" s="288">
        <v>0</v>
      </c>
      <c r="I675" s="285">
        <v>0</v>
      </c>
      <c r="J675" s="285">
        <v>59</v>
      </c>
      <c r="K675" s="284">
        <v>0</v>
      </c>
      <c r="L675" s="284">
        <v>0</v>
      </c>
      <c r="M675" s="284">
        <v>0</v>
      </c>
      <c r="N675" s="284">
        <v>54</v>
      </c>
      <c r="O675" s="284">
        <v>0</v>
      </c>
      <c r="P675" s="284">
        <v>119</v>
      </c>
      <c r="Q675" s="286">
        <v>23</v>
      </c>
      <c r="R675" s="274">
        <v>309</v>
      </c>
      <c r="S675" s="274">
        <v>23</v>
      </c>
      <c r="T675" s="287">
        <f t="shared" si="10"/>
        <v>2014</v>
      </c>
      <c r="U675" s="274">
        <f>VLOOKUP(A675,'[1]SB35 Determination Data'!$B$4:$F$542,5,FALSE)</f>
        <v>2013</v>
      </c>
    </row>
    <row r="676" spans="1:21" s="274" customFormat="1" ht="12.75" x14ac:dyDescent="0.2">
      <c r="A676" s="282" t="s">
        <v>485</v>
      </c>
      <c r="B676" s="282" t="s">
        <v>557</v>
      </c>
      <c r="C676" s="282" t="s">
        <v>758</v>
      </c>
      <c r="D676" s="283">
        <v>2015</v>
      </c>
      <c r="E676" s="282" t="s">
        <v>650</v>
      </c>
      <c r="F676" s="284">
        <v>77</v>
      </c>
      <c r="G676" s="285">
        <v>0</v>
      </c>
      <c r="H676" s="288">
        <v>0</v>
      </c>
      <c r="I676" s="285">
        <v>0</v>
      </c>
      <c r="J676" s="285">
        <v>59</v>
      </c>
      <c r="K676" s="284">
        <v>5</v>
      </c>
      <c r="L676" s="284">
        <v>5</v>
      </c>
      <c r="M676" s="284">
        <v>0</v>
      </c>
      <c r="N676" s="284">
        <v>54</v>
      </c>
      <c r="O676" s="284">
        <v>0</v>
      </c>
      <c r="P676" s="284">
        <v>119</v>
      </c>
      <c r="Q676" s="286">
        <v>72</v>
      </c>
      <c r="R676" s="274">
        <v>309</v>
      </c>
      <c r="S676" s="274">
        <v>77</v>
      </c>
      <c r="T676" s="287">
        <f t="shared" si="10"/>
        <v>2015</v>
      </c>
      <c r="U676" s="274">
        <f>VLOOKUP(A676,'[1]SB35 Determination Data'!$B$4:$F$542,5,FALSE)</f>
        <v>2013</v>
      </c>
    </row>
    <row r="677" spans="1:21" s="274" customFormat="1" ht="12.75" x14ac:dyDescent="0.2">
      <c r="A677" s="282" t="s">
        <v>485</v>
      </c>
      <c r="B677" s="282" t="s">
        <v>557</v>
      </c>
      <c r="C677" s="282" t="s">
        <v>758</v>
      </c>
      <c r="D677" s="283">
        <v>2016</v>
      </c>
      <c r="E677" s="282" t="s">
        <v>650</v>
      </c>
      <c r="F677" s="284">
        <v>77</v>
      </c>
      <c r="G677" s="285">
        <v>1</v>
      </c>
      <c r="H677" s="288">
        <v>1</v>
      </c>
      <c r="I677" s="285">
        <v>0</v>
      </c>
      <c r="J677" s="285">
        <v>59</v>
      </c>
      <c r="K677" s="284">
        <v>2</v>
      </c>
      <c r="L677" s="284">
        <v>2</v>
      </c>
      <c r="M677" s="284">
        <v>0</v>
      </c>
      <c r="N677" s="284">
        <v>54</v>
      </c>
      <c r="O677" s="284">
        <v>15</v>
      </c>
      <c r="P677" s="284">
        <v>119</v>
      </c>
      <c r="Q677" s="286">
        <v>0</v>
      </c>
      <c r="R677" s="274">
        <v>309</v>
      </c>
      <c r="S677" s="274">
        <v>18</v>
      </c>
      <c r="T677" s="287">
        <f t="shared" si="10"/>
        <v>2016</v>
      </c>
      <c r="U677" s="274">
        <f>VLOOKUP(A677,'[1]SB35 Determination Data'!$B$4:$F$542,5,FALSE)</f>
        <v>2013</v>
      </c>
    </row>
    <row r="678" spans="1:21" s="274" customFormat="1" ht="12.75" x14ac:dyDescent="0.2">
      <c r="A678" s="282" t="s">
        <v>485</v>
      </c>
      <c r="B678" s="282" t="s">
        <v>557</v>
      </c>
      <c r="C678" s="282" t="s">
        <v>758</v>
      </c>
      <c r="D678" s="283">
        <v>2017</v>
      </c>
      <c r="E678" s="282" t="s">
        <v>650</v>
      </c>
      <c r="F678" s="284">
        <v>77</v>
      </c>
      <c r="G678" s="285">
        <v>0</v>
      </c>
      <c r="H678" s="288">
        <v>0</v>
      </c>
      <c r="I678" s="285">
        <v>0</v>
      </c>
      <c r="J678" s="285">
        <v>59</v>
      </c>
      <c r="K678" s="284">
        <v>5</v>
      </c>
      <c r="L678" s="284">
        <v>5</v>
      </c>
      <c r="M678" s="284">
        <v>0</v>
      </c>
      <c r="N678" s="284">
        <v>54</v>
      </c>
      <c r="O678" s="284">
        <v>14</v>
      </c>
      <c r="P678" s="284">
        <v>119</v>
      </c>
      <c r="Q678" s="286">
        <v>7</v>
      </c>
      <c r="R678" s="274">
        <v>309</v>
      </c>
      <c r="S678" s="274">
        <v>26</v>
      </c>
      <c r="T678" s="287">
        <f t="shared" si="10"/>
        <v>2017</v>
      </c>
      <c r="U678" s="274">
        <f>VLOOKUP(A678,'[1]SB35 Determination Data'!$B$4:$F$542,5,FALSE)</f>
        <v>2013</v>
      </c>
    </row>
    <row r="679" spans="1:21" s="274" customFormat="1" ht="12.75" x14ac:dyDescent="0.2">
      <c r="A679" s="282" t="s">
        <v>489</v>
      </c>
      <c r="B679" s="282" t="s">
        <v>451</v>
      </c>
      <c r="C679" s="282" t="s">
        <v>685</v>
      </c>
      <c r="D679" s="283">
        <v>2013</v>
      </c>
      <c r="E679" s="282" t="s">
        <v>650</v>
      </c>
      <c r="F679" s="284">
        <v>953</v>
      </c>
      <c r="G679" s="285">
        <v>0</v>
      </c>
      <c r="H679" s="288">
        <v>0</v>
      </c>
      <c r="I679" s="285">
        <v>0</v>
      </c>
      <c r="J679" s="285">
        <v>668</v>
      </c>
      <c r="K679" s="284">
        <v>0</v>
      </c>
      <c r="L679" s="284">
        <v>0</v>
      </c>
      <c r="M679" s="284">
        <v>0</v>
      </c>
      <c r="N679" s="284">
        <v>705</v>
      </c>
      <c r="O679" s="284">
        <v>0</v>
      </c>
      <c r="P679" s="284">
        <v>1464</v>
      </c>
      <c r="Q679" s="286">
        <v>246</v>
      </c>
      <c r="R679" s="274">
        <v>3790</v>
      </c>
      <c r="S679" s="274">
        <v>246</v>
      </c>
      <c r="T679" s="287">
        <f t="shared" si="10"/>
        <v>2014</v>
      </c>
      <c r="U679" s="274">
        <f>VLOOKUP(A679,'[1]SB35 Determination Data'!$B$4:$F$542,5,FALSE)</f>
        <v>2014</v>
      </c>
    </row>
    <row r="680" spans="1:21" s="274" customFormat="1" ht="12.75" x14ac:dyDescent="0.2">
      <c r="A680" s="282" t="s">
        <v>489</v>
      </c>
      <c r="B680" s="282" t="s">
        <v>451</v>
      </c>
      <c r="C680" s="282" t="s">
        <v>685</v>
      </c>
      <c r="D680" s="283">
        <v>2014</v>
      </c>
      <c r="E680" s="282" t="s">
        <v>650</v>
      </c>
      <c r="F680" s="284">
        <v>953</v>
      </c>
      <c r="G680" s="285">
        <v>0</v>
      </c>
      <c r="H680" s="288">
        <v>0</v>
      </c>
      <c r="I680" s="285">
        <v>0</v>
      </c>
      <c r="J680" s="285">
        <v>668</v>
      </c>
      <c r="K680" s="284">
        <v>0</v>
      </c>
      <c r="L680" s="284">
        <v>0</v>
      </c>
      <c r="M680" s="284">
        <v>0</v>
      </c>
      <c r="N680" s="284">
        <v>705</v>
      </c>
      <c r="O680" s="284">
        <v>0</v>
      </c>
      <c r="P680" s="284">
        <v>1464</v>
      </c>
      <c r="Q680" s="286">
        <v>286</v>
      </c>
      <c r="R680" s="274">
        <v>3790</v>
      </c>
      <c r="S680" s="274">
        <v>286</v>
      </c>
      <c r="T680" s="287">
        <f t="shared" si="10"/>
        <v>2014</v>
      </c>
      <c r="U680" s="274">
        <f>VLOOKUP(A680,'[1]SB35 Determination Data'!$B$4:$F$542,5,FALSE)</f>
        <v>2014</v>
      </c>
    </row>
    <row r="681" spans="1:21" s="274" customFormat="1" ht="12.75" x14ac:dyDescent="0.2">
      <c r="A681" s="282" t="s">
        <v>489</v>
      </c>
      <c r="B681" s="282" t="s">
        <v>451</v>
      </c>
      <c r="C681" s="282" t="s">
        <v>685</v>
      </c>
      <c r="D681" s="283">
        <v>2015</v>
      </c>
      <c r="E681" s="282" t="s">
        <v>650</v>
      </c>
      <c r="F681" s="284">
        <v>953</v>
      </c>
      <c r="G681" s="285">
        <v>0</v>
      </c>
      <c r="H681" s="288">
        <v>0</v>
      </c>
      <c r="I681" s="285">
        <v>0</v>
      </c>
      <c r="J681" s="285">
        <v>668</v>
      </c>
      <c r="K681" s="284">
        <v>0</v>
      </c>
      <c r="L681" s="284">
        <v>0</v>
      </c>
      <c r="M681" s="284">
        <v>0</v>
      </c>
      <c r="N681" s="284">
        <v>705</v>
      </c>
      <c r="O681" s="284">
        <v>0</v>
      </c>
      <c r="P681" s="284">
        <v>1464</v>
      </c>
      <c r="Q681" s="286">
        <v>234</v>
      </c>
      <c r="R681" s="274">
        <v>3790</v>
      </c>
      <c r="S681" s="274">
        <v>234</v>
      </c>
      <c r="T681" s="287">
        <f t="shared" si="10"/>
        <v>2015</v>
      </c>
      <c r="U681" s="274">
        <f>VLOOKUP(A681,'[1]SB35 Determination Data'!$B$4:$F$542,5,FALSE)</f>
        <v>2014</v>
      </c>
    </row>
    <row r="682" spans="1:21" s="274" customFormat="1" ht="12.75" x14ac:dyDescent="0.2">
      <c r="A682" s="282" t="s">
        <v>489</v>
      </c>
      <c r="B682" s="282" t="s">
        <v>451</v>
      </c>
      <c r="C682" s="282" t="s">
        <v>685</v>
      </c>
      <c r="D682" s="283">
        <v>2016</v>
      </c>
      <c r="E682" s="282" t="s">
        <v>650</v>
      </c>
      <c r="F682" s="284">
        <v>953</v>
      </c>
      <c r="G682" s="285">
        <v>0</v>
      </c>
      <c r="H682" s="288">
        <v>0</v>
      </c>
      <c r="I682" s="285">
        <v>0</v>
      </c>
      <c r="J682" s="285">
        <v>668</v>
      </c>
      <c r="K682" s="284">
        <v>0</v>
      </c>
      <c r="L682" s="284">
        <v>0</v>
      </c>
      <c r="M682" s="284">
        <v>0</v>
      </c>
      <c r="N682" s="284">
        <v>705</v>
      </c>
      <c r="O682" s="284">
        <v>0</v>
      </c>
      <c r="P682" s="284">
        <v>1464</v>
      </c>
      <c r="Q682" s="286">
        <v>217</v>
      </c>
      <c r="R682" s="274">
        <v>3790</v>
      </c>
      <c r="S682" s="274">
        <v>217</v>
      </c>
      <c r="T682" s="287">
        <f t="shared" si="10"/>
        <v>2016</v>
      </c>
      <c r="U682" s="274">
        <f>VLOOKUP(A682,'[1]SB35 Determination Data'!$B$4:$F$542,5,FALSE)</f>
        <v>2014</v>
      </c>
    </row>
    <row r="683" spans="1:21" s="274" customFormat="1" ht="12.75" x14ac:dyDescent="0.2">
      <c r="A683" s="282" t="s">
        <v>489</v>
      </c>
      <c r="B683" s="282" t="s">
        <v>451</v>
      </c>
      <c r="C683" s="282" t="s">
        <v>685</v>
      </c>
      <c r="D683" s="283">
        <v>2017</v>
      </c>
      <c r="E683" s="282" t="s">
        <v>650</v>
      </c>
      <c r="F683" s="284">
        <v>953</v>
      </c>
      <c r="G683" s="285">
        <v>0</v>
      </c>
      <c r="H683" s="288">
        <v>0</v>
      </c>
      <c r="I683" s="285">
        <v>0</v>
      </c>
      <c r="J683" s="285">
        <v>668</v>
      </c>
      <c r="K683" s="284">
        <v>0</v>
      </c>
      <c r="L683" s="284">
        <v>0</v>
      </c>
      <c r="M683" s="284">
        <v>0</v>
      </c>
      <c r="N683" s="284">
        <v>705</v>
      </c>
      <c r="O683" s="284">
        <v>4</v>
      </c>
      <c r="P683" s="284">
        <v>1464</v>
      </c>
      <c r="Q683" s="286">
        <v>223</v>
      </c>
      <c r="R683" s="274">
        <v>3790</v>
      </c>
      <c r="S683" s="274">
        <v>227</v>
      </c>
      <c r="T683" s="287">
        <f t="shared" si="10"/>
        <v>2017</v>
      </c>
      <c r="U683" s="274">
        <f>VLOOKUP(A683,'[1]SB35 Determination Data'!$B$4:$F$542,5,FALSE)</f>
        <v>2014</v>
      </c>
    </row>
    <row r="684" spans="1:21" s="274" customFormat="1" ht="12.75" x14ac:dyDescent="0.2">
      <c r="A684" s="282" t="s">
        <v>492</v>
      </c>
      <c r="B684" s="282" t="s">
        <v>714</v>
      </c>
      <c r="C684" s="282" t="s">
        <v>531</v>
      </c>
      <c r="D684" s="283">
        <v>2015</v>
      </c>
      <c r="E684" s="282" t="s">
        <v>650</v>
      </c>
      <c r="F684" s="284">
        <v>80</v>
      </c>
      <c r="G684" s="285">
        <v>4</v>
      </c>
      <c r="H684" s="288">
        <v>4</v>
      </c>
      <c r="I684" s="285">
        <v>0</v>
      </c>
      <c r="J684" s="285">
        <v>80</v>
      </c>
      <c r="K684" s="284">
        <v>28</v>
      </c>
      <c r="L684" s="284">
        <v>27</v>
      </c>
      <c r="M684" s="284">
        <v>1</v>
      </c>
      <c r="N684" s="284">
        <v>82</v>
      </c>
      <c r="O684" s="284">
        <v>7</v>
      </c>
      <c r="P684" s="284">
        <v>348</v>
      </c>
      <c r="Q684" s="286">
        <v>9</v>
      </c>
      <c r="R684" s="274">
        <v>590</v>
      </c>
      <c r="S684" s="274">
        <v>48</v>
      </c>
      <c r="T684" s="287">
        <f t="shared" si="10"/>
        <v>2016</v>
      </c>
      <c r="U684" s="274">
        <f>VLOOKUP(A684,'[1]SB35 Determination Data'!$B$4:$F$542,5,FALSE)</f>
        <v>2016</v>
      </c>
    </row>
    <row r="685" spans="1:21" s="274" customFormat="1" ht="12.75" x14ac:dyDescent="0.2">
      <c r="A685" s="282" t="s">
        <v>492</v>
      </c>
      <c r="B685" s="282" t="s">
        <v>714</v>
      </c>
      <c r="C685" s="282" t="s">
        <v>531</v>
      </c>
      <c r="D685" s="283">
        <v>2016</v>
      </c>
      <c r="E685" s="282" t="s">
        <v>650</v>
      </c>
      <c r="F685" s="284">
        <v>80</v>
      </c>
      <c r="G685" s="285">
        <v>3</v>
      </c>
      <c r="H685" s="288">
        <v>3</v>
      </c>
      <c r="I685" s="285">
        <v>0</v>
      </c>
      <c r="J685" s="285">
        <v>80</v>
      </c>
      <c r="K685" s="284">
        <v>20</v>
      </c>
      <c r="L685" s="284">
        <v>20</v>
      </c>
      <c r="M685" s="284">
        <v>0</v>
      </c>
      <c r="N685" s="284">
        <v>82</v>
      </c>
      <c r="O685" s="284">
        <v>0</v>
      </c>
      <c r="P685" s="284">
        <v>348</v>
      </c>
      <c r="Q685" s="286">
        <v>1</v>
      </c>
      <c r="R685" s="274">
        <v>590</v>
      </c>
      <c r="S685" s="274">
        <v>24</v>
      </c>
      <c r="T685" s="287">
        <f t="shared" si="10"/>
        <v>2016</v>
      </c>
      <c r="U685" s="274">
        <f>VLOOKUP(A685,'[1]SB35 Determination Data'!$B$4:$F$542,5,FALSE)</f>
        <v>2016</v>
      </c>
    </row>
    <row r="686" spans="1:21" s="274" customFormat="1" ht="12.75" x14ac:dyDescent="0.2">
      <c r="A686" s="282" t="s">
        <v>492</v>
      </c>
      <c r="B686" s="282" t="s">
        <v>714</v>
      </c>
      <c r="C686" s="282" t="s">
        <v>531</v>
      </c>
      <c r="D686" s="283">
        <v>2017</v>
      </c>
      <c r="E686" s="282" t="s">
        <v>650</v>
      </c>
      <c r="F686" s="284">
        <v>80</v>
      </c>
      <c r="G686" s="285">
        <v>33</v>
      </c>
      <c r="H686" s="288">
        <v>32</v>
      </c>
      <c r="I686" s="285">
        <v>1</v>
      </c>
      <c r="J686" s="285">
        <v>80</v>
      </c>
      <c r="K686" s="284">
        <v>19</v>
      </c>
      <c r="L686" s="284">
        <v>18</v>
      </c>
      <c r="M686" s="284">
        <v>1</v>
      </c>
      <c r="N686" s="289">
        <v>82</v>
      </c>
      <c r="O686" s="284">
        <v>20</v>
      </c>
      <c r="P686" s="284">
        <v>348</v>
      </c>
      <c r="Q686" s="286">
        <v>0</v>
      </c>
      <c r="R686" s="274">
        <v>590</v>
      </c>
      <c r="S686" s="274">
        <v>72</v>
      </c>
      <c r="T686" s="287">
        <f t="shared" si="10"/>
        <v>2017</v>
      </c>
      <c r="U686" s="274">
        <f>VLOOKUP(A686,'[1]SB35 Determination Data'!$B$4:$F$542,5,FALSE)</f>
        <v>2016</v>
      </c>
    </row>
    <row r="687" spans="1:21" s="274" customFormat="1" ht="12.75" x14ac:dyDescent="0.2">
      <c r="A687" s="282" t="s">
        <v>494</v>
      </c>
      <c r="B687" s="282" t="s">
        <v>691</v>
      </c>
      <c r="C687" s="282" t="s">
        <v>685</v>
      </c>
      <c r="D687" s="283">
        <v>2013</v>
      </c>
      <c r="E687" s="282" t="s">
        <v>650</v>
      </c>
      <c r="F687" s="284">
        <v>104</v>
      </c>
      <c r="G687" s="285">
        <v>0</v>
      </c>
      <c r="H687" s="288">
        <v>0</v>
      </c>
      <c r="I687" s="285">
        <v>0</v>
      </c>
      <c r="J687" s="285">
        <v>72</v>
      </c>
      <c r="K687" s="284">
        <v>0</v>
      </c>
      <c r="L687" s="284">
        <v>0</v>
      </c>
      <c r="M687" s="284">
        <v>0</v>
      </c>
      <c r="N687" s="284">
        <v>83</v>
      </c>
      <c r="O687" s="284">
        <v>0</v>
      </c>
      <c r="P687" s="284">
        <v>190</v>
      </c>
      <c r="Q687" s="286">
        <v>0</v>
      </c>
      <c r="R687" s="274">
        <v>449</v>
      </c>
      <c r="S687" s="274">
        <v>0</v>
      </c>
      <c r="T687" s="287">
        <f t="shared" si="10"/>
        <v>2014</v>
      </c>
      <c r="U687" s="274">
        <f>VLOOKUP(A687,'[1]SB35 Determination Data'!$B$4:$F$542,5,FALSE)</f>
        <v>2014</v>
      </c>
    </row>
    <row r="688" spans="1:21" s="274" customFormat="1" ht="12.75" x14ac:dyDescent="0.2">
      <c r="A688" s="282" t="s">
        <v>494</v>
      </c>
      <c r="B688" s="282" t="s">
        <v>691</v>
      </c>
      <c r="C688" s="282" t="s">
        <v>685</v>
      </c>
      <c r="D688" s="283">
        <v>2014</v>
      </c>
      <c r="E688" s="282" t="s">
        <v>650</v>
      </c>
      <c r="F688" s="284">
        <v>104</v>
      </c>
      <c r="G688" s="285">
        <v>0</v>
      </c>
      <c r="H688" s="288">
        <v>0</v>
      </c>
      <c r="I688" s="285">
        <v>0</v>
      </c>
      <c r="J688" s="285">
        <v>72</v>
      </c>
      <c r="K688" s="284">
        <v>0</v>
      </c>
      <c r="L688" s="284">
        <v>0</v>
      </c>
      <c r="M688" s="284">
        <v>0</v>
      </c>
      <c r="N688" s="284">
        <v>83</v>
      </c>
      <c r="O688" s="284">
        <v>1</v>
      </c>
      <c r="P688" s="284">
        <v>190</v>
      </c>
      <c r="Q688" s="286">
        <v>0</v>
      </c>
      <c r="R688" s="274">
        <v>449</v>
      </c>
      <c r="S688" s="274">
        <v>1</v>
      </c>
      <c r="T688" s="287">
        <f t="shared" si="10"/>
        <v>2014</v>
      </c>
      <c r="U688" s="274">
        <f>VLOOKUP(A688,'[1]SB35 Determination Data'!$B$4:$F$542,5,FALSE)</f>
        <v>2014</v>
      </c>
    </row>
    <row r="689" spans="1:21" s="274" customFormat="1" ht="12.75" x14ac:dyDescent="0.2">
      <c r="A689" s="282" t="s">
        <v>494</v>
      </c>
      <c r="B689" s="282" t="s">
        <v>691</v>
      </c>
      <c r="C689" s="282" t="s">
        <v>685</v>
      </c>
      <c r="D689" s="283">
        <v>2015</v>
      </c>
      <c r="E689" s="282" t="s">
        <v>650</v>
      </c>
      <c r="F689" s="284">
        <v>104</v>
      </c>
      <c r="G689" s="285">
        <v>46</v>
      </c>
      <c r="H689" s="288">
        <v>46</v>
      </c>
      <c r="I689" s="285">
        <v>0</v>
      </c>
      <c r="J689" s="285">
        <v>72</v>
      </c>
      <c r="K689" s="284">
        <v>37</v>
      </c>
      <c r="L689" s="284">
        <v>37</v>
      </c>
      <c r="M689" s="284">
        <v>0</v>
      </c>
      <c r="N689" s="284">
        <v>83</v>
      </c>
      <c r="O689" s="284">
        <v>2</v>
      </c>
      <c r="P689" s="284">
        <v>190</v>
      </c>
      <c r="Q689" s="286">
        <v>2</v>
      </c>
      <c r="R689" s="274">
        <v>449</v>
      </c>
      <c r="S689" s="274">
        <v>87</v>
      </c>
      <c r="T689" s="287">
        <f t="shared" si="10"/>
        <v>2015</v>
      </c>
      <c r="U689" s="274">
        <f>VLOOKUP(A689,'[1]SB35 Determination Data'!$B$4:$F$542,5,FALSE)</f>
        <v>2014</v>
      </c>
    </row>
    <row r="690" spans="1:21" s="274" customFormat="1" ht="12.75" x14ac:dyDescent="0.2">
      <c r="A690" s="282" t="s">
        <v>494</v>
      </c>
      <c r="B690" s="282" t="s">
        <v>691</v>
      </c>
      <c r="C690" s="282" t="s">
        <v>685</v>
      </c>
      <c r="D690" s="283">
        <v>2016</v>
      </c>
      <c r="E690" s="282" t="s">
        <v>650</v>
      </c>
      <c r="F690" s="284">
        <v>104</v>
      </c>
      <c r="G690" s="285">
        <v>0</v>
      </c>
      <c r="H690" s="288">
        <v>0</v>
      </c>
      <c r="I690" s="285">
        <v>0</v>
      </c>
      <c r="J690" s="285">
        <v>72</v>
      </c>
      <c r="K690" s="284">
        <v>0</v>
      </c>
      <c r="L690" s="284">
        <v>0</v>
      </c>
      <c r="M690" s="284">
        <v>0</v>
      </c>
      <c r="N690" s="284">
        <v>83</v>
      </c>
      <c r="O690" s="284">
        <v>0</v>
      </c>
      <c r="P690" s="284">
        <v>190</v>
      </c>
      <c r="Q690" s="286">
        <v>2</v>
      </c>
      <c r="R690" s="274">
        <v>449</v>
      </c>
      <c r="S690" s="274">
        <v>2</v>
      </c>
      <c r="T690" s="287">
        <f t="shared" si="10"/>
        <v>2016</v>
      </c>
      <c r="U690" s="274">
        <f>VLOOKUP(A690,'[1]SB35 Determination Data'!$B$4:$F$542,5,FALSE)</f>
        <v>2014</v>
      </c>
    </row>
    <row r="691" spans="1:21" s="274" customFormat="1" ht="12.75" x14ac:dyDescent="0.2">
      <c r="A691" s="282" t="s">
        <v>494</v>
      </c>
      <c r="B691" s="282" t="s">
        <v>691</v>
      </c>
      <c r="C691" s="282" t="s">
        <v>685</v>
      </c>
      <c r="D691" s="283">
        <v>2017</v>
      </c>
      <c r="E691" s="282" t="s">
        <v>650</v>
      </c>
      <c r="F691" s="284">
        <v>104</v>
      </c>
      <c r="G691" s="285">
        <v>0</v>
      </c>
      <c r="H691" s="288">
        <v>0</v>
      </c>
      <c r="I691" s="285">
        <v>0</v>
      </c>
      <c r="J691" s="285">
        <v>72</v>
      </c>
      <c r="K691" s="284">
        <v>0</v>
      </c>
      <c r="L691" s="284">
        <v>0</v>
      </c>
      <c r="M691" s="284">
        <v>0</v>
      </c>
      <c r="N691" s="284">
        <v>83</v>
      </c>
      <c r="O691" s="284">
        <v>0</v>
      </c>
      <c r="P691" s="284">
        <v>190</v>
      </c>
      <c r="Q691" s="286">
        <v>1</v>
      </c>
      <c r="R691" s="274">
        <v>449</v>
      </c>
      <c r="S691" s="274">
        <v>1</v>
      </c>
      <c r="T691" s="287">
        <f t="shared" si="10"/>
        <v>2017</v>
      </c>
      <c r="U691" s="274">
        <f>VLOOKUP(A691,'[1]SB35 Determination Data'!$B$4:$F$542,5,FALSE)</f>
        <v>2014</v>
      </c>
    </row>
    <row r="692" spans="1:21" s="274" customFormat="1" ht="12.75" x14ac:dyDescent="0.2">
      <c r="A692" s="282" t="s">
        <v>183</v>
      </c>
      <c r="B692" s="282" t="s">
        <v>40</v>
      </c>
      <c r="C692" s="282" t="s">
        <v>654</v>
      </c>
      <c r="D692" s="283">
        <v>2014</v>
      </c>
      <c r="E692" s="282" t="s">
        <v>650</v>
      </c>
      <c r="F692" s="284">
        <v>839</v>
      </c>
      <c r="G692" s="285">
        <v>0</v>
      </c>
      <c r="H692" s="288">
        <v>0</v>
      </c>
      <c r="I692" s="285">
        <v>0</v>
      </c>
      <c r="J692" s="285">
        <v>474</v>
      </c>
      <c r="K692" s="284">
        <v>1</v>
      </c>
      <c r="L692" s="284">
        <v>1</v>
      </c>
      <c r="M692" s="284">
        <v>0</v>
      </c>
      <c r="N692" s="284">
        <v>496</v>
      </c>
      <c r="O692" s="284">
        <v>15</v>
      </c>
      <c r="P692" s="284">
        <v>920</v>
      </c>
      <c r="Q692" s="286">
        <v>80</v>
      </c>
      <c r="R692" s="274">
        <v>2729</v>
      </c>
      <c r="S692" s="274">
        <v>96</v>
      </c>
      <c r="T692" s="287">
        <f t="shared" si="10"/>
        <v>2015</v>
      </c>
      <c r="U692" s="274">
        <f>VLOOKUP(A692,'[1]SB35 Determination Data'!$B$4:$F$542,5,FALSE)</f>
        <v>2015</v>
      </c>
    </row>
    <row r="693" spans="1:21" s="274" customFormat="1" ht="12.75" x14ac:dyDescent="0.2">
      <c r="A693" s="282" t="s">
        <v>183</v>
      </c>
      <c r="B693" s="282" t="s">
        <v>40</v>
      </c>
      <c r="C693" s="282" t="s">
        <v>654</v>
      </c>
      <c r="D693" s="283">
        <v>2015</v>
      </c>
      <c r="E693" s="282" t="s">
        <v>650</v>
      </c>
      <c r="F693" s="284">
        <v>839</v>
      </c>
      <c r="G693" s="285">
        <v>0</v>
      </c>
      <c r="H693" s="288">
        <v>0</v>
      </c>
      <c r="I693" s="285">
        <v>0</v>
      </c>
      <c r="J693" s="285">
        <v>474</v>
      </c>
      <c r="K693" s="284">
        <v>2</v>
      </c>
      <c r="L693" s="284">
        <v>2</v>
      </c>
      <c r="M693" s="284">
        <v>0</v>
      </c>
      <c r="N693" s="284">
        <v>496</v>
      </c>
      <c r="O693" s="284">
        <v>14</v>
      </c>
      <c r="P693" s="284">
        <v>920</v>
      </c>
      <c r="Q693" s="286">
        <v>420</v>
      </c>
      <c r="R693" s="274">
        <v>2729</v>
      </c>
      <c r="S693" s="274">
        <v>436</v>
      </c>
      <c r="T693" s="287">
        <f t="shared" si="10"/>
        <v>2015</v>
      </c>
      <c r="U693" s="274">
        <f>VLOOKUP(A693,'[1]SB35 Determination Data'!$B$4:$F$542,5,FALSE)</f>
        <v>2015</v>
      </c>
    </row>
    <row r="694" spans="1:21" s="274" customFormat="1" ht="12.75" x14ac:dyDescent="0.2">
      <c r="A694" s="282" t="s">
        <v>183</v>
      </c>
      <c r="B694" s="282" t="s">
        <v>40</v>
      </c>
      <c r="C694" s="282" t="s">
        <v>654</v>
      </c>
      <c r="D694" s="283">
        <v>2016</v>
      </c>
      <c r="E694" s="282" t="s">
        <v>650</v>
      </c>
      <c r="F694" s="284">
        <v>839</v>
      </c>
      <c r="G694" s="285">
        <v>0</v>
      </c>
      <c r="H694" s="288">
        <v>0</v>
      </c>
      <c r="I694" s="285">
        <v>0</v>
      </c>
      <c r="J694" s="285">
        <v>474</v>
      </c>
      <c r="K694" s="284">
        <v>16</v>
      </c>
      <c r="L694" s="284">
        <v>4</v>
      </c>
      <c r="M694" s="284">
        <v>12</v>
      </c>
      <c r="N694" s="289">
        <v>496</v>
      </c>
      <c r="O694" s="284">
        <v>395</v>
      </c>
      <c r="P694" s="284">
        <v>920</v>
      </c>
      <c r="Q694" s="286">
        <v>15</v>
      </c>
      <c r="R694" s="274">
        <v>2729</v>
      </c>
      <c r="S694" s="274">
        <v>426</v>
      </c>
      <c r="T694" s="287">
        <f t="shared" si="10"/>
        <v>2016</v>
      </c>
      <c r="U694" s="274">
        <f>VLOOKUP(A694,'[1]SB35 Determination Data'!$B$4:$F$542,5,FALSE)</f>
        <v>2015</v>
      </c>
    </row>
    <row r="695" spans="1:21" s="274" customFormat="1" ht="12.75" x14ac:dyDescent="0.2">
      <c r="A695" s="282" t="s">
        <v>183</v>
      </c>
      <c r="B695" s="282" t="s">
        <v>40</v>
      </c>
      <c r="C695" s="282" t="s">
        <v>654</v>
      </c>
      <c r="D695" s="283">
        <v>2017</v>
      </c>
      <c r="E695" s="282" t="s">
        <v>650</v>
      </c>
      <c r="F695" s="284">
        <v>839</v>
      </c>
      <c r="G695" s="285">
        <v>52</v>
      </c>
      <c r="H695" s="288">
        <v>52</v>
      </c>
      <c r="I695" s="285">
        <v>0</v>
      </c>
      <c r="J695" s="285">
        <v>474</v>
      </c>
      <c r="K695" s="284">
        <v>24</v>
      </c>
      <c r="L695" s="284">
        <v>24</v>
      </c>
      <c r="M695" s="284">
        <v>0</v>
      </c>
      <c r="N695" s="284">
        <v>496</v>
      </c>
      <c r="O695" s="284">
        <v>15</v>
      </c>
      <c r="P695" s="284">
        <v>920</v>
      </c>
      <c r="Q695" s="286">
        <v>311</v>
      </c>
      <c r="R695" s="274">
        <v>2729</v>
      </c>
      <c r="S695" s="274">
        <v>402</v>
      </c>
      <c r="T695" s="287">
        <f t="shared" si="10"/>
        <v>2017</v>
      </c>
      <c r="U695" s="274">
        <f>VLOOKUP(A695,'[1]SB35 Determination Data'!$B$4:$F$542,5,FALSE)</f>
        <v>2015</v>
      </c>
    </row>
    <row r="696" spans="1:21" s="274" customFormat="1" ht="12.75" x14ac:dyDescent="0.2">
      <c r="A696" s="282" t="s">
        <v>499</v>
      </c>
      <c r="B696" s="282" t="s">
        <v>353</v>
      </c>
      <c r="C696" s="282" t="s">
        <v>682</v>
      </c>
      <c r="D696" s="283">
        <v>2016</v>
      </c>
      <c r="E696" s="282" t="s">
        <v>650</v>
      </c>
      <c r="F696" s="284">
        <v>249</v>
      </c>
      <c r="G696" s="285">
        <v>0</v>
      </c>
      <c r="H696" s="288">
        <v>0</v>
      </c>
      <c r="I696" s="285">
        <v>0</v>
      </c>
      <c r="J696" s="285">
        <v>178</v>
      </c>
      <c r="K696" s="284">
        <v>0</v>
      </c>
      <c r="L696" s="284">
        <v>0</v>
      </c>
      <c r="M696" s="284">
        <v>0</v>
      </c>
      <c r="N696" s="284">
        <v>163</v>
      </c>
      <c r="O696" s="284">
        <v>0</v>
      </c>
      <c r="P696" s="284">
        <v>435</v>
      </c>
      <c r="Q696" s="286">
        <v>34</v>
      </c>
      <c r="R696" s="274">
        <v>1025</v>
      </c>
      <c r="S696" s="274">
        <v>34</v>
      </c>
      <c r="T696" s="287">
        <f t="shared" si="10"/>
        <v>2016</v>
      </c>
      <c r="U696" s="274">
        <f>VLOOKUP(A696,'[1]SB35 Determination Data'!$B$4:$F$542,5,FALSE)</f>
        <v>2016</v>
      </c>
    </row>
    <row r="697" spans="1:21" s="274" customFormat="1" ht="12.75" x14ac:dyDescent="0.2">
      <c r="A697" s="282" t="s">
        <v>499</v>
      </c>
      <c r="B697" s="282" t="s">
        <v>353</v>
      </c>
      <c r="C697" s="282" t="s">
        <v>682</v>
      </c>
      <c r="D697" s="283">
        <v>2017</v>
      </c>
      <c r="E697" s="282" t="s">
        <v>650</v>
      </c>
      <c r="F697" s="284">
        <v>249</v>
      </c>
      <c r="G697" s="285">
        <v>0</v>
      </c>
      <c r="H697" s="288">
        <v>0</v>
      </c>
      <c r="I697" s="285">
        <v>0</v>
      </c>
      <c r="J697" s="285">
        <v>178</v>
      </c>
      <c r="K697" s="284">
        <v>5</v>
      </c>
      <c r="L697" s="284">
        <v>5</v>
      </c>
      <c r="M697" s="284">
        <v>0</v>
      </c>
      <c r="N697" s="284">
        <v>163</v>
      </c>
      <c r="O697" s="284">
        <v>0</v>
      </c>
      <c r="P697" s="284">
        <v>435</v>
      </c>
      <c r="Q697" s="286">
        <v>69</v>
      </c>
      <c r="R697" s="274">
        <v>1025</v>
      </c>
      <c r="S697" s="274">
        <v>74</v>
      </c>
      <c r="T697" s="287">
        <f t="shared" si="10"/>
        <v>2017</v>
      </c>
      <c r="U697" s="274">
        <f>VLOOKUP(A697,'[1]SB35 Determination Data'!$B$4:$F$542,5,FALSE)</f>
        <v>2016</v>
      </c>
    </row>
    <row r="698" spans="1:21" s="274" customFormat="1" ht="12.75" x14ac:dyDescent="0.2">
      <c r="A698" s="282" t="s">
        <v>501</v>
      </c>
      <c r="B698" s="282" t="s">
        <v>383</v>
      </c>
      <c r="C698" s="282" t="s">
        <v>531</v>
      </c>
      <c r="D698" s="283">
        <v>2017</v>
      </c>
      <c r="E698" s="282" t="s">
        <v>650</v>
      </c>
      <c r="F698" s="284">
        <v>497</v>
      </c>
      <c r="G698" s="285">
        <v>52</v>
      </c>
      <c r="H698" s="288">
        <v>52</v>
      </c>
      <c r="I698" s="285">
        <v>0</v>
      </c>
      <c r="J698" s="285">
        <v>331</v>
      </c>
      <c r="K698" s="284">
        <v>27</v>
      </c>
      <c r="L698" s="284">
        <v>27</v>
      </c>
      <c r="M698" s="284">
        <v>0</v>
      </c>
      <c r="N698" s="284">
        <v>333</v>
      </c>
      <c r="O698" s="284">
        <v>0</v>
      </c>
      <c r="P698" s="284">
        <v>770</v>
      </c>
      <c r="Q698" s="286">
        <v>211</v>
      </c>
      <c r="R698" s="274">
        <v>1931</v>
      </c>
      <c r="S698" s="274">
        <v>290</v>
      </c>
      <c r="T698" s="287">
        <f t="shared" si="10"/>
        <v>2017</v>
      </c>
      <c r="U698" s="274">
        <f>VLOOKUP(A698,'[1]SB35 Determination Data'!$B$4:$F$542,5,FALSE)</f>
        <v>2016</v>
      </c>
    </row>
    <row r="699" spans="1:21" s="274" customFormat="1" ht="12.75" x14ac:dyDescent="0.2">
      <c r="A699" s="282" t="s">
        <v>475</v>
      </c>
      <c r="B699" s="282" t="s">
        <v>262</v>
      </c>
      <c r="C699" s="282" t="s">
        <v>649</v>
      </c>
      <c r="D699" s="283">
        <v>2014</v>
      </c>
      <c r="E699" s="282" t="s">
        <v>650</v>
      </c>
      <c r="F699" s="284">
        <v>12</v>
      </c>
      <c r="G699" s="285">
        <v>0</v>
      </c>
      <c r="H699" s="288">
        <v>0</v>
      </c>
      <c r="I699" s="285">
        <v>0</v>
      </c>
      <c r="J699" s="285">
        <v>7</v>
      </c>
      <c r="K699" s="284">
        <v>0</v>
      </c>
      <c r="L699" s="284">
        <v>0</v>
      </c>
      <c r="M699" s="284">
        <v>0</v>
      </c>
      <c r="N699" s="289">
        <v>8</v>
      </c>
      <c r="O699" s="284">
        <v>16</v>
      </c>
      <c r="P699" s="284">
        <v>20</v>
      </c>
      <c r="Q699" s="286">
        <v>0</v>
      </c>
      <c r="R699" s="274">
        <v>47</v>
      </c>
      <c r="S699" s="274">
        <v>16</v>
      </c>
      <c r="T699" s="287">
        <f t="shared" si="10"/>
        <v>2014</v>
      </c>
      <c r="U699" s="274">
        <f>VLOOKUP(A699,'[1]SB35 Determination Data'!$B$4:$F$542,5,FALSE)</f>
        <v>2014</v>
      </c>
    </row>
    <row r="700" spans="1:21" s="274" customFormat="1" ht="12.75" x14ac:dyDescent="0.2">
      <c r="A700" s="282" t="s">
        <v>475</v>
      </c>
      <c r="B700" s="282" t="s">
        <v>262</v>
      </c>
      <c r="C700" s="282" t="s">
        <v>649</v>
      </c>
      <c r="D700" s="283">
        <v>2015</v>
      </c>
      <c r="E700" s="282" t="s">
        <v>650</v>
      </c>
      <c r="F700" s="284">
        <v>12</v>
      </c>
      <c r="G700" s="285">
        <v>0</v>
      </c>
      <c r="H700" s="288">
        <v>0</v>
      </c>
      <c r="I700" s="285">
        <v>0</v>
      </c>
      <c r="J700" s="285">
        <v>7</v>
      </c>
      <c r="K700" s="284">
        <v>2</v>
      </c>
      <c r="L700" s="284">
        <v>0</v>
      </c>
      <c r="M700" s="284">
        <v>2</v>
      </c>
      <c r="N700" s="284">
        <v>8</v>
      </c>
      <c r="O700" s="284">
        <v>0</v>
      </c>
      <c r="P700" s="284">
        <v>20</v>
      </c>
      <c r="Q700" s="286">
        <v>0</v>
      </c>
      <c r="R700" s="274">
        <v>47</v>
      </c>
      <c r="S700" s="274">
        <v>2</v>
      </c>
      <c r="T700" s="287">
        <f t="shared" si="10"/>
        <v>2015</v>
      </c>
      <c r="U700" s="274">
        <f>VLOOKUP(A700,'[1]SB35 Determination Data'!$B$4:$F$542,5,FALSE)</f>
        <v>2014</v>
      </c>
    </row>
    <row r="701" spans="1:21" s="274" customFormat="1" ht="12.75" x14ac:dyDescent="0.2">
      <c r="A701" s="282" t="s">
        <v>475</v>
      </c>
      <c r="B701" s="282" t="s">
        <v>262</v>
      </c>
      <c r="C701" s="282" t="s">
        <v>649</v>
      </c>
      <c r="D701" s="283">
        <v>2016</v>
      </c>
      <c r="E701" s="282" t="s">
        <v>650</v>
      </c>
      <c r="F701" s="284">
        <v>12</v>
      </c>
      <c r="G701" s="285">
        <v>0</v>
      </c>
      <c r="H701" s="288">
        <v>0</v>
      </c>
      <c r="I701" s="285">
        <v>0</v>
      </c>
      <c r="J701" s="285">
        <v>7</v>
      </c>
      <c r="K701" s="284">
        <v>2</v>
      </c>
      <c r="L701" s="284">
        <v>0</v>
      </c>
      <c r="M701" s="284">
        <v>2</v>
      </c>
      <c r="N701" s="284">
        <v>8</v>
      </c>
      <c r="O701" s="284">
        <v>13</v>
      </c>
      <c r="P701" s="284">
        <v>20</v>
      </c>
      <c r="Q701" s="286">
        <v>6</v>
      </c>
      <c r="R701" s="274">
        <v>47</v>
      </c>
      <c r="S701" s="274">
        <v>21</v>
      </c>
      <c r="T701" s="287">
        <f t="shared" si="10"/>
        <v>2016</v>
      </c>
      <c r="U701" s="274">
        <f>VLOOKUP(A701,'[1]SB35 Determination Data'!$B$4:$F$542,5,FALSE)</f>
        <v>2014</v>
      </c>
    </row>
    <row r="702" spans="1:21" s="274" customFormat="1" ht="12.75" x14ac:dyDescent="0.2">
      <c r="A702" s="282" t="s">
        <v>475</v>
      </c>
      <c r="B702" s="282" t="s">
        <v>262</v>
      </c>
      <c r="C702" s="282" t="s">
        <v>649</v>
      </c>
      <c r="D702" s="283">
        <v>2017</v>
      </c>
      <c r="E702" s="282" t="s">
        <v>650</v>
      </c>
      <c r="F702" s="284">
        <v>12</v>
      </c>
      <c r="G702" s="285">
        <v>0</v>
      </c>
      <c r="H702" s="288">
        <v>0</v>
      </c>
      <c r="I702" s="285">
        <v>0</v>
      </c>
      <c r="J702" s="285">
        <v>7</v>
      </c>
      <c r="K702" s="284">
        <v>2</v>
      </c>
      <c r="L702" s="284">
        <v>0</v>
      </c>
      <c r="M702" s="284">
        <v>2</v>
      </c>
      <c r="N702" s="284">
        <v>8</v>
      </c>
      <c r="O702" s="284">
        <v>5</v>
      </c>
      <c r="P702" s="284">
        <v>20</v>
      </c>
      <c r="Q702" s="286">
        <v>11</v>
      </c>
      <c r="R702" s="274">
        <v>47</v>
      </c>
      <c r="S702" s="274">
        <v>18</v>
      </c>
      <c r="T702" s="287">
        <f t="shared" si="10"/>
        <v>2017</v>
      </c>
      <c r="U702" s="274">
        <f>VLOOKUP(A702,'[1]SB35 Determination Data'!$B$4:$F$542,5,FALSE)</f>
        <v>2014</v>
      </c>
    </row>
    <row r="703" spans="1:21" s="274" customFormat="1" ht="12.75" x14ac:dyDescent="0.2">
      <c r="A703" s="282" t="s">
        <v>507</v>
      </c>
      <c r="B703" s="282" t="s">
        <v>602</v>
      </c>
      <c r="C703" s="282" t="s">
        <v>732</v>
      </c>
      <c r="D703" s="283">
        <v>2015</v>
      </c>
      <c r="E703" s="282" t="s">
        <v>650</v>
      </c>
      <c r="F703" s="284">
        <v>126</v>
      </c>
      <c r="G703" s="285">
        <v>0</v>
      </c>
      <c r="H703" s="288">
        <v>0</v>
      </c>
      <c r="I703" s="285">
        <v>0</v>
      </c>
      <c r="J703" s="285">
        <v>84</v>
      </c>
      <c r="K703" s="284">
        <v>0</v>
      </c>
      <c r="L703" s="284">
        <v>0</v>
      </c>
      <c r="M703" s="284">
        <v>0</v>
      </c>
      <c r="N703" s="284">
        <v>95</v>
      </c>
      <c r="O703" s="284">
        <v>44</v>
      </c>
      <c r="P703" s="284">
        <v>221</v>
      </c>
      <c r="Q703" s="286">
        <v>0</v>
      </c>
      <c r="R703" s="274">
        <v>526</v>
      </c>
      <c r="S703" s="274">
        <v>44</v>
      </c>
      <c r="T703" s="287">
        <f t="shared" si="10"/>
        <v>2015</v>
      </c>
      <c r="U703" s="274">
        <f>VLOOKUP(A703,'[1]SB35 Determination Data'!$B$4:$F$542,5,FALSE)</f>
        <v>2015</v>
      </c>
    </row>
    <row r="704" spans="1:21" s="274" customFormat="1" ht="12.75" x14ac:dyDescent="0.2">
      <c r="A704" s="282" t="s">
        <v>507</v>
      </c>
      <c r="B704" s="282" t="s">
        <v>602</v>
      </c>
      <c r="C704" s="282" t="s">
        <v>732</v>
      </c>
      <c r="D704" s="283">
        <v>2016</v>
      </c>
      <c r="E704" s="282" t="s">
        <v>650</v>
      </c>
      <c r="F704" s="284">
        <v>126</v>
      </c>
      <c r="G704" s="285">
        <v>0</v>
      </c>
      <c r="H704" s="288">
        <v>0</v>
      </c>
      <c r="I704" s="285">
        <v>0</v>
      </c>
      <c r="J704" s="285">
        <v>84</v>
      </c>
      <c r="K704" s="284">
        <v>0</v>
      </c>
      <c r="L704" s="284">
        <v>0</v>
      </c>
      <c r="M704" s="284">
        <v>0</v>
      </c>
      <c r="N704" s="284">
        <v>95</v>
      </c>
      <c r="O704" s="284">
        <v>0</v>
      </c>
      <c r="P704" s="284">
        <v>221</v>
      </c>
      <c r="Q704" s="286">
        <v>0</v>
      </c>
      <c r="R704" s="274">
        <v>526</v>
      </c>
      <c r="S704" s="274">
        <v>0</v>
      </c>
      <c r="T704" s="287">
        <f t="shared" si="10"/>
        <v>2016</v>
      </c>
      <c r="U704" s="274">
        <f>VLOOKUP(A704,'[1]SB35 Determination Data'!$B$4:$F$542,5,FALSE)</f>
        <v>2015</v>
      </c>
    </row>
    <row r="705" spans="1:21" s="274" customFormat="1" ht="12.75" x14ac:dyDescent="0.2">
      <c r="A705" s="282" t="s">
        <v>507</v>
      </c>
      <c r="B705" s="282" t="s">
        <v>602</v>
      </c>
      <c r="C705" s="282" t="s">
        <v>732</v>
      </c>
      <c r="D705" s="283">
        <v>2017</v>
      </c>
      <c r="E705" s="282" t="s">
        <v>650</v>
      </c>
      <c r="F705" s="284">
        <v>126</v>
      </c>
      <c r="G705" s="285">
        <v>0</v>
      </c>
      <c r="H705" s="288">
        <v>0</v>
      </c>
      <c r="I705" s="285">
        <v>0</v>
      </c>
      <c r="J705" s="285">
        <v>84</v>
      </c>
      <c r="K705" s="284">
        <v>0</v>
      </c>
      <c r="L705" s="284">
        <v>0</v>
      </c>
      <c r="M705" s="284">
        <v>0</v>
      </c>
      <c r="N705" s="284">
        <v>95</v>
      </c>
      <c r="O705" s="284">
        <v>0</v>
      </c>
      <c r="P705" s="284">
        <v>221</v>
      </c>
      <c r="Q705" s="286">
        <v>4</v>
      </c>
      <c r="R705" s="274">
        <v>526</v>
      </c>
      <c r="S705" s="274">
        <v>4</v>
      </c>
      <c r="T705" s="287">
        <f t="shared" si="10"/>
        <v>2017</v>
      </c>
      <c r="U705" s="274">
        <f>VLOOKUP(A705,'[1]SB35 Determination Data'!$B$4:$F$542,5,FALSE)</f>
        <v>2015</v>
      </c>
    </row>
    <row r="706" spans="1:21" s="274" customFormat="1" ht="12.75" x14ac:dyDescent="0.2">
      <c r="A706" s="282" t="s">
        <v>477</v>
      </c>
      <c r="B706" s="282" t="s">
        <v>262</v>
      </c>
      <c r="C706" s="282" t="s">
        <v>649</v>
      </c>
      <c r="D706" s="283">
        <v>2014</v>
      </c>
      <c r="E706" s="282" t="s">
        <v>650</v>
      </c>
      <c r="F706" s="284">
        <v>1773</v>
      </c>
      <c r="G706" s="285">
        <v>26</v>
      </c>
      <c r="H706" s="288">
        <v>26</v>
      </c>
      <c r="I706" s="285">
        <v>0</v>
      </c>
      <c r="J706" s="285">
        <v>1066</v>
      </c>
      <c r="K706" s="284">
        <v>14</v>
      </c>
      <c r="L706" s="284">
        <v>14</v>
      </c>
      <c r="M706" s="284">
        <v>0</v>
      </c>
      <c r="N706" s="284">
        <v>1170</v>
      </c>
      <c r="O706" s="284">
        <v>0</v>
      </c>
      <c r="P706" s="284">
        <v>3039</v>
      </c>
      <c r="Q706" s="286">
        <v>260</v>
      </c>
      <c r="R706" s="274">
        <v>7048</v>
      </c>
      <c r="S706" s="274">
        <v>300</v>
      </c>
      <c r="T706" s="287">
        <f t="shared" si="10"/>
        <v>2014</v>
      </c>
      <c r="U706" s="274">
        <f>VLOOKUP(A706,'[1]SB35 Determination Data'!$B$4:$F$542,5,FALSE)</f>
        <v>2014</v>
      </c>
    </row>
    <row r="707" spans="1:21" s="274" customFormat="1" ht="12.75" x14ac:dyDescent="0.2">
      <c r="A707" s="282" t="s">
        <v>477</v>
      </c>
      <c r="B707" s="282" t="s">
        <v>262</v>
      </c>
      <c r="C707" s="282" t="s">
        <v>649</v>
      </c>
      <c r="D707" s="283">
        <v>2015</v>
      </c>
      <c r="E707" s="282" t="s">
        <v>650</v>
      </c>
      <c r="F707" s="284">
        <v>1773</v>
      </c>
      <c r="G707" s="285">
        <v>111</v>
      </c>
      <c r="H707" s="288">
        <v>111</v>
      </c>
      <c r="I707" s="285">
        <v>0</v>
      </c>
      <c r="J707" s="285">
        <v>1066</v>
      </c>
      <c r="K707" s="284">
        <v>8</v>
      </c>
      <c r="L707" s="284">
        <v>8</v>
      </c>
      <c r="M707" s="284">
        <v>0</v>
      </c>
      <c r="N707" s="284">
        <v>1170</v>
      </c>
      <c r="O707" s="284">
        <v>0</v>
      </c>
      <c r="P707" s="284">
        <v>3039</v>
      </c>
      <c r="Q707" s="286">
        <v>31</v>
      </c>
      <c r="R707" s="274">
        <v>7048</v>
      </c>
      <c r="S707" s="274">
        <v>150</v>
      </c>
      <c r="T707" s="287">
        <f t="shared" si="10"/>
        <v>2015</v>
      </c>
      <c r="U707" s="274">
        <f>VLOOKUP(A707,'[1]SB35 Determination Data'!$B$4:$F$542,5,FALSE)</f>
        <v>2014</v>
      </c>
    </row>
    <row r="708" spans="1:21" s="274" customFormat="1" ht="12.75" x14ac:dyDescent="0.2">
      <c r="A708" s="282" t="s">
        <v>477</v>
      </c>
      <c r="B708" s="282" t="s">
        <v>262</v>
      </c>
      <c r="C708" s="282" t="s">
        <v>649</v>
      </c>
      <c r="D708" s="283">
        <v>2016</v>
      </c>
      <c r="E708" s="282" t="s">
        <v>650</v>
      </c>
      <c r="F708" s="284">
        <v>1773</v>
      </c>
      <c r="G708" s="285">
        <v>0</v>
      </c>
      <c r="H708" s="288">
        <v>0</v>
      </c>
      <c r="I708" s="285">
        <v>0</v>
      </c>
      <c r="J708" s="285">
        <v>1066</v>
      </c>
      <c r="K708" s="284">
        <v>0</v>
      </c>
      <c r="L708" s="284">
        <v>0</v>
      </c>
      <c r="M708" s="284">
        <v>0</v>
      </c>
      <c r="N708" s="284">
        <v>1170</v>
      </c>
      <c r="O708" s="284">
        <v>0</v>
      </c>
      <c r="P708" s="284">
        <v>3039</v>
      </c>
      <c r="Q708" s="286">
        <v>675</v>
      </c>
      <c r="R708" s="274">
        <v>7048</v>
      </c>
      <c r="S708" s="274">
        <v>675</v>
      </c>
      <c r="T708" s="287">
        <f t="shared" ref="T708:T771" si="11">IF(D708&gt;U708,D708,U708)</f>
        <v>2016</v>
      </c>
      <c r="U708" s="274">
        <f>VLOOKUP(A708,'[1]SB35 Determination Data'!$B$4:$F$542,5,FALSE)</f>
        <v>2014</v>
      </c>
    </row>
    <row r="709" spans="1:21" s="274" customFormat="1" ht="12.75" x14ac:dyDescent="0.2">
      <c r="A709" s="282" t="s">
        <v>477</v>
      </c>
      <c r="B709" s="282" t="s">
        <v>262</v>
      </c>
      <c r="C709" s="282" t="s">
        <v>649</v>
      </c>
      <c r="D709" s="283">
        <v>2017</v>
      </c>
      <c r="E709" s="282" t="s">
        <v>650</v>
      </c>
      <c r="F709" s="284">
        <v>1773</v>
      </c>
      <c r="G709" s="285">
        <v>158</v>
      </c>
      <c r="H709" s="288">
        <v>158</v>
      </c>
      <c r="I709" s="285">
        <v>0</v>
      </c>
      <c r="J709" s="285">
        <v>1066</v>
      </c>
      <c r="K709" s="284">
        <v>4</v>
      </c>
      <c r="L709" s="284">
        <v>4</v>
      </c>
      <c r="M709" s="284">
        <v>0</v>
      </c>
      <c r="N709" s="284">
        <v>1170</v>
      </c>
      <c r="O709" s="284">
        <v>0</v>
      </c>
      <c r="P709" s="284">
        <v>3039</v>
      </c>
      <c r="Q709" s="286">
        <v>363</v>
      </c>
      <c r="R709" s="274">
        <v>7048</v>
      </c>
      <c r="S709" s="274">
        <v>525</v>
      </c>
      <c r="T709" s="287">
        <f t="shared" si="11"/>
        <v>2017</v>
      </c>
      <c r="U709" s="274">
        <f>VLOOKUP(A709,'[1]SB35 Determination Data'!$B$4:$F$542,5,FALSE)</f>
        <v>2014</v>
      </c>
    </row>
    <row r="710" spans="1:21" s="274" customFormat="1" ht="12.75" x14ac:dyDescent="0.2">
      <c r="A710" s="282" t="s">
        <v>513</v>
      </c>
      <c r="B710" s="282" t="s">
        <v>451</v>
      </c>
      <c r="C710" s="282" t="s">
        <v>685</v>
      </c>
      <c r="D710" s="283">
        <v>2017</v>
      </c>
      <c r="E710" s="282" t="s">
        <v>650</v>
      </c>
      <c r="F710" s="284">
        <v>39</v>
      </c>
      <c r="G710" s="285">
        <v>0</v>
      </c>
      <c r="H710" s="288">
        <v>0</v>
      </c>
      <c r="I710" s="285">
        <v>0</v>
      </c>
      <c r="J710" s="285">
        <v>27</v>
      </c>
      <c r="K710" s="284">
        <v>0</v>
      </c>
      <c r="L710" s="284">
        <v>0</v>
      </c>
      <c r="M710" s="284">
        <v>0</v>
      </c>
      <c r="N710" s="284">
        <v>29</v>
      </c>
      <c r="O710" s="284">
        <v>1</v>
      </c>
      <c r="P710" s="284">
        <v>59</v>
      </c>
      <c r="Q710" s="286">
        <v>11</v>
      </c>
      <c r="R710" s="274">
        <v>154</v>
      </c>
      <c r="S710" s="274">
        <v>12</v>
      </c>
      <c r="T710" s="287">
        <f t="shared" si="11"/>
        <v>2017</v>
      </c>
      <c r="U710" s="274">
        <f>VLOOKUP(A710,'[1]SB35 Determination Data'!$B$4:$F$542,5,FALSE)</f>
        <v>2014</v>
      </c>
    </row>
    <row r="711" spans="1:21" s="274" customFormat="1" ht="12.75" x14ac:dyDescent="0.2">
      <c r="A711" s="282" t="s">
        <v>515</v>
      </c>
      <c r="B711" s="282" t="s">
        <v>436</v>
      </c>
      <c r="C711" s="282" t="s">
        <v>649</v>
      </c>
      <c r="D711" s="283">
        <v>2017</v>
      </c>
      <c r="E711" s="282" t="s">
        <v>650</v>
      </c>
      <c r="F711" s="284">
        <v>14</v>
      </c>
      <c r="G711" s="285">
        <v>0</v>
      </c>
      <c r="H711" s="288">
        <v>0</v>
      </c>
      <c r="I711" s="285">
        <v>0</v>
      </c>
      <c r="J711" s="285">
        <v>10</v>
      </c>
      <c r="K711" s="284">
        <v>0</v>
      </c>
      <c r="L711" s="284">
        <v>0</v>
      </c>
      <c r="M711" s="284">
        <v>0</v>
      </c>
      <c r="N711" s="284">
        <v>11</v>
      </c>
      <c r="O711" s="284">
        <v>0</v>
      </c>
      <c r="P711" s="284">
        <v>26</v>
      </c>
      <c r="Q711" s="286">
        <v>5</v>
      </c>
      <c r="R711" s="274">
        <v>61</v>
      </c>
      <c r="S711" s="274">
        <v>5</v>
      </c>
      <c r="T711" s="287">
        <f t="shared" si="11"/>
        <v>2017</v>
      </c>
      <c r="U711" s="274">
        <f>VLOOKUP(A711,'[1]SB35 Determination Data'!$B$4:$F$542,5,FALSE)</f>
        <v>2014</v>
      </c>
    </row>
    <row r="712" spans="1:21" s="274" customFormat="1" ht="12.75" x14ac:dyDescent="0.2">
      <c r="A712" s="282" t="s">
        <v>518</v>
      </c>
      <c r="B712" s="282" t="s">
        <v>614</v>
      </c>
      <c r="C712" s="282" t="s">
        <v>654</v>
      </c>
      <c r="D712" s="283">
        <v>2015</v>
      </c>
      <c r="E712" s="282" t="s">
        <v>650</v>
      </c>
      <c r="F712" s="284">
        <v>169</v>
      </c>
      <c r="G712" s="285">
        <v>1</v>
      </c>
      <c r="H712" s="288">
        <v>1</v>
      </c>
      <c r="I712" s="285">
        <v>0</v>
      </c>
      <c r="J712" s="285">
        <v>99</v>
      </c>
      <c r="K712" s="284">
        <v>17</v>
      </c>
      <c r="L712" s="284">
        <v>17</v>
      </c>
      <c r="M712" s="284">
        <v>0</v>
      </c>
      <c r="N712" s="284">
        <v>112</v>
      </c>
      <c r="O712" s="284">
        <v>1</v>
      </c>
      <c r="P712" s="284">
        <v>97</v>
      </c>
      <c r="Q712" s="286">
        <v>267</v>
      </c>
      <c r="R712" s="274">
        <v>477</v>
      </c>
      <c r="S712" s="274">
        <v>286</v>
      </c>
      <c r="T712" s="287">
        <f t="shared" si="11"/>
        <v>2015</v>
      </c>
      <c r="U712" s="274">
        <f>VLOOKUP(A712,'[1]SB35 Determination Data'!$B$4:$F$542,5,FALSE)</f>
        <v>2015</v>
      </c>
    </row>
    <row r="713" spans="1:21" s="274" customFormat="1" ht="12.75" x14ac:dyDescent="0.2">
      <c r="A713" s="282" t="s">
        <v>518</v>
      </c>
      <c r="B713" s="282" t="s">
        <v>614</v>
      </c>
      <c r="C713" s="282" t="s">
        <v>654</v>
      </c>
      <c r="D713" s="283">
        <v>2016</v>
      </c>
      <c r="E713" s="282" t="s">
        <v>650</v>
      </c>
      <c r="F713" s="284">
        <v>169</v>
      </c>
      <c r="G713" s="285">
        <v>1</v>
      </c>
      <c r="H713" s="288">
        <v>1</v>
      </c>
      <c r="I713" s="285">
        <v>0</v>
      </c>
      <c r="J713" s="285">
        <v>99</v>
      </c>
      <c r="K713" s="284">
        <v>1</v>
      </c>
      <c r="L713" s="284">
        <v>1</v>
      </c>
      <c r="M713" s="284">
        <v>0</v>
      </c>
      <c r="N713" s="284">
        <v>112</v>
      </c>
      <c r="O713" s="284">
        <v>0</v>
      </c>
      <c r="P713" s="284">
        <v>97</v>
      </c>
      <c r="Q713" s="286">
        <v>52</v>
      </c>
      <c r="R713" s="274">
        <v>477</v>
      </c>
      <c r="S713" s="274">
        <v>54</v>
      </c>
      <c r="T713" s="287">
        <f t="shared" si="11"/>
        <v>2016</v>
      </c>
      <c r="U713" s="274">
        <f>VLOOKUP(A713,'[1]SB35 Determination Data'!$B$4:$F$542,5,FALSE)</f>
        <v>2015</v>
      </c>
    </row>
    <row r="714" spans="1:21" s="274" customFormat="1" ht="12.75" x14ac:dyDescent="0.2">
      <c r="A714" s="282" t="s">
        <v>518</v>
      </c>
      <c r="B714" s="282" t="s">
        <v>614</v>
      </c>
      <c r="C714" s="282" t="s">
        <v>654</v>
      </c>
      <c r="D714" s="283">
        <v>2017</v>
      </c>
      <c r="E714" s="282" t="s">
        <v>650</v>
      </c>
      <c r="F714" s="284">
        <v>169</v>
      </c>
      <c r="G714" s="285">
        <v>0</v>
      </c>
      <c r="H714" s="288">
        <v>0</v>
      </c>
      <c r="I714" s="285">
        <v>0</v>
      </c>
      <c r="J714" s="285">
        <v>99</v>
      </c>
      <c r="K714" s="284">
        <v>0</v>
      </c>
      <c r="L714" s="284">
        <v>0</v>
      </c>
      <c r="M714" s="284">
        <v>0</v>
      </c>
      <c r="N714" s="284">
        <v>112</v>
      </c>
      <c r="O714" s="284">
        <v>0</v>
      </c>
      <c r="P714" s="284">
        <v>97</v>
      </c>
      <c r="Q714" s="286">
        <v>49</v>
      </c>
      <c r="R714" s="274">
        <v>477</v>
      </c>
      <c r="S714" s="274">
        <v>49</v>
      </c>
      <c r="T714" s="287">
        <f t="shared" si="11"/>
        <v>2017</v>
      </c>
      <c r="U714" s="274">
        <f>VLOOKUP(A714,'[1]SB35 Determination Data'!$B$4:$F$542,5,FALSE)</f>
        <v>2015</v>
      </c>
    </row>
    <row r="715" spans="1:21" s="274" customFormat="1" ht="12.75" x14ac:dyDescent="0.2">
      <c r="A715" s="282" t="s">
        <v>521</v>
      </c>
      <c r="B715" s="282" t="s">
        <v>614</v>
      </c>
      <c r="C715" s="282" t="s">
        <v>654</v>
      </c>
      <c r="D715" s="283">
        <v>2017</v>
      </c>
      <c r="E715" s="282" t="s">
        <v>650</v>
      </c>
      <c r="F715" s="284">
        <v>46</v>
      </c>
      <c r="G715" s="285">
        <v>5</v>
      </c>
      <c r="H715" s="288">
        <v>5</v>
      </c>
      <c r="I715" s="285">
        <v>0</v>
      </c>
      <c r="J715" s="285">
        <v>28</v>
      </c>
      <c r="K715" s="284">
        <v>2</v>
      </c>
      <c r="L715" s="284">
        <v>2</v>
      </c>
      <c r="M715" s="284">
        <v>0</v>
      </c>
      <c r="N715" s="289">
        <v>32</v>
      </c>
      <c r="O715" s="284">
        <v>2</v>
      </c>
      <c r="P715" s="284">
        <v>15</v>
      </c>
      <c r="Q715" s="286">
        <v>4</v>
      </c>
      <c r="R715" s="274">
        <v>121</v>
      </c>
      <c r="S715" s="274">
        <v>13</v>
      </c>
      <c r="T715" s="287">
        <f t="shared" si="11"/>
        <v>2017</v>
      </c>
      <c r="U715" s="274">
        <f>VLOOKUP(A715,'[1]SB35 Determination Data'!$B$4:$F$542,5,FALSE)</f>
        <v>2015</v>
      </c>
    </row>
    <row r="716" spans="1:21" s="274" customFormat="1" ht="12.75" x14ac:dyDescent="0.2">
      <c r="A716" s="282" t="s">
        <v>262</v>
      </c>
      <c r="B716" s="282" t="s">
        <v>262</v>
      </c>
      <c r="C716" s="282" t="s">
        <v>649</v>
      </c>
      <c r="D716" s="283">
        <v>2014</v>
      </c>
      <c r="E716" s="282" t="s">
        <v>650</v>
      </c>
      <c r="F716" s="284">
        <v>20427</v>
      </c>
      <c r="G716" s="285">
        <v>856</v>
      </c>
      <c r="H716" s="288">
        <v>856</v>
      </c>
      <c r="I716" s="285">
        <v>0</v>
      </c>
      <c r="J716" s="285">
        <v>12435</v>
      </c>
      <c r="K716" s="284">
        <v>867</v>
      </c>
      <c r="L716" s="284">
        <v>867</v>
      </c>
      <c r="M716" s="284">
        <v>0</v>
      </c>
      <c r="N716" s="284">
        <v>13728</v>
      </c>
      <c r="O716" s="284">
        <v>47</v>
      </c>
      <c r="P716" s="284">
        <v>35412</v>
      </c>
      <c r="Q716" s="286">
        <v>13047</v>
      </c>
      <c r="R716" s="274">
        <v>82002</v>
      </c>
      <c r="S716" s="274">
        <v>14817</v>
      </c>
      <c r="T716" s="287">
        <f t="shared" si="11"/>
        <v>2014</v>
      </c>
      <c r="U716" s="274">
        <f>VLOOKUP(A716,'[1]SB35 Determination Data'!$B$4:$F$542,5,FALSE)</f>
        <v>2014</v>
      </c>
    </row>
    <row r="717" spans="1:21" s="274" customFormat="1" ht="12.75" x14ac:dyDescent="0.2">
      <c r="A717" s="282" t="s">
        <v>262</v>
      </c>
      <c r="B717" s="282" t="s">
        <v>262</v>
      </c>
      <c r="C717" s="282" t="s">
        <v>649</v>
      </c>
      <c r="D717" s="283">
        <v>2015</v>
      </c>
      <c r="E717" s="282" t="s">
        <v>650</v>
      </c>
      <c r="F717" s="284">
        <v>20427</v>
      </c>
      <c r="G717" s="285">
        <v>893</v>
      </c>
      <c r="H717" s="288">
        <v>893</v>
      </c>
      <c r="I717" s="285">
        <v>0</v>
      </c>
      <c r="J717" s="285">
        <v>12435</v>
      </c>
      <c r="K717" s="284">
        <v>536</v>
      </c>
      <c r="L717" s="284">
        <v>536</v>
      </c>
      <c r="M717" s="284">
        <v>0</v>
      </c>
      <c r="N717" s="284">
        <v>13728</v>
      </c>
      <c r="O717" s="284">
        <v>45</v>
      </c>
      <c r="P717" s="284">
        <v>35412</v>
      </c>
      <c r="Q717" s="286">
        <v>15833</v>
      </c>
      <c r="R717" s="274">
        <v>82002</v>
      </c>
      <c r="S717" s="274">
        <v>17307</v>
      </c>
      <c r="T717" s="287">
        <f t="shared" si="11"/>
        <v>2015</v>
      </c>
      <c r="U717" s="274">
        <f>VLOOKUP(A717,'[1]SB35 Determination Data'!$B$4:$F$542,5,FALSE)</f>
        <v>2014</v>
      </c>
    </row>
    <row r="718" spans="1:21" s="274" customFormat="1" ht="12.75" x14ac:dyDescent="0.2">
      <c r="A718" s="282" t="s">
        <v>262</v>
      </c>
      <c r="B718" s="282" t="s">
        <v>262</v>
      </c>
      <c r="C718" s="282" t="s">
        <v>649</v>
      </c>
      <c r="D718" s="283">
        <v>2016</v>
      </c>
      <c r="E718" s="282" t="s">
        <v>650</v>
      </c>
      <c r="F718" s="284">
        <v>20427</v>
      </c>
      <c r="G718" s="285">
        <v>718</v>
      </c>
      <c r="H718" s="288">
        <v>718</v>
      </c>
      <c r="I718" s="285">
        <v>0</v>
      </c>
      <c r="J718" s="285">
        <v>12435</v>
      </c>
      <c r="K718" s="284">
        <v>604</v>
      </c>
      <c r="L718" s="284">
        <v>604</v>
      </c>
      <c r="M718" s="284">
        <v>0</v>
      </c>
      <c r="N718" s="284">
        <v>13728</v>
      </c>
      <c r="O718" s="284">
        <v>143</v>
      </c>
      <c r="P718" s="284">
        <v>35412</v>
      </c>
      <c r="Q718" s="286">
        <v>12231</v>
      </c>
      <c r="R718" s="274">
        <v>82002</v>
      </c>
      <c r="S718" s="274">
        <v>13696</v>
      </c>
      <c r="T718" s="287">
        <f t="shared" si="11"/>
        <v>2016</v>
      </c>
      <c r="U718" s="274">
        <f>VLOOKUP(A718,'[1]SB35 Determination Data'!$B$4:$F$542,5,FALSE)</f>
        <v>2014</v>
      </c>
    </row>
    <row r="719" spans="1:21" s="274" customFormat="1" ht="12.75" x14ac:dyDescent="0.2">
      <c r="A719" s="282" t="s">
        <v>262</v>
      </c>
      <c r="B719" s="282" t="s">
        <v>262</v>
      </c>
      <c r="C719" s="282" t="s">
        <v>649</v>
      </c>
      <c r="D719" s="283">
        <v>2017</v>
      </c>
      <c r="E719" s="282" t="s">
        <v>650</v>
      </c>
      <c r="F719" s="284">
        <v>20427</v>
      </c>
      <c r="G719" s="285">
        <v>697</v>
      </c>
      <c r="H719" s="288">
        <v>697</v>
      </c>
      <c r="I719" s="285">
        <v>0</v>
      </c>
      <c r="J719" s="285">
        <v>12435</v>
      </c>
      <c r="K719" s="284">
        <v>255</v>
      </c>
      <c r="L719" s="284">
        <v>255</v>
      </c>
      <c r="M719" s="284">
        <v>0</v>
      </c>
      <c r="N719" s="284">
        <v>13728</v>
      </c>
      <c r="O719" s="284">
        <v>27</v>
      </c>
      <c r="P719" s="284">
        <v>35412</v>
      </c>
      <c r="Q719" s="286">
        <v>13040</v>
      </c>
      <c r="R719" s="274">
        <v>82002</v>
      </c>
      <c r="S719" s="274">
        <v>14019</v>
      </c>
      <c r="T719" s="287">
        <f t="shared" si="11"/>
        <v>2017</v>
      </c>
      <c r="U719" s="274">
        <f>VLOOKUP(A719,'[1]SB35 Determination Data'!$B$4:$F$542,5,FALSE)</f>
        <v>2014</v>
      </c>
    </row>
    <row r="720" spans="1:21" s="274" customFormat="1" ht="12.75" x14ac:dyDescent="0.2">
      <c r="A720" s="282" t="s">
        <v>480</v>
      </c>
      <c r="B720" s="282" t="s">
        <v>262</v>
      </c>
      <c r="C720" s="282" t="s">
        <v>649</v>
      </c>
      <c r="D720" s="283">
        <v>2014</v>
      </c>
      <c r="E720" s="282" t="s">
        <v>650</v>
      </c>
      <c r="F720" s="284">
        <v>7417</v>
      </c>
      <c r="G720" s="285">
        <v>159</v>
      </c>
      <c r="H720" s="288">
        <v>159</v>
      </c>
      <c r="I720" s="285">
        <v>0</v>
      </c>
      <c r="J720" s="285">
        <v>4287</v>
      </c>
      <c r="K720" s="284">
        <v>0</v>
      </c>
      <c r="L720" s="284">
        <v>0</v>
      </c>
      <c r="M720" s="284">
        <v>0</v>
      </c>
      <c r="N720" s="289">
        <v>4938</v>
      </c>
      <c r="O720" s="284">
        <v>0</v>
      </c>
      <c r="P720" s="284">
        <v>10844</v>
      </c>
      <c r="Q720" s="286">
        <v>513</v>
      </c>
      <c r="R720" s="274">
        <v>27486</v>
      </c>
      <c r="S720" s="274">
        <v>672</v>
      </c>
      <c r="T720" s="287">
        <f t="shared" si="11"/>
        <v>2014</v>
      </c>
      <c r="U720" s="274">
        <f>VLOOKUP(A720,'[1]SB35 Determination Data'!$B$4:$F$542,5,FALSE)</f>
        <v>2014</v>
      </c>
    </row>
    <row r="721" spans="1:21" s="274" customFormat="1" ht="12.75" x14ac:dyDescent="0.2">
      <c r="A721" s="282" t="s">
        <v>480</v>
      </c>
      <c r="B721" s="282" t="s">
        <v>262</v>
      </c>
      <c r="C721" s="282" t="s">
        <v>649</v>
      </c>
      <c r="D721" s="283">
        <v>2015</v>
      </c>
      <c r="E721" s="282" t="s">
        <v>650</v>
      </c>
      <c r="F721" s="284">
        <v>7417</v>
      </c>
      <c r="G721" s="285">
        <v>32</v>
      </c>
      <c r="H721" s="288">
        <v>32</v>
      </c>
      <c r="I721" s="285">
        <v>0</v>
      </c>
      <c r="J721" s="285">
        <v>4287</v>
      </c>
      <c r="K721" s="284">
        <v>0</v>
      </c>
      <c r="L721" s="284">
        <v>0</v>
      </c>
      <c r="M721" s="284">
        <v>0</v>
      </c>
      <c r="N721" s="284">
        <v>4938</v>
      </c>
      <c r="O721" s="284">
        <v>0</v>
      </c>
      <c r="P721" s="284">
        <v>10844</v>
      </c>
      <c r="Q721" s="286">
        <v>1790</v>
      </c>
      <c r="R721" s="274">
        <v>27486</v>
      </c>
      <c r="S721" s="274">
        <v>1822</v>
      </c>
      <c r="T721" s="287">
        <f t="shared" si="11"/>
        <v>2015</v>
      </c>
      <c r="U721" s="274">
        <f>VLOOKUP(A721,'[1]SB35 Determination Data'!$B$4:$F$542,5,FALSE)</f>
        <v>2014</v>
      </c>
    </row>
    <row r="722" spans="1:21" s="274" customFormat="1" ht="12.75" x14ac:dyDescent="0.2">
      <c r="A722" s="282" t="s">
        <v>480</v>
      </c>
      <c r="B722" s="282" t="s">
        <v>262</v>
      </c>
      <c r="C722" s="282" t="s">
        <v>649</v>
      </c>
      <c r="D722" s="283">
        <v>2016</v>
      </c>
      <c r="E722" s="282" t="s">
        <v>650</v>
      </c>
      <c r="F722" s="284">
        <v>7417</v>
      </c>
      <c r="G722" s="285">
        <v>35</v>
      </c>
      <c r="H722" s="288">
        <v>35</v>
      </c>
      <c r="I722" s="285">
        <v>0</v>
      </c>
      <c r="J722" s="285">
        <v>4287</v>
      </c>
      <c r="K722" s="284">
        <v>0</v>
      </c>
      <c r="L722" s="284">
        <v>0</v>
      </c>
      <c r="M722" s="284">
        <v>0</v>
      </c>
      <c r="N722" s="289">
        <v>4938</v>
      </c>
      <c r="O722" s="284">
        <v>0</v>
      </c>
      <c r="P722" s="284">
        <v>10844</v>
      </c>
      <c r="Q722" s="286">
        <v>620</v>
      </c>
      <c r="R722" s="274">
        <v>27486</v>
      </c>
      <c r="S722" s="274">
        <v>655</v>
      </c>
      <c r="T722" s="287">
        <f t="shared" si="11"/>
        <v>2016</v>
      </c>
      <c r="U722" s="274">
        <f>VLOOKUP(A722,'[1]SB35 Determination Data'!$B$4:$F$542,5,FALSE)</f>
        <v>2014</v>
      </c>
    </row>
    <row r="723" spans="1:21" s="274" customFormat="1" ht="12.75" x14ac:dyDescent="0.2">
      <c r="A723" s="282" t="s">
        <v>480</v>
      </c>
      <c r="B723" s="282" t="s">
        <v>262</v>
      </c>
      <c r="C723" s="282" t="s">
        <v>649</v>
      </c>
      <c r="D723" s="283">
        <v>2017</v>
      </c>
      <c r="E723" s="282" t="s">
        <v>650</v>
      </c>
      <c r="F723" s="284">
        <v>7417</v>
      </c>
      <c r="G723" s="285">
        <v>354</v>
      </c>
      <c r="H723" s="288">
        <v>354</v>
      </c>
      <c r="I723" s="285">
        <v>0</v>
      </c>
      <c r="J723" s="285">
        <v>4287</v>
      </c>
      <c r="K723" s="284">
        <v>108</v>
      </c>
      <c r="L723" s="284">
        <v>108</v>
      </c>
      <c r="M723" s="284">
        <v>0</v>
      </c>
      <c r="N723" s="289">
        <v>4938</v>
      </c>
      <c r="O723" s="284">
        <v>0</v>
      </c>
      <c r="P723" s="284">
        <v>10844</v>
      </c>
      <c r="Q723" s="286">
        <v>622</v>
      </c>
      <c r="R723" s="274">
        <v>27486</v>
      </c>
      <c r="S723" s="274">
        <v>1084</v>
      </c>
      <c r="T723" s="287">
        <f t="shared" si="11"/>
        <v>2017</v>
      </c>
      <c r="U723" s="274">
        <f>VLOOKUP(A723,'[1]SB35 Determination Data'!$B$4:$F$542,5,FALSE)</f>
        <v>2014</v>
      </c>
    </row>
    <row r="724" spans="1:21" s="274" customFormat="1" ht="12.75" x14ac:dyDescent="0.2">
      <c r="A724" s="282" t="s">
        <v>523</v>
      </c>
      <c r="B724" s="282" t="s">
        <v>353</v>
      </c>
      <c r="C724" s="282" t="s">
        <v>682</v>
      </c>
      <c r="D724" s="283">
        <v>2016</v>
      </c>
      <c r="E724" s="282" t="s">
        <v>650</v>
      </c>
      <c r="F724" s="284">
        <v>604</v>
      </c>
      <c r="G724" s="285">
        <v>41</v>
      </c>
      <c r="H724" s="288">
        <v>41</v>
      </c>
      <c r="I724" s="285">
        <v>0</v>
      </c>
      <c r="J724" s="285">
        <v>431</v>
      </c>
      <c r="K724" s="284">
        <v>21</v>
      </c>
      <c r="L724" s="284">
        <v>21</v>
      </c>
      <c r="M724" s="284">
        <v>0</v>
      </c>
      <c r="N724" s="284">
        <v>396</v>
      </c>
      <c r="O724" s="284">
        <v>7</v>
      </c>
      <c r="P724" s="284">
        <v>1049</v>
      </c>
      <c r="Q724" s="286">
        <v>0</v>
      </c>
      <c r="R724" s="274">
        <v>2480</v>
      </c>
      <c r="S724" s="274">
        <v>69</v>
      </c>
      <c r="T724" s="287">
        <f t="shared" si="11"/>
        <v>2016</v>
      </c>
      <c r="U724" s="274">
        <f>VLOOKUP(A724,'[1]SB35 Determination Data'!$B$4:$F$542,5,FALSE)</f>
        <v>2016</v>
      </c>
    </row>
    <row r="725" spans="1:21" s="274" customFormat="1" ht="12.75" x14ac:dyDescent="0.2">
      <c r="A725" s="282" t="s">
        <v>523</v>
      </c>
      <c r="B725" s="282" t="s">
        <v>353</v>
      </c>
      <c r="C725" s="282" t="s">
        <v>682</v>
      </c>
      <c r="D725" s="283">
        <v>2017</v>
      </c>
      <c r="E725" s="282" t="s">
        <v>650</v>
      </c>
      <c r="F725" s="284">
        <v>604</v>
      </c>
      <c r="G725" s="285">
        <v>0</v>
      </c>
      <c r="H725" s="288">
        <v>0</v>
      </c>
      <c r="I725" s="285">
        <v>0</v>
      </c>
      <c r="J725" s="285">
        <v>431</v>
      </c>
      <c r="K725" s="284">
        <v>0</v>
      </c>
      <c r="L725" s="284">
        <v>0</v>
      </c>
      <c r="M725" s="284">
        <v>0</v>
      </c>
      <c r="N725" s="284">
        <v>396</v>
      </c>
      <c r="O725" s="284">
        <v>0</v>
      </c>
      <c r="P725" s="284">
        <v>1049</v>
      </c>
      <c r="Q725" s="286">
        <v>217</v>
      </c>
      <c r="R725" s="274">
        <v>2480</v>
      </c>
      <c r="S725" s="274">
        <v>217</v>
      </c>
      <c r="T725" s="287">
        <f t="shared" si="11"/>
        <v>2017</v>
      </c>
      <c r="U725" s="274">
        <f>VLOOKUP(A725,'[1]SB35 Determination Data'!$B$4:$F$542,5,FALSE)</f>
        <v>2016</v>
      </c>
    </row>
    <row r="726" spans="1:21" s="274" customFormat="1" ht="12.75" x14ac:dyDescent="0.2">
      <c r="A726" s="282" t="s">
        <v>524</v>
      </c>
      <c r="B726" s="282" t="s">
        <v>614</v>
      </c>
      <c r="C726" s="282" t="s">
        <v>654</v>
      </c>
      <c r="D726" s="283">
        <v>2014</v>
      </c>
      <c r="E726" s="282" t="s">
        <v>650</v>
      </c>
      <c r="F726" s="284">
        <v>201</v>
      </c>
      <c r="G726" s="285">
        <v>0</v>
      </c>
      <c r="H726" s="288">
        <v>0</v>
      </c>
      <c r="I726" s="285">
        <v>0</v>
      </c>
      <c r="J726" s="285">
        <v>112</v>
      </c>
      <c r="K726" s="284">
        <v>0</v>
      </c>
      <c r="L726" s="284">
        <v>0</v>
      </c>
      <c r="M726" s="284">
        <v>0</v>
      </c>
      <c r="N726" s="284">
        <v>132</v>
      </c>
      <c r="O726" s="284">
        <v>0</v>
      </c>
      <c r="P726" s="284">
        <v>174</v>
      </c>
      <c r="Q726" s="286">
        <v>9</v>
      </c>
      <c r="R726" s="274">
        <v>619</v>
      </c>
      <c r="S726" s="274">
        <v>9</v>
      </c>
      <c r="T726" s="287">
        <f t="shared" si="11"/>
        <v>2015</v>
      </c>
      <c r="U726" s="274">
        <f>VLOOKUP(A726,'[1]SB35 Determination Data'!$B$4:$F$542,5,FALSE)</f>
        <v>2015</v>
      </c>
    </row>
    <row r="727" spans="1:21" s="274" customFormat="1" ht="12.75" x14ac:dyDescent="0.2">
      <c r="A727" s="282" t="s">
        <v>524</v>
      </c>
      <c r="B727" s="282" t="s">
        <v>614</v>
      </c>
      <c r="C727" s="282" t="s">
        <v>654</v>
      </c>
      <c r="D727" s="283">
        <v>2015</v>
      </c>
      <c r="E727" s="282" t="s">
        <v>650</v>
      </c>
      <c r="F727" s="284">
        <v>201</v>
      </c>
      <c r="G727" s="285">
        <v>0</v>
      </c>
      <c r="H727" s="288">
        <v>0</v>
      </c>
      <c r="I727" s="285">
        <v>0</v>
      </c>
      <c r="J727" s="285">
        <v>112</v>
      </c>
      <c r="K727" s="284">
        <v>0</v>
      </c>
      <c r="L727" s="284">
        <v>0</v>
      </c>
      <c r="M727" s="284">
        <v>0</v>
      </c>
      <c r="N727" s="284">
        <v>132</v>
      </c>
      <c r="O727" s="284">
        <v>2</v>
      </c>
      <c r="P727" s="284">
        <v>174</v>
      </c>
      <c r="Q727" s="286">
        <v>13</v>
      </c>
      <c r="R727" s="274">
        <v>619</v>
      </c>
      <c r="S727" s="274">
        <v>15</v>
      </c>
      <c r="T727" s="287">
        <f t="shared" si="11"/>
        <v>2015</v>
      </c>
      <c r="U727" s="274">
        <f>VLOOKUP(A727,'[1]SB35 Determination Data'!$B$4:$F$542,5,FALSE)</f>
        <v>2015</v>
      </c>
    </row>
    <row r="728" spans="1:21" s="274" customFormat="1" ht="12.75" x14ac:dyDescent="0.2">
      <c r="A728" s="282" t="s">
        <v>524</v>
      </c>
      <c r="B728" s="282" t="s">
        <v>614</v>
      </c>
      <c r="C728" s="282" t="s">
        <v>654</v>
      </c>
      <c r="D728" s="283">
        <v>2016</v>
      </c>
      <c r="E728" s="282" t="s">
        <v>650</v>
      </c>
      <c r="F728" s="284">
        <v>201</v>
      </c>
      <c r="G728" s="285">
        <v>0</v>
      </c>
      <c r="H728" s="288">
        <v>0</v>
      </c>
      <c r="I728" s="285">
        <v>0</v>
      </c>
      <c r="J728" s="285">
        <v>112</v>
      </c>
      <c r="K728" s="284">
        <v>2</v>
      </c>
      <c r="L728" s="284">
        <v>2</v>
      </c>
      <c r="M728" s="284">
        <v>0</v>
      </c>
      <c r="N728" s="289">
        <v>132</v>
      </c>
      <c r="O728" s="284">
        <v>3</v>
      </c>
      <c r="P728" s="284">
        <v>174</v>
      </c>
      <c r="Q728" s="286">
        <v>38</v>
      </c>
      <c r="R728" s="274">
        <v>619</v>
      </c>
      <c r="S728" s="274">
        <v>43</v>
      </c>
      <c r="T728" s="287">
        <f t="shared" si="11"/>
        <v>2016</v>
      </c>
      <c r="U728" s="274">
        <f>VLOOKUP(A728,'[1]SB35 Determination Data'!$B$4:$F$542,5,FALSE)</f>
        <v>2015</v>
      </c>
    </row>
    <row r="729" spans="1:21" s="274" customFormat="1" ht="12.75" x14ac:dyDescent="0.2">
      <c r="A729" s="282" t="s">
        <v>524</v>
      </c>
      <c r="B729" s="282" t="s">
        <v>614</v>
      </c>
      <c r="C729" s="282" t="s">
        <v>654</v>
      </c>
      <c r="D729" s="283">
        <v>2017</v>
      </c>
      <c r="E729" s="282" t="s">
        <v>650</v>
      </c>
      <c r="F729" s="284">
        <v>201</v>
      </c>
      <c r="G729" s="285">
        <v>0</v>
      </c>
      <c r="H729" s="288">
        <v>0</v>
      </c>
      <c r="I729" s="285">
        <v>0</v>
      </c>
      <c r="J729" s="285">
        <v>112</v>
      </c>
      <c r="K729" s="284">
        <v>0</v>
      </c>
      <c r="L729" s="284">
        <v>0</v>
      </c>
      <c r="M729" s="284">
        <v>0</v>
      </c>
      <c r="N729" s="289">
        <v>132</v>
      </c>
      <c r="O729" s="284">
        <v>4</v>
      </c>
      <c r="P729" s="284">
        <v>174</v>
      </c>
      <c r="Q729" s="286">
        <v>9</v>
      </c>
      <c r="R729" s="274">
        <v>619</v>
      </c>
      <c r="S729" s="274">
        <v>13</v>
      </c>
      <c r="T729" s="287">
        <f t="shared" si="11"/>
        <v>2017</v>
      </c>
      <c r="U729" s="274">
        <f>VLOOKUP(A729,'[1]SB35 Determination Data'!$B$4:$F$542,5,FALSE)</f>
        <v>2015</v>
      </c>
    </row>
    <row r="730" spans="1:21" s="274" customFormat="1" ht="12.75" x14ac:dyDescent="0.2">
      <c r="A730" s="282" t="s">
        <v>281</v>
      </c>
      <c r="B730" s="282" t="s">
        <v>281</v>
      </c>
      <c r="C730" s="282" t="s">
        <v>660</v>
      </c>
      <c r="D730" s="283">
        <v>2014</v>
      </c>
      <c r="E730" s="282" t="s">
        <v>650</v>
      </c>
      <c r="F730" s="284">
        <v>1352</v>
      </c>
      <c r="G730" s="285">
        <v>15</v>
      </c>
      <c r="H730" s="288">
        <v>15</v>
      </c>
      <c r="I730" s="285">
        <v>0</v>
      </c>
      <c r="J730" s="285">
        <v>1056</v>
      </c>
      <c r="K730" s="284">
        <v>113</v>
      </c>
      <c r="L730" s="284">
        <v>113</v>
      </c>
      <c r="M730" s="284">
        <v>0</v>
      </c>
      <c r="N730" s="284">
        <v>1091</v>
      </c>
      <c r="O730" s="284">
        <v>21</v>
      </c>
      <c r="P730" s="284">
        <v>2600</v>
      </c>
      <c r="Q730" s="286">
        <v>1</v>
      </c>
      <c r="R730" s="274">
        <v>6099</v>
      </c>
      <c r="S730" s="274">
        <v>150</v>
      </c>
      <c r="T730" s="287">
        <f t="shared" si="11"/>
        <v>2016</v>
      </c>
      <c r="U730" s="274">
        <f>VLOOKUP(A730,'[1]SB35 Determination Data'!$B$4:$F$542,5,FALSE)</f>
        <v>2016</v>
      </c>
    </row>
    <row r="731" spans="1:21" s="274" customFormat="1" ht="12.75" x14ac:dyDescent="0.2">
      <c r="A731" s="282" t="s">
        <v>281</v>
      </c>
      <c r="B731" s="282" t="s">
        <v>281</v>
      </c>
      <c r="C731" s="282" t="s">
        <v>660</v>
      </c>
      <c r="D731" s="283">
        <v>2015</v>
      </c>
      <c r="E731" s="282" t="s">
        <v>650</v>
      </c>
      <c r="F731" s="284">
        <v>1352</v>
      </c>
      <c r="G731" s="285">
        <v>2</v>
      </c>
      <c r="H731" s="288">
        <v>2</v>
      </c>
      <c r="I731" s="285">
        <v>0</v>
      </c>
      <c r="J731" s="285">
        <v>1056</v>
      </c>
      <c r="K731" s="284">
        <v>140</v>
      </c>
      <c r="L731" s="284">
        <v>140</v>
      </c>
      <c r="M731" s="284">
        <v>0</v>
      </c>
      <c r="N731" s="289">
        <v>1091</v>
      </c>
      <c r="O731" s="284">
        <v>17</v>
      </c>
      <c r="P731" s="284">
        <v>2600</v>
      </c>
      <c r="Q731" s="286">
        <v>1</v>
      </c>
      <c r="R731" s="274">
        <v>6099</v>
      </c>
      <c r="S731" s="274">
        <v>160</v>
      </c>
      <c r="T731" s="287">
        <f t="shared" si="11"/>
        <v>2016</v>
      </c>
      <c r="U731" s="274">
        <f>VLOOKUP(A731,'[1]SB35 Determination Data'!$B$4:$F$542,5,FALSE)</f>
        <v>2016</v>
      </c>
    </row>
    <row r="732" spans="1:21" s="274" customFormat="1" ht="12.75" x14ac:dyDescent="0.2">
      <c r="A732" s="282" t="s">
        <v>281</v>
      </c>
      <c r="B732" s="282" t="s">
        <v>281</v>
      </c>
      <c r="C732" s="282" t="s">
        <v>660</v>
      </c>
      <c r="D732" s="283">
        <v>2016</v>
      </c>
      <c r="E732" s="282" t="s">
        <v>650</v>
      </c>
      <c r="F732" s="284">
        <v>1352</v>
      </c>
      <c r="G732" s="285">
        <v>0</v>
      </c>
      <c r="H732" s="288">
        <v>0</v>
      </c>
      <c r="I732" s="285">
        <v>0</v>
      </c>
      <c r="J732" s="285">
        <v>1056</v>
      </c>
      <c r="K732" s="284">
        <v>0</v>
      </c>
      <c r="L732" s="284">
        <v>0</v>
      </c>
      <c r="M732" s="284">
        <v>0</v>
      </c>
      <c r="N732" s="284">
        <v>1091</v>
      </c>
      <c r="O732" s="284">
        <v>55</v>
      </c>
      <c r="P732" s="284">
        <v>2600</v>
      </c>
      <c r="Q732" s="286">
        <v>4</v>
      </c>
      <c r="R732" s="274">
        <v>6099</v>
      </c>
      <c r="S732" s="274">
        <v>59</v>
      </c>
      <c r="T732" s="287">
        <f t="shared" si="11"/>
        <v>2016</v>
      </c>
      <c r="U732" s="274">
        <f>VLOOKUP(A732,'[1]SB35 Determination Data'!$B$4:$F$542,5,FALSE)</f>
        <v>2016</v>
      </c>
    </row>
    <row r="733" spans="1:21" s="274" customFormat="1" ht="12.75" x14ac:dyDescent="0.2">
      <c r="A733" s="282" t="s">
        <v>281</v>
      </c>
      <c r="B733" s="282" t="s">
        <v>281</v>
      </c>
      <c r="C733" s="282" t="s">
        <v>660</v>
      </c>
      <c r="D733" s="283">
        <v>2017</v>
      </c>
      <c r="E733" s="282" t="s">
        <v>650</v>
      </c>
      <c r="F733" s="284">
        <v>1352</v>
      </c>
      <c r="G733" s="285">
        <v>6</v>
      </c>
      <c r="H733" s="288">
        <v>0</v>
      </c>
      <c r="I733" s="285">
        <v>6</v>
      </c>
      <c r="J733" s="285">
        <v>1056</v>
      </c>
      <c r="K733" s="284">
        <v>56</v>
      </c>
      <c r="L733" s="284">
        <v>0</v>
      </c>
      <c r="M733" s="284">
        <v>56</v>
      </c>
      <c r="N733" s="284">
        <v>1091</v>
      </c>
      <c r="O733" s="284">
        <v>88</v>
      </c>
      <c r="P733" s="284">
        <v>2600</v>
      </c>
      <c r="Q733" s="286">
        <v>0</v>
      </c>
      <c r="R733" s="274">
        <v>6099</v>
      </c>
      <c r="S733" s="274">
        <v>150</v>
      </c>
      <c r="T733" s="287">
        <f t="shared" si="11"/>
        <v>2017</v>
      </c>
      <c r="U733" s="274">
        <f>VLOOKUP(A733,'[1]SB35 Determination Data'!$B$4:$F$542,5,FALSE)</f>
        <v>2016</v>
      </c>
    </row>
    <row r="734" spans="1:21" s="274" customFormat="1" ht="12.75" x14ac:dyDescent="0.2">
      <c r="A734" s="282" t="s">
        <v>527</v>
      </c>
      <c r="B734" s="282" t="s">
        <v>281</v>
      </c>
      <c r="C734" s="282" t="s">
        <v>660</v>
      </c>
      <c r="D734" s="283">
        <v>2015</v>
      </c>
      <c r="E734" s="282" t="s">
        <v>650</v>
      </c>
      <c r="F734" s="284">
        <v>1285</v>
      </c>
      <c r="G734" s="285">
        <v>0</v>
      </c>
      <c r="H734" s="288">
        <v>0</v>
      </c>
      <c r="I734" s="285">
        <v>0</v>
      </c>
      <c r="J734" s="285">
        <v>984</v>
      </c>
      <c r="K734" s="284">
        <v>0</v>
      </c>
      <c r="L734" s="284">
        <v>0</v>
      </c>
      <c r="M734" s="284">
        <v>0</v>
      </c>
      <c r="N734" s="284">
        <v>1015</v>
      </c>
      <c r="O734" s="284">
        <v>0</v>
      </c>
      <c r="P734" s="284">
        <v>2398</v>
      </c>
      <c r="Q734" s="286">
        <v>0</v>
      </c>
      <c r="R734" s="274">
        <v>5682</v>
      </c>
      <c r="S734" s="274">
        <v>0</v>
      </c>
      <c r="T734" s="287">
        <f t="shared" si="11"/>
        <v>2016</v>
      </c>
      <c r="U734" s="274">
        <f>VLOOKUP(A734,'[1]SB35 Determination Data'!$B$4:$F$542,5,FALSE)</f>
        <v>2016</v>
      </c>
    </row>
    <row r="735" spans="1:21" s="274" customFormat="1" ht="12.75" x14ac:dyDescent="0.2">
      <c r="A735" s="282" t="s">
        <v>527</v>
      </c>
      <c r="B735" s="282" t="s">
        <v>281</v>
      </c>
      <c r="C735" s="282" t="s">
        <v>693</v>
      </c>
      <c r="D735" s="283">
        <v>2016</v>
      </c>
      <c r="E735" s="282" t="s">
        <v>650</v>
      </c>
      <c r="F735" s="284">
        <v>1285</v>
      </c>
      <c r="G735" s="285">
        <v>0</v>
      </c>
      <c r="H735" s="288">
        <v>0</v>
      </c>
      <c r="I735" s="285">
        <v>0</v>
      </c>
      <c r="J735" s="285">
        <v>984</v>
      </c>
      <c r="K735" s="284">
        <v>20</v>
      </c>
      <c r="L735" s="284">
        <v>20</v>
      </c>
      <c r="M735" s="284">
        <v>0</v>
      </c>
      <c r="N735" s="289">
        <v>1015</v>
      </c>
      <c r="O735" s="284">
        <v>0</v>
      </c>
      <c r="P735" s="284">
        <v>2398</v>
      </c>
      <c r="Q735" s="286">
        <v>0</v>
      </c>
      <c r="R735" s="274">
        <v>5682</v>
      </c>
      <c r="S735" s="274">
        <v>20</v>
      </c>
      <c r="T735" s="287">
        <f t="shared" si="11"/>
        <v>2016</v>
      </c>
      <c r="U735" s="274">
        <f>VLOOKUP(A735,'[1]SB35 Determination Data'!$B$4:$F$542,5,FALSE)</f>
        <v>2016</v>
      </c>
    </row>
    <row r="736" spans="1:21" s="274" customFormat="1" ht="12.75" x14ac:dyDescent="0.2">
      <c r="A736" s="282" t="s">
        <v>527</v>
      </c>
      <c r="B736" s="282" t="s">
        <v>281</v>
      </c>
      <c r="C736" s="282" t="s">
        <v>693</v>
      </c>
      <c r="D736" s="283">
        <v>2017</v>
      </c>
      <c r="E736" s="282" t="s">
        <v>650</v>
      </c>
      <c r="F736" s="284">
        <v>1285</v>
      </c>
      <c r="G736" s="285">
        <v>0</v>
      </c>
      <c r="H736" s="288">
        <v>0</v>
      </c>
      <c r="I736" s="285">
        <v>0</v>
      </c>
      <c r="J736" s="285">
        <v>984</v>
      </c>
      <c r="K736" s="284">
        <v>11</v>
      </c>
      <c r="L736" s="284">
        <v>0</v>
      </c>
      <c r="M736" s="284">
        <v>11</v>
      </c>
      <c r="N736" s="284">
        <v>1015</v>
      </c>
      <c r="O736" s="284">
        <v>0</v>
      </c>
      <c r="P736" s="284">
        <v>2398</v>
      </c>
      <c r="Q736" s="286">
        <v>148</v>
      </c>
      <c r="R736" s="274">
        <v>5682</v>
      </c>
      <c r="S736" s="274">
        <v>159</v>
      </c>
      <c r="T736" s="287">
        <f t="shared" si="11"/>
        <v>2017</v>
      </c>
      <c r="U736" s="274">
        <f>VLOOKUP(A736,'[1]SB35 Determination Data'!$B$4:$F$542,5,FALSE)</f>
        <v>2016</v>
      </c>
    </row>
    <row r="737" spans="1:21" s="274" customFormat="1" ht="12.75" x14ac:dyDescent="0.2">
      <c r="A737" s="282" t="s">
        <v>482</v>
      </c>
      <c r="B737" s="282" t="s">
        <v>262</v>
      </c>
      <c r="C737" s="282" t="s">
        <v>649</v>
      </c>
      <c r="D737" s="283">
        <v>2014</v>
      </c>
      <c r="E737" s="282" t="s">
        <v>650</v>
      </c>
      <c r="F737" s="284">
        <v>1</v>
      </c>
      <c r="G737" s="285">
        <v>0</v>
      </c>
      <c r="H737" s="288">
        <v>0</v>
      </c>
      <c r="I737" s="285">
        <v>0</v>
      </c>
      <c r="J737" s="285">
        <v>1</v>
      </c>
      <c r="K737" s="284">
        <v>0</v>
      </c>
      <c r="L737" s="284">
        <v>0</v>
      </c>
      <c r="M737" s="284">
        <v>0</v>
      </c>
      <c r="N737" s="284">
        <v>0</v>
      </c>
      <c r="O737" s="284">
        <v>0</v>
      </c>
      <c r="P737" s="284">
        <v>0</v>
      </c>
      <c r="Q737" s="286">
        <v>13</v>
      </c>
      <c r="R737" s="274">
        <v>2</v>
      </c>
      <c r="S737" s="274">
        <v>13</v>
      </c>
      <c r="T737" s="287">
        <f t="shared" si="11"/>
        <v>2014</v>
      </c>
      <c r="U737" s="274">
        <f>VLOOKUP(A737,'[1]SB35 Determination Data'!$B$4:$F$542,5,FALSE)</f>
        <v>2014</v>
      </c>
    </row>
    <row r="738" spans="1:21" s="274" customFormat="1" ht="12.75" x14ac:dyDescent="0.2">
      <c r="A738" s="282" t="s">
        <v>482</v>
      </c>
      <c r="B738" s="282" t="s">
        <v>262</v>
      </c>
      <c r="C738" s="282" t="s">
        <v>649</v>
      </c>
      <c r="D738" s="283">
        <v>2015</v>
      </c>
      <c r="E738" s="282" t="s">
        <v>650</v>
      </c>
      <c r="F738" s="284">
        <v>1</v>
      </c>
      <c r="G738" s="285">
        <v>0</v>
      </c>
      <c r="H738" s="288">
        <v>0</v>
      </c>
      <c r="I738" s="285">
        <v>0</v>
      </c>
      <c r="J738" s="285">
        <v>1</v>
      </c>
      <c r="K738" s="284">
        <v>0</v>
      </c>
      <c r="L738" s="284">
        <v>0</v>
      </c>
      <c r="M738" s="284">
        <v>0</v>
      </c>
      <c r="N738" s="284">
        <v>0</v>
      </c>
      <c r="O738" s="284">
        <v>0</v>
      </c>
      <c r="P738" s="284">
        <v>0</v>
      </c>
      <c r="Q738" s="286">
        <v>16</v>
      </c>
      <c r="R738" s="274">
        <v>2</v>
      </c>
      <c r="S738" s="274">
        <v>16</v>
      </c>
      <c r="T738" s="287">
        <f t="shared" si="11"/>
        <v>2015</v>
      </c>
      <c r="U738" s="274">
        <f>VLOOKUP(A738,'[1]SB35 Determination Data'!$B$4:$F$542,5,FALSE)</f>
        <v>2014</v>
      </c>
    </row>
    <row r="739" spans="1:21" s="274" customFormat="1" ht="12.75" x14ac:dyDescent="0.2">
      <c r="A739" s="282" t="s">
        <v>482</v>
      </c>
      <c r="B739" s="282" t="s">
        <v>262</v>
      </c>
      <c r="C739" s="282" t="s">
        <v>649</v>
      </c>
      <c r="D739" s="283">
        <v>2016</v>
      </c>
      <c r="E739" s="282" t="s">
        <v>650</v>
      </c>
      <c r="F739" s="284">
        <v>1</v>
      </c>
      <c r="G739" s="285">
        <v>0</v>
      </c>
      <c r="H739" s="288">
        <v>0</v>
      </c>
      <c r="I739" s="285">
        <v>0</v>
      </c>
      <c r="J739" s="285">
        <v>1</v>
      </c>
      <c r="K739" s="284">
        <v>0</v>
      </c>
      <c r="L739" s="284">
        <v>0</v>
      </c>
      <c r="M739" s="284">
        <v>0</v>
      </c>
      <c r="N739" s="289">
        <v>0</v>
      </c>
      <c r="O739" s="284">
        <v>0</v>
      </c>
      <c r="P739" s="284">
        <v>0</v>
      </c>
      <c r="Q739" s="286">
        <v>3</v>
      </c>
      <c r="R739" s="274">
        <v>2</v>
      </c>
      <c r="S739" s="274">
        <v>3</v>
      </c>
      <c r="T739" s="287">
        <f t="shared" si="11"/>
        <v>2016</v>
      </c>
      <c r="U739" s="274">
        <f>VLOOKUP(A739,'[1]SB35 Determination Data'!$B$4:$F$542,5,FALSE)</f>
        <v>2014</v>
      </c>
    </row>
    <row r="740" spans="1:21" s="274" customFormat="1" ht="12.75" x14ac:dyDescent="0.2">
      <c r="A740" s="282" t="s">
        <v>482</v>
      </c>
      <c r="B740" s="282" t="s">
        <v>262</v>
      </c>
      <c r="C740" s="282" t="s">
        <v>649</v>
      </c>
      <c r="D740" s="283">
        <v>2017</v>
      </c>
      <c r="E740" s="282" t="s">
        <v>650</v>
      </c>
      <c r="F740" s="284">
        <v>1</v>
      </c>
      <c r="G740" s="285">
        <v>0</v>
      </c>
      <c r="H740" s="288">
        <v>0</v>
      </c>
      <c r="I740" s="285">
        <v>0</v>
      </c>
      <c r="J740" s="285">
        <v>1</v>
      </c>
      <c r="K740" s="284">
        <v>0</v>
      </c>
      <c r="L740" s="284">
        <v>0</v>
      </c>
      <c r="M740" s="284">
        <v>0</v>
      </c>
      <c r="N740" s="284">
        <v>0</v>
      </c>
      <c r="O740" s="284">
        <v>0</v>
      </c>
      <c r="P740" s="284">
        <v>0</v>
      </c>
      <c r="Q740" s="286">
        <v>17</v>
      </c>
      <c r="R740" s="274">
        <v>2</v>
      </c>
      <c r="S740" s="274">
        <v>17</v>
      </c>
      <c r="T740" s="287">
        <f t="shared" si="11"/>
        <v>2017</v>
      </c>
      <c r="U740" s="274">
        <f>VLOOKUP(A740,'[1]SB35 Determination Data'!$B$4:$F$542,5,FALSE)</f>
        <v>2014</v>
      </c>
    </row>
    <row r="741" spans="1:21" s="274" customFormat="1" ht="12.75" x14ac:dyDescent="0.2">
      <c r="A741" s="282" t="s">
        <v>528</v>
      </c>
      <c r="B741" s="282" t="s">
        <v>390</v>
      </c>
      <c r="C741" s="282" t="s">
        <v>660</v>
      </c>
      <c r="D741" s="283">
        <v>2014</v>
      </c>
      <c r="E741" s="282" t="s">
        <v>650</v>
      </c>
      <c r="F741" s="284">
        <v>17</v>
      </c>
      <c r="G741" s="285">
        <v>0</v>
      </c>
      <c r="H741" s="288">
        <v>0</v>
      </c>
      <c r="I741" s="285">
        <v>0</v>
      </c>
      <c r="J741" s="285">
        <v>12</v>
      </c>
      <c r="K741" s="284">
        <v>0</v>
      </c>
      <c r="L741" s="284">
        <v>0</v>
      </c>
      <c r="M741" s="284">
        <v>0</v>
      </c>
      <c r="N741" s="284">
        <v>14</v>
      </c>
      <c r="O741" s="284">
        <v>0</v>
      </c>
      <c r="P741" s="284">
        <v>31</v>
      </c>
      <c r="Q741" s="286">
        <v>12</v>
      </c>
      <c r="R741" s="274">
        <v>74</v>
      </c>
      <c r="S741" s="274">
        <v>12</v>
      </c>
      <c r="T741" s="287">
        <f t="shared" si="11"/>
        <v>2014</v>
      </c>
      <c r="U741" s="274">
        <f>VLOOKUP(A741,'[1]SB35 Determination Data'!$B$4:$F$542,5,FALSE)</f>
        <v>2014</v>
      </c>
    </row>
    <row r="742" spans="1:21" s="274" customFormat="1" ht="12.75" x14ac:dyDescent="0.2">
      <c r="A742" s="282" t="s">
        <v>528</v>
      </c>
      <c r="B742" s="282" t="s">
        <v>390</v>
      </c>
      <c r="C742" s="282" t="s">
        <v>660</v>
      </c>
      <c r="D742" s="283">
        <v>2015</v>
      </c>
      <c r="E742" s="282" t="s">
        <v>650</v>
      </c>
      <c r="F742" s="284">
        <v>17</v>
      </c>
      <c r="G742" s="285">
        <v>0</v>
      </c>
      <c r="H742" s="288">
        <v>0</v>
      </c>
      <c r="I742" s="285">
        <v>0</v>
      </c>
      <c r="J742" s="285">
        <v>12</v>
      </c>
      <c r="K742" s="284">
        <v>0</v>
      </c>
      <c r="L742" s="284">
        <v>0</v>
      </c>
      <c r="M742" s="284">
        <v>0</v>
      </c>
      <c r="N742" s="289">
        <v>14</v>
      </c>
      <c r="O742" s="284">
        <v>0</v>
      </c>
      <c r="P742" s="284">
        <v>31</v>
      </c>
      <c r="Q742" s="286">
        <v>22</v>
      </c>
      <c r="R742" s="274">
        <v>74</v>
      </c>
      <c r="S742" s="274">
        <v>22</v>
      </c>
      <c r="T742" s="287">
        <f t="shared" si="11"/>
        <v>2015</v>
      </c>
      <c r="U742" s="274">
        <f>VLOOKUP(A742,'[1]SB35 Determination Data'!$B$4:$F$542,5,FALSE)</f>
        <v>2014</v>
      </c>
    </row>
    <row r="743" spans="1:21" s="274" customFormat="1" ht="12.75" x14ac:dyDescent="0.2">
      <c r="A743" s="282" t="s">
        <v>528</v>
      </c>
      <c r="B743" s="282" t="s">
        <v>390</v>
      </c>
      <c r="C743" s="282" t="s">
        <v>660</v>
      </c>
      <c r="D743" s="283">
        <v>2016</v>
      </c>
      <c r="E743" s="282" t="s">
        <v>650</v>
      </c>
      <c r="F743" s="284">
        <v>17</v>
      </c>
      <c r="G743" s="285">
        <v>0</v>
      </c>
      <c r="H743" s="288">
        <v>0</v>
      </c>
      <c r="I743" s="285">
        <v>0</v>
      </c>
      <c r="J743" s="285">
        <v>12</v>
      </c>
      <c r="K743" s="284">
        <v>0</v>
      </c>
      <c r="L743" s="284">
        <v>0</v>
      </c>
      <c r="M743" s="284">
        <v>0</v>
      </c>
      <c r="N743" s="284">
        <v>14</v>
      </c>
      <c r="O743" s="284">
        <v>0</v>
      </c>
      <c r="P743" s="284">
        <v>31</v>
      </c>
      <c r="Q743" s="286">
        <v>23</v>
      </c>
      <c r="R743" s="274">
        <v>74</v>
      </c>
      <c r="S743" s="274">
        <v>23</v>
      </c>
      <c r="T743" s="287">
        <f t="shared" si="11"/>
        <v>2016</v>
      </c>
      <c r="U743" s="274">
        <f>VLOOKUP(A743,'[1]SB35 Determination Data'!$B$4:$F$542,5,FALSE)</f>
        <v>2014</v>
      </c>
    </row>
    <row r="744" spans="1:21" s="274" customFormat="1" ht="12.75" x14ac:dyDescent="0.2">
      <c r="A744" s="282" t="s">
        <v>528</v>
      </c>
      <c r="B744" s="282" t="s">
        <v>390</v>
      </c>
      <c r="C744" s="282" t="s">
        <v>660</v>
      </c>
      <c r="D744" s="283">
        <v>2017</v>
      </c>
      <c r="E744" s="282" t="s">
        <v>650</v>
      </c>
      <c r="F744" s="284">
        <v>17</v>
      </c>
      <c r="G744" s="285">
        <v>0</v>
      </c>
      <c r="H744" s="288">
        <v>0</v>
      </c>
      <c r="I744" s="285">
        <v>0</v>
      </c>
      <c r="J744" s="285">
        <v>12</v>
      </c>
      <c r="K744" s="284">
        <v>0</v>
      </c>
      <c r="L744" s="284">
        <v>0</v>
      </c>
      <c r="M744" s="284">
        <v>0</v>
      </c>
      <c r="N744" s="284">
        <v>14</v>
      </c>
      <c r="O744" s="284">
        <v>0</v>
      </c>
      <c r="P744" s="284">
        <v>31</v>
      </c>
      <c r="Q744" s="286">
        <v>14</v>
      </c>
      <c r="R744" s="274">
        <v>74</v>
      </c>
      <c r="S744" s="274">
        <v>14</v>
      </c>
      <c r="T744" s="287">
        <f t="shared" si="11"/>
        <v>2017</v>
      </c>
      <c r="U744" s="274">
        <f>VLOOKUP(A744,'[1]SB35 Determination Data'!$B$4:$F$542,5,FALSE)</f>
        <v>2014</v>
      </c>
    </row>
    <row r="745" spans="1:21" s="274" customFormat="1" ht="12.75" x14ac:dyDescent="0.2">
      <c r="A745" s="282" t="s">
        <v>483</v>
      </c>
      <c r="B745" s="282" t="s">
        <v>262</v>
      </c>
      <c r="C745" s="282" t="s">
        <v>649</v>
      </c>
      <c r="D745" s="283">
        <v>2014</v>
      </c>
      <c r="E745" s="282" t="s">
        <v>650</v>
      </c>
      <c r="F745" s="284">
        <v>10</v>
      </c>
      <c r="G745" s="285">
        <v>0</v>
      </c>
      <c r="H745" s="288">
        <v>0</v>
      </c>
      <c r="I745" s="285">
        <v>0</v>
      </c>
      <c r="J745" s="285">
        <v>6</v>
      </c>
      <c r="K745" s="284">
        <v>0</v>
      </c>
      <c r="L745" s="284">
        <v>0</v>
      </c>
      <c r="M745" s="284">
        <v>0</v>
      </c>
      <c r="N745" s="284">
        <v>7</v>
      </c>
      <c r="O745" s="284">
        <v>0</v>
      </c>
      <c r="P745" s="284">
        <v>15</v>
      </c>
      <c r="Q745" s="286">
        <v>73</v>
      </c>
      <c r="R745" s="274">
        <v>38</v>
      </c>
      <c r="S745" s="274">
        <v>73</v>
      </c>
      <c r="T745" s="287">
        <f t="shared" si="11"/>
        <v>2014</v>
      </c>
      <c r="U745" s="274">
        <f>VLOOKUP(A745,'[1]SB35 Determination Data'!$B$4:$F$542,5,FALSE)</f>
        <v>2014</v>
      </c>
    </row>
    <row r="746" spans="1:21" s="274" customFormat="1" ht="12.75" x14ac:dyDescent="0.2">
      <c r="A746" s="282" t="s">
        <v>483</v>
      </c>
      <c r="B746" s="282" t="s">
        <v>262</v>
      </c>
      <c r="C746" s="282" t="s">
        <v>649</v>
      </c>
      <c r="D746" s="283">
        <v>2015</v>
      </c>
      <c r="E746" s="282" t="s">
        <v>650</v>
      </c>
      <c r="F746" s="284">
        <v>10</v>
      </c>
      <c r="G746" s="285">
        <v>0</v>
      </c>
      <c r="H746" s="288">
        <v>0</v>
      </c>
      <c r="I746" s="285">
        <v>0</v>
      </c>
      <c r="J746" s="285">
        <v>6</v>
      </c>
      <c r="K746" s="284">
        <v>0</v>
      </c>
      <c r="L746" s="284">
        <v>0</v>
      </c>
      <c r="M746" s="284">
        <v>0</v>
      </c>
      <c r="N746" s="284">
        <v>7</v>
      </c>
      <c r="O746" s="284">
        <v>0</v>
      </c>
      <c r="P746" s="284">
        <v>15</v>
      </c>
      <c r="Q746" s="286">
        <v>86</v>
      </c>
      <c r="R746" s="274">
        <v>38</v>
      </c>
      <c r="S746" s="274">
        <v>86</v>
      </c>
      <c r="T746" s="287">
        <f t="shared" si="11"/>
        <v>2015</v>
      </c>
      <c r="U746" s="274">
        <f>VLOOKUP(A746,'[1]SB35 Determination Data'!$B$4:$F$542,5,FALSE)</f>
        <v>2014</v>
      </c>
    </row>
    <row r="747" spans="1:21" s="274" customFormat="1" ht="12.75" x14ac:dyDescent="0.2">
      <c r="A747" s="282" t="s">
        <v>483</v>
      </c>
      <c r="B747" s="282" t="s">
        <v>262</v>
      </c>
      <c r="C747" s="282" t="s">
        <v>649</v>
      </c>
      <c r="D747" s="283">
        <v>2016</v>
      </c>
      <c r="E747" s="282" t="s">
        <v>650</v>
      </c>
      <c r="F747" s="284">
        <v>10</v>
      </c>
      <c r="G747" s="285">
        <v>0</v>
      </c>
      <c r="H747" s="288">
        <v>0</v>
      </c>
      <c r="I747" s="285">
        <v>0</v>
      </c>
      <c r="J747" s="285">
        <v>6</v>
      </c>
      <c r="K747" s="284">
        <v>0</v>
      </c>
      <c r="L747" s="284">
        <v>0</v>
      </c>
      <c r="M747" s="284">
        <v>0</v>
      </c>
      <c r="N747" s="284">
        <v>7</v>
      </c>
      <c r="O747" s="284">
        <v>0</v>
      </c>
      <c r="P747" s="284">
        <v>15</v>
      </c>
      <c r="Q747" s="286">
        <v>40</v>
      </c>
      <c r="R747" s="274">
        <v>38</v>
      </c>
      <c r="S747" s="274">
        <v>40</v>
      </c>
      <c r="T747" s="287">
        <f t="shared" si="11"/>
        <v>2016</v>
      </c>
      <c r="U747" s="274">
        <f>VLOOKUP(A747,'[1]SB35 Determination Data'!$B$4:$F$542,5,FALSE)</f>
        <v>2014</v>
      </c>
    </row>
    <row r="748" spans="1:21" s="274" customFormat="1" ht="12.75" x14ac:dyDescent="0.2">
      <c r="A748" s="282" t="s">
        <v>483</v>
      </c>
      <c r="B748" s="282" t="s">
        <v>262</v>
      </c>
      <c r="C748" s="282" t="s">
        <v>649</v>
      </c>
      <c r="D748" s="283">
        <v>2017</v>
      </c>
      <c r="E748" s="282" t="s">
        <v>650</v>
      </c>
      <c r="F748" s="284">
        <v>10</v>
      </c>
      <c r="G748" s="285">
        <v>0</v>
      </c>
      <c r="H748" s="288">
        <v>0</v>
      </c>
      <c r="I748" s="285">
        <v>0</v>
      </c>
      <c r="J748" s="285">
        <v>6</v>
      </c>
      <c r="K748" s="284">
        <v>0</v>
      </c>
      <c r="L748" s="284">
        <v>0</v>
      </c>
      <c r="M748" s="284">
        <v>0</v>
      </c>
      <c r="N748" s="284">
        <v>7</v>
      </c>
      <c r="O748" s="284">
        <v>0</v>
      </c>
      <c r="P748" s="284">
        <v>15</v>
      </c>
      <c r="Q748" s="286">
        <v>81</v>
      </c>
      <c r="R748" s="274">
        <v>38</v>
      </c>
      <c r="S748" s="274">
        <v>81</v>
      </c>
      <c r="T748" s="287">
        <f t="shared" si="11"/>
        <v>2017</v>
      </c>
      <c r="U748" s="274">
        <f>VLOOKUP(A748,'[1]SB35 Determination Data'!$B$4:$F$542,5,FALSE)</f>
        <v>2014</v>
      </c>
    </row>
    <row r="749" spans="1:21" s="274" customFormat="1" ht="12.75" x14ac:dyDescent="0.2">
      <c r="A749" s="282" t="s">
        <v>533</v>
      </c>
      <c r="B749" s="282" t="s">
        <v>301</v>
      </c>
      <c r="C749" s="282" t="s">
        <v>654</v>
      </c>
      <c r="D749" s="283">
        <v>2014</v>
      </c>
      <c r="E749" s="282" t="s">
        <v>650</v>
      </c>
      <c r="F749" s="284">
        <v>55</v>
      </c>
      <c r="G749" s="285">
        <v>1</v>
      </c>
      <c r="H749" s="288">
        <v>0</v>
      </c>
      <c r="I749" s="285">
        <v>1</v>
      </c>
      <c r="J749" s="285">
        <v>32</v>
      </c>
      <c r="K749" s="284">
        <v>3</v>
      </c>
      <c r="L749" s="284">
        <v>0</v>
      </c>
      <c r="M749" s="284">
        <v>3</v>
      </c>
      <c r="N749" s="284">
        <v>37</v>
      </c>
      <c r="O749" s="284">
        <v>10</v>
      </c>
      <c r="P749" s="284">
        <v>61</v>
      </c>
      <c r="Q749" s="286">
        <v>29</v>
      </c>
      <c r="R749" s="274">
        <v>185</v>
      </c>
      <c r="S749" s="274">
        <v>43</v>
      </c>
      <c r="T749" s="287">
        <f t="shared" si="11"/>
        <v>2015</v>
      </c>
      <c r="U749" s="274">
        <f>VLOOKUP(A749,'[1]SB35 Determination Data'!$B$4:$F$542,5,FALSE)</f>
        <v>2015</v>
      </c>
    </row>
    <row r="750" spans="1:21" s="274" customFormat="1" ht="12.75" x14ac:dyDescent="0.2">
      <c r="A750" s="282" t="s">
        <v>533</v>
      </c>
      <c r="B750" s="282" t="s">
        <v>301</v>
      </c>
      <c r="C750" s="282" t="s">
        <v>654</v>
      </c>
      <c r="D750" s="283">
        <v>2015</v>
      </c>
      <c r="E750" s="282" t="s">
        <v>650</v>
      </c>
      <c r="F750" s="284">
        <v>55</v>
      </c>
      <c r="G750" s="285">
        <v>7</v>
      </c>
      <c r="H750" s="288">
        <v>6</v>
      </c>
      <c r="I750" s="285">
        <v>1</v>
      </c>
      <c r="J750" s="285">
        <v>32</v>
      </c>
      <c r="K750" s="284">
        <v>6</v>
      </c>
      <c r="L750" s="284">
        <v>3</v>
      </c>
      <c r="M750" s="284">
        <v>3</v>
      </c>
      <c r="N750" s="284">
        <v>37</v>
      </c>
      <c r="O750" s="284">
        <v>3</v>
      </c>
      <c r="P750" s="284">
        <v>61</v>
      </c>
      <c r="Q750" s="286">
        <v>23</v>
      </c>
      <c r="R750" s="274">
        <v>185</v>
      </c>
      <c r="S750" s="274">
        <v>39</v>
      </c>
      <c r="T750" s="287">
        <f t="shared" si="11"/>
        <v>2015</v>
      </c>
      <c r="U750" s="274">
        <f>VLOOKUP(A750,'[1]SB35 Determination Data'!$B$4:$F$542,5,FALSE)</f>
        <v>2015</v>
      </c>
    </row>
    <row r="751" spans="1:21" s="274" customFormat="1" ht="12.75" x14ac:dyDescent="0.2">
      <c r="A751" s="282" t="s">
        <v>533</v>
      </c>
      <c r="B751" s="282" t="s">
        <v>301</v>
      </c>
      <c r="C751" s="282" t="s">
        <v>654</v>
      </c>
      <c r="D751" s="283">
        <v>2016</v>
      </c>
      <c r="E751" s="282" t="s">
        <v>650</v>
      </c>
      <c r="F751" s="284">
        <v>55</v>
      </c>
      <c r="G751" s="285">
        <v>2</v>
      </c>
      <c r="H751" s="288">
        <v>1</v>
      </c>
      <c r="I751" s="285">
        <v>1</v>
      </c>
      <c r="J751" s="285">
        <v>32</v>
      </c>
      <c r="K751" s="284">
        <v>5</v>
      </c>
      <c r="L751" s="284">
        <v>2</v>
      </c>
      <c r="M751" s="284">
        <v>3</v>
      </c>
      <c r="N751" s="284">
        <v>37</v>
      </c>
      <c r="O751" s="284">
        <v>2</v>
      </c>
      <c r="P751" s="284">
        <v>61</v>
      </c>
      <c r="Q751" s="286">
        <v>21</v>
      </c>
      <c r="R751" s="274">
        <v>185</v>
      </c>
      <c r="S751" s="274">
        <v>30</v>
      </c>
      <c r="T751" s="287">
        <f t="shared" si="11"/>
        <v>2016</v>
      </c>
      <c r="U751" s="274">
        <f>VLOOKUP(A751,'[1]SB35 Determination Data'!$B$4:$F$542,5,FALSE)</f>
        <v>2015</v>
      </c>
    </row>
    <row r="752" spans="1:21" s="274" customFormat="1" ht="12.75" x14ac:dyDescent="0.2">
      <c r="A752" s="282" t="s">
        <v>533</v>
      </c>
      <c r="B752" s="282" t="s">
        <v>301</v>
      </c>
      <c r="C752" s="282" t="s">
        <v>654</v>
      </c>
      <c r="D752" s="283">
        <v>2017</v>
      </c>
      <c r="E752" s="282" t="s">
        <v>650</v>
      </c>
      <c r="F752" s="284">
        <v>55</v>
      </c>
      <c r="G752" s="285">
        <v>1</v>
      </c>
      <c r="H752" s="288">
        <v>0</v>
      </c>
      <c r="I752" s="285">
        <v>1</v>
      </c>
      <c r="J752" s="285">
        <v>32</v>
      </c>
      <c r="K752" s="284">
        <v>5</v>
      </c>
      <c r="L752" s="284">
        <v>2</v>
      </c>
      <c r="M752" s="284">
        <v>3</v>
      </c>
      <c r="N752" s="289">
        <v>37</v>
      </c>
      <c r="O752" s="284">
        <v>1</v>
      </c>
      <c r="P752" s="284">
        <v>61</v>
      </c>
      <c r="Q752" s="286">
        <v>26</v>
      </c>
      <c r="R752" s="274">
        <v>185</v>
      </c>
      <c r="S752" s="274">
        <v>33</v>
      </c>
      <c r="T752" s="287">
        <f t="shared" si="11"/>
        <v>2017</v>
      </c>
      <c r="U752" s="274">
        <f>VLOOKUP(A752,'[1]SB35 Determination Data'!$B$4:$F$542,5,FALSE)</f>
        <v>2015</v>
      </c>
    </row>
    <row r="753" spans="1:21" s="274" customFormat="1" ht="12.75" x14ac:dyDescent="0.2">
      <c r="A753" s="282" t="s">
        <v>534</v>
      </c>
      <c r="B753" s="282" t="s">
        <v>403</v>
      </c>
      <c r="C753" s="282" t="s">
        <v>531</v>
      </c>
      <c r="D753" s="283">
        <v>2015</v>
      </c>
      <c r="E753" s="282" t="s">
        <v>650</v>
      </c>
      <c r="F753" s="284">
        <v>315</v>
      </c>
      <c r="G753" s="285">
        <v>0</v>
      </c>
      <c r="H753" s="288">
        <v>0</v>
      </c>
      <c r="I753" s="285">
        <v>0</v>
      </c>
      <c r="J753" s="285">
        <v>206</v>
      </c>
      <c r="K753" s="284">
        <v>0</v>
      </c>
      <c r="L753" s="284">
        <v>0</v>
      </c>
      <c r="M753" s="284">
        <v>0</v>
      </c>
      <c r="N753" s="284">
        <v>239</v>
      </c>
      <c r="O753" s="284">
        <v>0</v>
      </c>
      <c r="P753" s="284">
        <v>548</v>
      </c>
      <c r="Q753" s="286">
        <v>61</v>
      </c>
      <c r="R753" s="274">
        <v>1308</v>
      </c>
      <c r="S753" s="274">
        <v>61</v>
      </c>
      <c r="T753" s="287">
        <f t="shared" si="11"/>
        <v>2016</v>
      </c>
      <c r="U753" s="274">
        <f>VLOOKUP(A753,'[1]SB35 Determination Data'!$B$4:$F$542,5,FALSE)</f>
        <v>2016</v>
      </c>
    </row>
    <row r="754" spans="1:21" s="274" customFormat="1" ht="12.75" x14ac:dyDescent="0.2">
      <c r="A754" s="282" t="s">
        <v>534</v>
      </c>
      <c r="B754" s="282" t="s">
        <v>403</v>
      </c>
      <c r="C754" s="282" t="s">
        <v>531</v>
      </c>
      <c r="D754" s="283">
        <v>2016</v>
      </c>
      <c r="E754" s="282" t="s">
        <v>650</v>
      </c>
      <c r="F754" s="284">
        <v>315</v>
      </c>
      <c r="G754" s="285">
        <v>0</v>
      </c>
      <c r="H754" s="288">
        <v>0</v>
      </c>
      <c r="I754" s="285">
        <v>0</v>
      </c>
      <c r="J754" s="285">
        <v>206</v>
      </c>
      <c r="K754" s="284">
        <v>0</v>
      </c>
      <c r="L754" s="284">
        <v>0</v>
      </c>
      <c r="M754" s="284">
        <v>0</v>
      </c>
      <c r="N754" s="284">
        <v>239</v>
      </c>
      <c r="O754" s="284">
        <v>0</v>
      </c>
      <c r="P754" s="284">
        <v>548</v>
      </c>
      <c r="Q754" s="286">
        <v>74</v>
      </c>
      <c r="R754" s="274">
        <v>1308</v>
      </c>
      <c r="S754" s="274">
        <v>74</v>
      </c>
      <c r="T754" s="287">
        <f t="shared" si="11"/>
        <v>2016</v>
      </c>
      <c r="U754" s="274">
        <f>VLOOKUP(A754,'[1]SB35 Determination Data'!$B$4:$F$542,5,FALSE)</f>
        <v>2016</v>
      </c>
    </row>
    <row r="755" spans="1:21" s="274" customFormat="1" ht="12.75" x14ac:dyDescent="0.2">
      <c r="A755" s="282" t="s">
        <v>534</v>
      </c>
      <c r="B755" s="282" t="s">
        <v>403</v>
      </c>
      <c r="C755" s="282" t="s">
        <v>531</v>
      </c>
      <c r="D755" s="283">
        <v>2017</v>
      </c>
      <c r="E755" s="282" t="s">
        <v>650</v>
      </c>
      <c r="F755" s="284">
        <v>315</v>
      </c>
      <c r="G755" s="285">
        <v>42</v>
      </c>
      <c r="H755" s="288">
        <v>1</v>
      </c>
      <c r="I755" s="285">
        <v>41</v>
      </c>
      <c r="J755" s="285">
        <v>206</v>
      </c>
      <c r="K755" s="284">
        <v>6</v>
      </c>
      <c r="L755" s="284">
        <v>1</v>
      </c>
      <c r="M755" s="284">
        <v>5</v>
      </c>
      <c r="N755" s="284">
        <v>239</v>
      </c>
      <c r="O755" s="284">
        <v>147</v>
      </c>
      <c r="P755" s="284">
        <v>548</v>
      </c>
      <c r="Q755" s="286">
        <v>22</v>
      </c>
      <c r="R755" s="274">
        <v>1308</v>
      </c>
      <c r="S755" s="274">
        <v>217</v>
      </c>
      <c r="T755" s="287">
        <f t="shared" si="11"/>
        <v>2017</v>
      </c>
      <c r="U755" s="274">
        <f>VLOOKUP(A755,'[1]SB35 Determination Data'!$B$4:$F$542,5,FALSE)</f>
        <v>2016</v>
      </c>
    </row>
    <row r="756" spans="1:21" s="274" customFormat="1" ht="12.75" x14ac:dyDescent="0.2">
      <c r="A756" s="282" t="s">
        <v>535</v>
      </c>
      <c r="B756" s="282" t="s">
        <v>317</v>
      </c>
      <c r="C756" s="282" t="s">
        <v>660</v>
      </c>
      <c r="D756" s="283">
        <v>2014</v>
      </c>
      <c r="E756" s="282" t="s">
        <v>650</v>
      </c>
      <c r="F756" s="284">
        <v>265</v>
      </c>
      <c r="G756" s="285">
        <v>0</v>
      </c>
      <c r="H756" s="288">
        <v>0</v>
      </c>
      <c r="I756" s="285">
        <v>0</v>
      </c>
      <c r="J756" s="285">
        <v>130</v>
      </c>
      <c r="K756" s="284">
        <v>0</v>
      </c>
      <c r="L756" s="284">
        <v>0</v>
      </c>
      <c r="M756" s="284">
        <v>0</v>
      </c>
      <c r="N756" s="284">
        <v>180</v>
      </c>
      <c r="O756" s="284">
        <v>35</v>
      </c>
      <c r="P756" s="284">
        <v>420</v>
      </c>
      <c r="Q756" s="286">
        <v>14</v>
      </c>
      <c r="R756" s="274">
        <v>995</v>
      </c>
      <c r="S756" s="274">
        <v>49</v>
      </c>
      <c r="T756" s="287">
        <f t="shared" si="11"/>
        <v>2014</v>
      </c>
      <c r="U756" s="274">
        <f>VLOOKUP(A756,'[1]SB35 Determination Data'!$B$4:$F$542,5,FALSE)</f>
        <v>2014</v>
      </c>
    </row>
    <row r="757" spans="1:21" s="274" customFormat="1" ht="12.75" x14ac:dyDescent="0.2">
      <c r="A757" s="282" t="s">
        <v>535</v>
      </c>
      <c r="B757" s="282" t="s">
        <v>317</v>
      </c>
      <c r="C757" s="282" t="s">
        <v>660</v>
      </c>
      <c r="D757" s="283">
        <v>2015</v>
      </c>
      <c r="E757" s="282" t="s">
        <v>650</v>
      </c>
      <c r="F757" s="284">
        <v>265</v>
      </c>
      <c r="G757" s="285">
        <v>0</v>
      </c>
      <c r="H757" s="288">
        <v>0</v>
      </c>
      <c r="I757" s="285">
        <v>0</v>
      </c>
      <c r="J757" s="285">
        <v>130</v>
      </c>
      <c r="K757" s="284">
        <v>0</v>
      </c>
      <c r="L757" s="284">
        <v>0</v>
      </c>
      <c r="M757" s="284">
        <v>0</v>
      </c>
      <c r="N757" s="284">
        <v>180</v>
      </c>
      <c r="O757" s="284">
        <v>44</v>
      </c>
      <c r="P757" s="284">
        <v>420</v>
      </c>
      <c r="Q757" s="286">
        <v>10</v>
      </c>
      <c r="R757" s="274">
        <v>995</v>
      </c>
      <c r="S757" s="274">
        <v>54</v>
      </c>
      <c r="T757" s="287">
        <f t="shared" si="11"/>
        <v>2015</v>
      </c>
      <c r="U757" s="274">
        <f>VLOOKUP(A757,'[1]SB35 Determination Data'!$B$4:$F$542,5,FALSE)</f>
        <v>2014</v>
      </c>
    </row>
    <row r="758" spans="1:21" s="274" customFormat="1" ht="12.75" x14ac:dyDescent="0.2">
      <c r="A758" s="282" t="s">
        <v>535</v>
      </c>
      <c r="B758" s="282" t="s">
        <v>317</v>
      </c>
      <c r="C758" s="282" t="s">
        <v>660</v>
      </c>
      <c r="D758" s="283">
        <v>2016</v>
      </c>
      <c r="E758" s="282" t="s">
        <v>650</v>
      </c>
      <c r="F758" s="284">
        <v>265</v>
      </c>
      <c r="G758" s="285">
        <v>0</v>
      </c>
      <c r="H758" s="288">
        <v>0</v>
      </c>
      <c r="I758" s="285">
        <v>0</v>
      </c>
      <c r="J758" s="285">
        <v>130</v>
      </c>
      <c r="K758" s="284">
        <v>0</v>
      </c>
      <c r="L758" s="284">
        <v>0</v>
      </c>
      <c r="M758" s="284">
        <v>0</v>
      </c>
      <c r="N758" s="284">
        <v>180</v>
      </c>
      <c r="O758" s="284">
        <v>19</v>
      </c>
      <c r="P758" s="284">
        <v>420</v>
      </c>
      <c r="Q758" s="286">
        <v>28</v>
      </c>
      <c r="R758" s="274">
        <v>995</v>
      </c>
      <c r="S758" s="274">
        <v>47</v>
      </c>
      <c r="T758" s="287">
        <f t="shared" si="11"/>
        <v>2016</v>
      </c>
      <c r="U758" s="274">
        <f>VLOOKUP(A758,'[1]SB35 Determination Data'!$B$4:$F$542,5,FALSE)</f>
        <v>2014</v>
      </c>
    </row>
    <row r="759" spans="1:21" s="274" customFormat="1" ht="12.75" x14ac:dyDescent="0.2">
      <c r="A759" s="282" t="s">
        <v>535</v>
      </c>
      <c r="B759" s="282" t="s">
        <v>317</v>
      </c>
      <c r="C759" s="282" t="s">
        <v>660</v>
      </c>
      <c r="D759" s="283">
        <v>2017</v>
      </c>
      <c r="E759" s="282" t="s">
        <v>650</v>
      </c>
      <c r="F759" s="284">
        <v>265</v>
      </c>
      <c r="G759" s="285">
        <v>0</v>
      </c>
      <c r="H759" s="288">
        <v>0</v>
      </c>
      <c r="I759" s="285">
        <v>0</v>
      </c>
      <c r="J759" s="285">
        <v>130</v>
      </c>
      <c r="K759" s="284">
        <v>0</v>
      </c>
      <c r="L759" s="284">
        <v>0</v>
      </c>
      <c r="M759" s="284">
        <v>0</v>
      </c>
      <c r="N759" s="289">
        <v>180</v>
      </c>
      <c r="O759" s="284">
        <v>28</v>
      </c>
      <c r="P759" s="284">
        <v>420</v>
      </c>
      <c r="Q759" s="286">
        <v>9</v>
      </c>
      <c r="R759" s="274">
        <v>995</v>
      </c>
      <c r="S759" s="274">
        <v>37</v>
      </c>
      <c r="T759" s="287">
        <f t="shared" si="11"/>
        <v>2017</v>
      </c>
      <c r="U759" s="274">
        <f>VLOOKUP(A759,'[1]SB35 Determination Data'!$B$4:$F$542,5,FALSE)</f>
        <v>2014</v>
      </c>
    </row>
    <row r="760" spans="1:21" s="274" customFormat="1" ht="12.75" x14ac:dyDescent="0.2">
      <c r="A760" s="282" t="s">
        <v>290</v>
      </c>
      <c r="B760" s="282" t="s">
        <v>120</v>
      </c>
      <c r="C760" s="282" t="s">
        <v>654</v>
      </c>
      <c r="D760" s="283">
        <v>2016</v>
      </c>
      <c r="E760" s="282" t="s">
        <v>650</v>
      </c>
      <c r="F760" s="284">
        <v>124</v>
      </c>
      <c r="G760" s="285">
        <v>0</v>
      </c>
      <c r="H760" s="288">
        <v>0</v>
      </c>
      <c r="I760" s="285">
        <v>0</v>
      </c>
      <c r="J760" s="285">
        <v>72</v>
      </c>
      <c r="K760" s="284">
        <v>0</v>
      </c>
      <c r="L760" s="284">
        <v>0</v>
      </c>
      <c r="M760" s="284">
        <v>0</v>
      </c>
      <c r="N760" s="284">
        <v>78</v>
      </c>
      <c r="O760" s="284">
        <v>1</v>
      </c>
      <c r="P760" s="284">
        <v>195</v>
      </c>
      <c r="Q760" s="286">
        <v>40</v>
      </c>
      <c r="R760" s="274">
        <v>469</v>
      </c>
      <c r="S760" s="274">
        <v>41</v>
      </c>
      <c r="T760" s="287">
        <f t="shared" si="11"/>
        <v>2016</v>
      </c>
      <c r="U760" s="274">
        <f>VLOOKUP(A760,'[1]SB35 Determination Data'!$B$4:$F$542,5,FALSE)</f>
        <v>2015</v>
      </c>
    </row>
    <row r="761" spans="1:21" s="274" customFormat="1" ht="12.75" x14ac:dyDescent="0.2">
      <c r="A761" s="282" t="s">
        <v>290</v>
      </c>
      <c r="B761" s="282" t="s">
        <v>120</v>
      </c>
      <c r="C761" s="282" t="s">
        <v>654</v>
      </c>
      <c r="D761" s="283">
        <v>2017</v>
      </c>
      <c r="E761" s="282" t="s">
        <v>650</v>
      </c>
      <c r="F761" s="284">
        <v>124</v>
      </c>
      <c r="G761" s="285">
        <v>0</v>
      </c>
      <c r="H761" s="288">
        <v>0</v>
      </c>
      <c r="I761" s="285">
        <v>0</v>
      </c>
      <c r="J761" s="285">
        <v>72</v>
      </c>
      <c r="K761" s="284">
        <v>0</v>
      </c>
      <c r="L761" s="284">
        <v>0</v>
      </c>
      <c r="M761" s="284">
        <v>0</v>
      </c>
      <c r="N761" s="284">
        <v>78</v>
      </c>
      <c r="O761" s="284">
        <v>0</v>
      </c>
      <c r="P761" s="284">
        <v>195</v>
      </c>
      <c r="Q761" s="286">
        <v>4</v>
      </c>
      <c r="R761" s="274">
        <v>469</v>
      </c>
      <c r="S761" s="274">
        <v>4</v>
      </c>
      <c r="T761" s="287">
        <f t="shared" si="11"/>
        <v>2017</v>
      </c>
      <c r="U761" s="274">
        <f>VLOOKUP(A761,'[1]SB35 Determination Data'!$B$4:$F$542,5,FALSE)</f>
        <v>2015</v>
      </c>
    </row>
    <row r="762" spans="1:21" s="274" customFormat="1" ht="12.75" x14ac:dyDescent="0.2">
      <c r="A762" s="282" t="s">
        <v>536</v>
      </c>
      <c r="B762" s="282" t="s">
        <v>759</v>
      </c>
      <c r="C762" s="282" t="s">
        <v>685</v>
      </c>
      <c r="D762" s="283">
        <v>2017</v>
      </c>
      <c r="E762" s="282" t="s">
        <v>650</v>
      </c>
      <c r="F762" s="284">
        <v>12</v>
      </c>
      <c r="G762" s="285">
        <v>0</v>
      </c>
      <c r="H762" s="288">
        <v>0</v>
      </c>
      <c r="I762" s="285">
        <v>0</v>
      </c>
      <c r="J762" s="285">
        <v>8</v>
      </c>
      <c r="K762" s="284">
        <v>0</v>
      </c>
      <c r="L762" s="284">
        <v>0</v>
      </c>
      <c r="M762" s="284">
        <v>0</v>
      </c>
      <c r="N762" s="284">
        <v>13</v>
      </c>
      <c r="O762" s="284">
        <v>0</v>
      </c>
      <c r="P762" s="284">
        <v>39</v>
      </c>
      <c r="Q762" s="286">
        <v>1</v>
      </c>
      <c r="R762" s="274">
        <v>72</v>
      </c>
      <c r="S762" s="274">
        <v>1</v>
      </c>
      <c r="T762" s="287">
        <f t="shared" si="11"/>
        <v>2017</v>
      </c>
      <c r="U762" s="274">
        <f>VLOOKUP(A762,'[1]SB35 Determination Data'!$B$4:$F$542,5,FALSE)</f>
        <v>2014</v>
      </c>
    </row>
    <row r="763" spans="1:21" s="274" customFormat="1" ht="12.75" x14ac:dyDescent="0.2">
      <c r="A763" s="282" t="s">
        <v>440</v>
      </c>
      <c r="B763" s="282" t="s">
        <v>220</v>
      </c>
      <c r="C763" s="282" t="s">
        <v>531</v>
      </c>
      <c r="D763" s="283">
        <v>2016</v>
      </c>
      <c r="E763" s="282" t="s">
        <v>650</v>
      </c>
      <c r="F763" s="284">
        <v>93</v>
      </c>
      <c r="G763" s="285">
        <v>6</v>
      </c>
      <c r="H763" s="288">
        <v>0</v>
      </c>
      <c r="I763" s="285">
        <v>6</v>
      </c>
      <c r="J763" s="285">
        <v>73</v>
      </c>
      <c r="K763" s="284">
        <v>6</v>
      </c>
      <c r="L763" s="284">
        <v>0</v>
      </c>
      <c r="M763" s="284">
        <v>6</v>
      </c>
      <c r="N763" s="284">
        <v>66</v>
      </c>
      <c r="O763" s="284">
        <v>7</v>
      </c>
      <c r="P763" s="284">
        <v>79</v>
      </c>
      <c r="Q763" s="286">
        <v>0</v>
      </c>
      <c r="R763" s="274">
        <v>311</v>
      </c>
      <c r="S763" s="274">
        <v>19</v>
      </c>
      <c r="T763" s="287">
        <f t="shared" si="11"/>
        <v>2016</v>
      </c>
      <c r="U763" s="274">
        <f>VLOOKUP(A763,'[1]SB35 Determination Data'!$B$4:$F$542,5,FALSE)</f>
        <v>2016</v>
      </c>
    </row>
    <row r="764" spans="1:21" s="274" customFormat="1" ht="12.75" x14ac:dyDescent="0.2">
      <c r="A764" s="282" t="s">
        <v>440</v>
      </c>
      <c r="B764" s="282" t="s">
        <v>220</v>
      </c>
      <c r="C764" s="282" t="s">
        <v>531</v>
      </c>
      <c r="D764" s="283">
        <v>2017</v>
      </c>
      <c r="E764" s="282" t="s">
        <v>650</v>
      </c>
      <c r="F764" s="284">
        <v>93</v>
      </c>
      <c r="G764" s="285">
        <v>0</v>
      </c>
      <c r="H764" s="288">
        <v>0</v>
      </c>
      <c r="I764" s="285">
        <v>0</v>
      </c>
      <c r="J764" s="285">
        <v>73</v>
      </c>
      <c r="K764" s="284">
        <v>0</v>
      </c>
      <c r="L764" s="284">
        <v>0</v>
      </c>
      <c r="M764" s="284">
        <v>0</v>
      </c>
      <c r="N764" s="289">
        <v>66</v>
      </c>
      <c r="O764" s="284">
        <v>25</v>
      </c>
      <c r="P764" s="284">
        <v>79</v>
      </c>
      <c r="Q764" s="286">
        <v>0</v>
      </c>
      <c r="R764" s="274">
        <v>311</v>
      </c>
      <c r="S764" s="274">
        <v>25</v>
      </c>
      <c r="T764" s="287">
        <f t="shared" si="11"/>
        <v>2017</v>
      </c>
      <c r="U764" s="274">
        <f>VLOOKUP(A764,'[1]SB35 Determination Data'!$B$4:$F$542,5,FALSE)</f>
        <v>2016</v>
      </c>
    </row>
    <row r="765" spans="1:21" s="274" customFormat="1" ht="12.75" x14ac:dyDescent="0.2">
      <c r="A765" s="282" t="s">
        <v>538</v>
      </c>
      <c r="B765" s="282" t="s">
        <v>334</v>
      </c>
      <c r="C765" s="282" t="s">
        <v>660</v>
      </c>
      <c r="D765" s="283">
        <v>2015</v>
      </c>
      <c r="E765" s="282" t="s">
        <v>650</v>
      </c>
      <c r="F765" s="284">
        <v>40</v>
      </c>
      <c r="G765" s="285">
        <v>0</v>
      </c>
      <c r="H765" s="288">
        <v>0</v>
      </c>
      <c r="I765" s="285">
        <v>0</v>
      </c>
      <c r="J765" s="285">
        <v>27</v>
      </c>
      <c r="K765" s="284">
        <v>0</v>
      </c>
      <c r="L765" s="284">
        <v>0</v>
      </c>
      <c r="M765" s="284">
        <v>0</v>
      </c>
      <c r="N765" s="284">
        <v>27</v>
      </c>
      <c r="O765" s="284">
        <v>56</v>
      </c>
      <c r="P765" s="284">
        <v>74</v>
      </c>
      <c r="Q765" s="286">
        <v>52</v>
      </c>
      <c r="R765" s="274">
        <v>168</v>
      </c>
      <c r="S765" s="274">
        <v>108</v>
      </c>
      <c r="T765" s="287">
        <f t="shared" si="11"/>
        <v>2015</v>
      </c>
      <c r="U765" s="274">
        <f>VLOOKUP(A765,'[1]SB35 Determination Data'!$B$4:$F$542,5,FALSE)</f>
        <v>2014</v>
      </c>
    </row>
    <row r="766" spans="1:21" s="274" customFormat="1" ht="12.75" x14ac:dyDescent="0.2">
      <c r="A766" s="282" t="s">
        <v>540</v>
      </c>
      <c r="B766" s="282" t="s">
        <v>481</v>
      </c>
      <c r="C766" s="282" t="s">
        <v>649</v>
      </c>
      <c r="D766" s="283">
        <v>2014</v>
      </c>
      <c r="E766" s="282" t="s">
        <v>650</v>
      </c>
      <c r="F766" s="284">
        <v>1488</v>
      </c>
      <c r="G766" s="285">
        <v>1</v>
      </c>
      <c r="H766" s="288">
        <v>0</v>
      </c>
      <c r="I766" s="285">
        <v>1</v>
      </c>
      <c r="J766" s="285">
        <v>1007</v>
      </c>
      <c r="K766" s="284">
        <v>1</v>
      </c>
      <c r="L766" s="284">
        <v>0</v>
      </c>
      <c r="M766" s="284">
        <v>1</v>
      </c>
      <c r="N766" s="284">
        <v>1140</v>
      </c>
      <c r="O766" s="284">
        <v>158</v>
      </c>
      <c r="P766" s="284">
        <v>2610</v>
      </c>
      <c r="Q766" s="286">
        <v>181</v>
      </c>
      <c r="R766" s="274">
        <v>6245</v>
      </c>
      <c r="S766" s="274">
        <v>341</v>
      </c>
      <c r="T766" s="287">
        <f t="shared" si="11"/>
        <v>2014</v>
      </c>
      <c r="U766" s="274">
        <f>VLOOKUP(A766,'[1]SB35 Determination Data'!$B$4:$F$542,5,FALSE)</f>
        <v>2014</v>
      </c>
    </row>
    <row r="767" spans="1:21" s="274" customFormat="1" ht="12.75" x14ac:dyDescent="0.2">
      <c r="A767" s="282" t="s">
        <v>540</v>
      </c>
      <c r="B767" s="282" t="s">
        <v>481</v>
      </c>
      <c r="C767" s="282" t="s">
        <v>649</v>
      </c>
      <c r="D767" s="283">
        <v>2015</v>
      </c>
      <c r="E767" s="282" t="s">
        <v>650</v>
      </c>
      <c r="F767" s="284">
        <v>1488</v>
      </c>
      <c r="G767" s="285">
        <v>4</v>
      </c>
      <c r="H767" s="288">
        <v>0</v>
      </c>
      <c r="I767" s="285">
        <v>4</v>
      </c>
      <c r="J767" s="285">
        <v>1007</v>
      </c>
      <c r="K767" s="284">
        <v>0</v>
      </c>
      <c r="L767" s="284">
        <v>0</v>
      </c>
      <c r="M767" s="284">
        <v>0</v>
      </c>
      <c r="N767" s="284">
        <v>1140</v>
      </c>
      <c r="O767" s="284">
        <v>193</v>
      </c>
      <c r="P767" s="284">
        <v>2610</v>
      </c>
      <c r="Q767" s="286">
        <v>215</v>
      </c>
      <c r="R767" s="274">
        <v>6245</v>
      </c>
      <c r="S767" s="274">
        <v>412</v>
      </c>
      <c r="T767" s="287">
        <f t="shared" si="11"/>
        <v>2015</v>
      </c>
      <c r="U767" s="274">
        <f>VLOOKUP(A767,'[1]SB35 Determination Data'!$B$4:$F$542,5,FALSE)</f>
        <v>2014</v>
      </c>
    </row>
    <row r="768" spans="1:21" s="274" customFormat="1" ht="12.75" x14ac:dyDescent="0.2">
      <c r="A768" s="282" t="s">
        <v>540</v>
      </c>
      <c r="B768" s="282" t="s">
        <v>481</v>
      </c>
      <c r="C768" s="282" t="s">
        <v>649</v>
      </c>
      <c r="D768" s="283">
        <v>2016</v>
      </c>
      <c r="E768" s="282" t="s">
        <v>650</v>
      </c>
      <c r="F768" s="284">
        <v>1488</v>
      </c>
      <c r="G768" s="285">
        <v>3</v>
      </c>
      <c r="H768" s="288">
        <v>0</v>
      </c>
      <c r="I768" s="285">
        <v>3</v>
      </c>
      <c r="J768" s="285">
        <v>1007</v>
      </c>
      <c r="K768" s="284">
        <v>2</v>
      </c>
      <c r="L768" s="284">
        <v>0</v>
      </c>
      <c r="M768" s="284">
        <v>2</v>
      </c>
      <c r="N768" s="284">
        <v>1140</v>
      </c>
      <c r="O768" s="284">
        <v>184</v>
      </c>
      <c r="P768" s="284">
        <v>2610</v>
      </c>
      <c r="Q768" s="286">
        <v>349</v>
      </c>
      <c r="R768" s="274">
        <v>6245</v>
      </c>
      <c r="S768" s="274">
        <v>538</v>
      </c>
      <c r="T768" s="287">
        <f t="shared" si="11"/>
        <v>2016</v>
      </c>
      <c r="U768" s="274">
        <f>VLOOKUP(A768,'[1]SB35 Determination Data'!$B$4:$F$542,5,FALSE)</f>
        <v>2014</v>
      </c>
    </row>
    <row r="769" spans="1:21" s="274" customFormat="1" ht="12.75" x14ac:dyDescent="0.2">
      <c r="A769" s="282" t="s">
        <v>540</v>
      </c>
      <c r="B769" s="282" t="s">
        <v>481</v>
      </c>
      <c r="C769" s="282" t="s">
        <v>649</v>
      </c>
      <c r="D769" s="283">
        <v>2017</v>
      </c>
      <c r="E769" s="282" t="s">
        <v>650</v>
      </c>
      <c r="F769" s="284">
        <v>1488</v>
      </c>
      <c r="G769" s="285">
        <v>3</v>
      </c>
      <c r="H769" s="288">
        <v>0</v>
      </c>
      <c r="I769" s="285">
        <v>3</v>
      </c>
      <c r="J769" s="285">
        <v>1007</v>
      </c>
      <c r="K769" s="284">
        <v>9</v>
      </c>
      <c r="L769" s="284">
        <v>0</v>
      </c>
      <c r="M769" s="284">
        <v>9</v>
      </c>
      <c r="N769" s="284">
        <v>1140</v>
      </c>
      <c r="O769" s="284">
        <v>168</v>
      </c>
      <c r="P769" s="284">
        <v>2610</v>
      </c>
      <c r="Q769" s="286">
        <v>514</v>
      </c>
      <c r="R769" s="274">
        <v>6245</v>
      </c>
      <c r="S769" s="274">
        <v>694</v>
      </c>
      <c r="T769" s="287">
        <f t="shared" si="11"/>
        <v>2017</v>
      </c>
      <c r="U769" s="274">
        <f>VLOOKUP(A769,'[1]SB35 Determination Data'!$B$4:$F$542,5,FALSE)</f>
        <v>2014</v>
      </c>
    </row>
    <row r="770" spans="1:21" s="274" customFormat="1" ht="12.75" x14ac:dyDescent="0.2">
      <c r="A770" s="282" t="s">
        <v>541</v>
      </c>
      <c r="B770" s="282" t="s">
        <v>595</v>
      </c>
      <c r="C770" s="282" t="s">
        <v>654</v>
      </c>
      <c r="D770" s="283">
        <v>2015</v>
      </c>
      <c r="E770" s="282" t="s">
        <v>650</v>
      </c>
      <c r="F770" s="284">
        <v>233</v>
      </c>
      <c r="G770" s="285">
        <v>85</v>
      </c>
      <c r="H770" s="288">
        <v>84</v>
      </c>
      <c r="I770" s="285">
        <v>1</v>
      </c>
      <c r="J770" s="285">
        <v>129</v>
      </c>
      <c r="K770" s="284">
        <v>22</v>
      </c>
      <c r="L770" s="284">
        <v>20</v>
      </c>
      <c r="M770" s="284">
        <v>2</v>
      </c>
      <c r="N770" s="284">
        <v>143</v>
      </c>
      <c r="O770" s="284">
        <v>0</v>
      </c>
      <c r="P770" s="284">
        <v>150</v>
      </c>
      <c r="Q770" s="286">
        <v>712</v>
      </c>
      <c r="R770" s="274">
        <v>655</v>
      </c>
      <c r="S770" s="274">
        <v>819</v>
      </c>
      <c r="T770" s="287">
        <f t="shared" si="11"/>
        <v>2015</v>
      </c>
      <c r="U770" s="274">
        <f>VLOOKUP(A770,'[1]SB35 Determination Data'!$B$4:$F$542,5,FALSE)</f>
        <v>2015</v>
      </c>
    </row>
    <row r="771" spans="1:21" s="274" customFormat="1" ht="12.75" x14ac:dyDescent="0.2">
      <c r="A771" s="282" t="s">
        <v>541</v>
      </c>
      <c r="B771" s="282" t="s">
        <v>595</v>
      </c>
      <c r="C771" s="282" t="s">
        <v>654</v>
      </c>
      <c r="D771" s="283">
        <v>2016</v>
      </c>
      <c r="E771" s="282" t="s">
        <v>650</v>
      </c>
      <c r="F771" s="284">
        <v>233</v>
      </c>
      <c r="G771" s="285">
        <v>45</v>
      </c>
      <c r="H771" s="288">
        <v>42</v>
      </c>
      <c r="I771" s="285">
        <v>3</v>
      </c>
      <c r="J771" s="285">
        <v>129</v>
      </c>
      <c r="K771" s="284">
        <v>4</v>
      </c>
      <c r="L771" s="284">
        <v>0</v>
      </c>
      <c r="M771" s="284">
        <v>4</v>
      </c>
      <c r="N771" s="284">
        <v>143</v>
      </c>
      <c r="O771" s="284">
        <v>0</v>
      </c>
      <c r="P771" s="284">
        <v>150</v>
      </c>
      <c r="Q771" s="286">
        <v>17</v>
      </c>
      <c r="R771" s="274">
        <v>655</v>
      </c>
      <c r="S771" s="274">
        <v>66</v>
      </c>
      <c r="T771" s="287">
        <f t="shared" si="11"/>
        <v>2016</v>
      </c>
      <c r="U771" s="274">
        <f>VLOOKUP(A771,'[1]SB35 Determination Data'!$B$4:$F$542,5,FALSE)</f>
        <v>2015</v>
      </c>
    </row>
    <row r="772" spans="1:21" s="274" customFormat="1" ht="12.75" x14ac:dyDescent="0.2">
      <c r="A772" s="282" t="s">
        <v>541</v>
      </c>
      <c r="B772" s="282" t="s">
        <v>595</v>
      </c>
      <c r="C772" s="282" t="s">
        <v>654</v>
      </c>
      <c r="D772" s="283">
        <v>2017</v>
      </c>
      <c r="E772" s="282" t="s">
        <v>650</v>
      </c>
      <c r="F772" s="284">
        <v>233</v>
      </c>
      <c r="G772" s="285">
        <v>8</v>
      </c>
      <c r="H772" s="288">
        <v>0</v>
      </c>
      <c r="I772" s="285">
        <v>8</v>
      </c>
      <c r="J772" s="285">
        <v>129</v>
      </c>
      <c r="K772" s="284">
        <v>6</v>
      </c>
      <c r="L772" s="284">
        <v>2</v>
      </c>
      <c r="M772" s="284">
        <v>4</v>
      </c>
      <c r="N772" s="284">
        <v>143</v>
      </c>
      <c r="O772" s="284">
        <v>1</v>
      </c>
      <c r="P772" s="284">
        <v>150</v>
      </c>
      <c r="Q772" s="286">
        <v>20</v>
      </c>
      <c r="R772" s="274">
        <v>655</v>
      </c>
      <c r="S772" s="274">
        <v>35</v>
      </c>
      <c r="T772" s="287">
        <f t="shared" ref="T772:T835" si="12">IF(D772&gt;U772,D772,U772)</f>
        <v>2017</v>
      </c>
      <c r="U772" s="274">
        <f>VLOOKUP(A772,'[1]SB35 Determination Data'!$B$4:$F$542,5,FALSE)</f>
        <v>2015</v>
      </c>
    </row>
    <row r="773" spans="1:21" s="274" customFormat="1" ht="12.75" x14ac:dyDescent="0.2">
      <c r="A773" s="282" t="s">
        <v>353</v>
      </c>
      <c r="B773" s="282" t="s">
        <v>353</v>
      </c>
      <c r="C773" s="282" t="s">
        <v>682</v>
      </c>
      <c r="D773" s="283">
        <v>2017</v>
      </c>
      <c r="E773" s="282" t="s">
        <v>650</v>
      </c>
      <c r="F773" s="284">
        <v>1351</v>
      </c>
      <c r="G773" s="285">
        <v>0</v>
      </c>
      <c r="H773" s="288">
        <v>0</v>
      </c>
      <c r="I773" s="285">
        <v>0</v>
      </c>
      <c r="J773" s="285">
        <v>966</v>
      </c>
      <c r="K773" s="284">
        <v>0</v>
      </c>
      <c r="L773" s="284">
        <v>0</v>
      </c>
      <c r="M773" s="284">
        <v>0</v>
      </c>
      <c r="N773" s="284">
        <v>886</v>
      </c>
      <c r="O773" s="284">
        <v>145</v>
      </c>
      <c r="P773" s="284">
        <v>2348</v>
      </c>
      <c r="Q773" s="286">
        <v>82</v>
      </c>
      <c r="R773" s="274">
        <v>5551</v>
      </c>
      <c r="S773" s="274">
        <v>227</v>
      </c>
      <c r="T773" s="287">
        <f t="shared" si="12"/>
        <v>2017</v>
      </c>
      <c r="U773" s="274">
        <f>VLOOKUP(A773,'[1]SB35 Determination Data'!$B$4:$F$542,5,FALSE)</f>
        <v>2016</v>
      </c>
    </row>
    <row r="774" spans="1:21" s="274" customFormat="1" ht="12.75" x14ac:dyDescent="0.2">
      <c r="A774" s="282" t="s">
        <v>543</v>
      </c>
      <c r="B774" s="282" t="s">
        <v>353</v>
      </c>
      <c r="C774" s="282" t="s">
        <v>682</v>
      </c>
      <c r="D774" s="283">
        <v>2016</v>
      </c>
      <c r="E774" s="282" t="s">
        <v>650</v>
      </c>
      <c r="F774" s="284">
        <v>1085</v>
      </c>
      <c r="G774" s="285">
        <v>0</v>
      </c>
      <c r="H774" s="288">
        <v>0</v>
      </c>
      <c r="I774" s="285">
        <v>0</v>
      </c>
      <c r="J774" s="285">
        <v>775</v>
      </c>
      <c r="K774" s="284">
        <v>0</v>
      </c>
      <c r="L774" s="284">
        <v>0</v>
      </c>
      <c r="M774" s="284">
        <v>0</v>
      </c>
      <c r="N774" s="284">
        <v>711</v>
      </c>
      <c r="O774" s="284">
        <v>37</v>
      </c>
      <c r="P774" s="284">
        <v>1885</v>
      </c>
      <c r="Q774" s="286">
        <v>137</v>
      </c>
      <c r="R774" s="274">
        <v>4456</v>
      </c>
      <c r="S774" s="274">
        <v>174</v>
      </c>
      <c r="T774" s="287">
        <f t="shared" si="12"/>
        <v>2016</v>
      </c>
      <c r="U774" s="274">
        <f>VLOOKUP(A774,'[1]SB35 Determination Data'!$B$4:$F$542,5,FALSE)</f>
        <v>2016</v>
      </c>
    </row>
    <row r="775" spans="1:21" s="274" customFormat="1" ht="12.75" x14ac:dyDescent="0.2">
      <c r="A775" s="282" t="s">
        <v>543</v>
      </c>
      <c r="B775" s="282" t="s">
        <v>353</v>
      </c>
      <c r="C775" s="282" t="s">
        <v>682</v>
      </c>
      <c r="D775" s="283">
        <v>2017</v>
      </c>
      <c r="E775" s="282" t="s">
        <v>650</v>
      </c>
      <c r="F775" s="284">
        <v>1085</v>
      </c>
      <c r="G775" s="285">
        <v>0</v>
      </c>
      <c r="H775" s="288">
        <v>0</v>
      </c>
      <c r="I775" s="285">
        <v>0</v>
      </c>
      <c r="J775" s="285">
        <v>775</v>
      </c>
      <c r="K775" s="284">
        <v>0</v>
      </c>
      <c r="L775" s="284">
        <v>0</v>
      </c>
      <c r="M775" s="284">
        <v>0</v>
      </c>
      <c r="N775" s="284">
        <v>711</v>
      </c>
      <c r="O775" s="284">
        <v>52</v>
      </c>
      <c r="P775" s="284">
        <v>1885</v>
      </c>
      <c r="Q775" s="286">
        <v>118</v>
      </c>
      <c r="R775" s="274">
        <v>4456</v>
      </c>
      <c r="S775" s="274">
        <v>170</v>
      </c>
      <c r="T775" s="287">
        <f t="shared" si="12"/>
        <v>2017</v>
      </c>
      <c r="U775" s="274">
        <f>VLOOKUP(A775,'[1]SB35 Determination Data'!$B$4:$F$542,5,FALSE)</f>
        <v>2016</v>
      </c>
    </row>
    <row r="776" spans="1:21" s="274" customFormat="1" ht="12.75" x14ac:dyDescent="0.2">
      <c r="A776" s="282" t="s">
        <v>544</v>
      </c>
      <c r="B776" s="282" t="s">
        <v>301</v>
      </c>
      <c r="C776" s="282" t="s">
        <v>654</v>
      </c>
      <c r="D776" s="283">
        <v>2015</v>
      </c>
      <c r="E776" s="282" t="s">
        <v>650</v>
      </c>
      <c r="F776" s="284">
        <v>41</v>
      </c>
      <c r="G776" s="285">
        <v>6</v>
      </c>
      <c r="H776" s="288">
        <v>0</v>
      </c>
      <c r="I776" s="285">
        <v>6</v>
      </c>
      <c r="J776" s="285">
        <v>24</v>
      </c>
      <c r="K776" s="284">
        <v>8</v>
      </c>
      <c r="L776" s="284">
        <v>0</v>
      </c>
      <c r="M776" s="284">
        <v>8</v>
      </c>
      <c r="N776" s="284">
        <v>26</v>
      </c>
      <c r="O776" s="284">
        <v>3</v>
      </c>
      <c r="P776" s="284">
        <v>38</v>
      </c>
      <c r="Q776" s="286">
        <v>9</v>
      </c>
      <c r="R776" s="274">
        <v>129</v>
      </c>
      <c r="S776" s="274">
        <v>26</v>
      </c>
      <c r="T776" s="287">
        <f t="shared" si="12"/>
        <v>2015</v>
      </c>
      <c r="U776" s="274">
        <f>VLOOKUP(A776,'[1]SB35 Determination Data'!$B$4:$F$542,5,FALSE)</f>
        <v>2015</v>
      </c>
    </row>
    <row r="777" spans="1:21" s="274" customFormat="1" ht="12.75" x14ac:dyDescent="0.2">
      <c r="A777" s="282" t="s">
        <v>544</v>
      </c>
      <c r="B777" s="282" t="s">
        <v>301</v>
      </c>
      <c r="C777" s="282" t="s">
        <v>654</v>
      </c>
      <c r="D777" s="283">
        <v>2016</v>
      </c>
      <c r="E777" s="282" t="s">
        <v>650</v>
      </c>
      <c r="F777" s="284">
        <v>41</v>
      </c>
      <c r="G777" s="285">
        <v>4</v>
      </c>
      <c r="H777" s="288">
        <v>0</v>
      </c>
      <c r="I777" s="285">
        <v>4</v>
      </c>
      <c r="J777" s="285">
        <v>24</v>
      </c>
      <c r="K777" s="284">
        <v>3</v>
      </c>
      <c r="L777" s="284">
        <v>0</v>
      </c>
      <c r="M777" s="284">
        <v>3</v>
      </c>
      <c r="N777" s="284">
        <v>26</v>
      </c>
      <c r="O777" s="284">
        <v>2</v>
      </c>
      <c r="P777" s="284">
        <v>38</v>
      </c>
      <c r="Q777" s="286">
        <v>2</v>
      </c>
      <c r="R777" s="274">
        <v>129</v>
      </c>
      <c r="S777" s="274">
        <v>11</v>
      </c>
      <c r="T777" s="287">
        <f t="shared" si="12"/>
        <v>2016</v>
      </c>
      <c r="U777" s="274">
        <f>VLOOKUP(A777,'[1]SB35 Determination Data'!$B$4:$F$542,5,FALSE)</f>
        <v>2015</v>
      </c>
    </row>
    <row r="778" spans="1:21" s="274" customFormat="1" ht="12.75" x14ac:dyDescent="0.2">
      <c r="A778" s="282" t="s">
        <v>544</v>
      </c>
      <c r="B778" s="282" t="s">
        <v>301</v>
      </c>
      <c r="C778" s="282" t="s">
        <v>654</v>
      </c>
      <c r="D778" s="283">
        <v>2017</v>
      </c>
      <c r="E778" s="282" t="s">
        <v>650</v>
      </c>
      <c r="F778" s="284">
        <v>41</v>
      </c>
      <c r="G778" s="285">
        <v>6</v>
      </c>
      <c r="H778" s="288">
        <v>0</v>
      </c>
      <c r="I778" s="285">
        <v>6</v>
      </c>
      <c r="J778" s="285">
        <v>24</v>
      </c>
      <c r="K778" s="284">
        <v>5</v>
      </c>
      <c r="L778" s="284">
        <v>0</v>
      </c>
      <c r="M778" s="284">
        <v>5</v>
      </c>
      <c r="N778" s="284">
        <v>26</v>
      </c>
      <c r="O778" s="284">
        <v>5</v>
      </c>
      <c r="P778" s="284">
        <v>38</v>
      </c>
      <c r="Q778" s="286">
        <v>4</v>
      </c>
      <c r="R778" s="274">
        <v>129</v>
      </c>
      <c r="S778" s="274">
        <v>20</v>
      </c>
      <c r="T778" s="287">
        <f t="shared" si="12"/>
        <v>2017</v>
      </c>
      <c r="U778" s="274">
        <f>VLOOKUP(A778,'[1]SB35 Determination Data'!$B$4:$F$542,5,FALSE)</f>
        <v>2015</v>
      </c>
    </row>
    <row r="779" spans="1:21" s="274" customFormat="1" ht="12.75" x14ac:dyDescent="0.2">
      <c r="A779" s="282" t="s">
        <v>545</v>
      </c>
      <c r="B779" s="282" t="s">
        <v>595</v>
      </c>
      <c r="C779" s="282" t="s">
        <v>654</v>
      </c>
      <c r="D779" s="283">
        <v>2016</v>
      </c>
      <c r="E779" s="282" t="s">
        <v>650</v>
      </c>
      <c r="F779" s="284">
        <v>193</v>
      </c>
      <c r="G779" s="285">
        <v>0</v>
      </c>
      <c r="H779" s="288">
        <v>0</v>
      </c>
      <c r="I779" s="285">
        <v>0</v>
      </c>
      <c r="J779" s="285">
        <v>101</v>
      </c>
      <c r="K779" s="284">
        <v>0</v>
      </c>
      <c r="L779" s="284">
        <v>0</v>
      </c>
      <c r="M779" s="284">
        <v>0</v>
      </c>
      <c r="N779" s="284">
        <v>112</v>
      </c>
      <c r="O779" s="284">
        <v>0</v>
      </c>
      <c r="P779" s="284">
        <v>257</v>
      </c>
      <c r="Q779" s="286">
        <v>0</v>
      </c>
      <c r="R779" s="274">
        <v>663</v>
      </c>
      <c r="S779" s="274">
        <v>0</v>
      </c>
      <c r="T779" s="287">
        <f t="shared" si="12"/>
        <v>2016</v>
      </c>
      <c r="U779" s="274">
        <f>VLOOKUP(A779,'[1]SB35 Determination Data'!$B$4:$F$542,5,FALSE)</f>
        <v>2015</v>
      </c>
    </row>
    <row r="780" spans="1:21" s="274" customFormat="1" ht="12.75" x14ac:dyDescent="0.2">
      <c r="A780" s="282" t="s">
        <v>545</v>
      </c>
      <c r="B780" s="282" t="s">
        <v>595</v>
      </c>
      <c r="C780" s="282" t="s">
        <v>654</v>
      </c>
      <c r="D780" s="283">
        <v>2017</v>
      </c>
      <c r="E780" s="282" t="s">
        <v>650</v>
      </c>
      <c r="F780" s="284">
        <v>193</v>
      </c>
      <c r="G780" s="285">
        <v>0</v>
      </c>
      <c r="H780" s="288">
        <v>0</v>
      </c>
      <c r="I780" s="285">
        <v>0</v>
      </c>
      <c r="J780" s="285">
        <v>101</v>
      </c>
      <c r="K780" s="284">
        <v>0</v>
      </c>
      <c r="L780" s="284">
        <v>0</v>
      </c>
      <c r="M780" s="284">
        <v>0</v>
      </c>
      <c r="N780" s="284">
        <v>112</v>
      </c>
      <c r="O780" s="284">
        <v>0</v>
      </c>
      <c r="P780" s="284">
        <v>257</v>
      </c>
      <c r="Q780" s="286">
        <v>3</v>
      </c>
      <c r="R780" s="274">
        <v>663</v>
      </c>
      <c r="S780" s="274">
        <v>3</v>
      </c>
      <c r="T780" s="287">
        <f t="shared" si="12"/>
        <v>2017</v>
      </c>
      <c r="U780" s="274">
        <f>VLOOKUP(A780,'[1]SB35 Determination Data'!$B$4:$F$542,5,FALSE)</f>
        <v>2015</v>
      </c>
    </row>
    <row r="781" spans="1:21" s="274" customFormat="1" ht="12.75" x14ac:dyDescent="0.2">
      <c r="A781" s="282" t="s">
        <v>546</v>
      </c>
      <c r="B781" s="282" t="s">
        <v>614</v>
      </c>
      <c r="C781" s="282" t="s">
        <v>654</v>
      </c>
      <c r="D781" s="283">
        <v>2014</v>
      </c>
      <c r="E781" s="282" t="s">
        <v>650</v>
      </c>
      <c r="F781" s="284">
        <v>1004</v>
      </c>
      <c r="G781" s="285">
        <v>0</v>
      </c>
      <c r="H781" s="288">
        <v>0</v>
      </c>
      <c r="I781" s="285">
        <v>0</v>
      </c>
      <c r="J781" s="285">
        <v>570</v>
      </c>
      <c r="K781" s="284">
        <v>0</v>
      </c>
      <c r="L781" s="284">
        <v>0</v>
      </c>
      <c r="M781" s="284">
        <v>0</v>
      </c>
      <c r="N781" s="284">
        <v>565</v>
      </c>
      <c r="O781" s="284">
        <v>0</v>
      </c>
      <c r="P781" s="284">
        <v>1151</v>
      </c>
      <c r="Q781" s="286">
        <v>841</v>
      </c>
      <c r="R781" s="274">
        <v>3290</v>
      </c>
      <c r="S781" s="274">
        <v>841</v>
      </c>
      <c r="T781" s="287">
        <f t="shared" si="12"/>
        <v>2015</v>
      </c>
      <c r="U781" s="274">
        <f>VLOOKUP(A781,'[1]SB35 Determination Data'!$B$4:$F$542,5,FALSE)</f>
        <v>2015</v>
      </c>
    </row>
    <row r="782" spans="1:21" s="274" customFormat="1" ht="12.75" x14ac:dyDescent="0.2">
      <c r="A782" s="282" t="s">
        <v>546</v>
      </c>
      <c r="B782" s="282" t="s">
        <v>614</v>
      </c>
      <c r="C782" s="282" t="s">
        <v>654</v>
      </c>
      <c r="D782" s="283">
        <v>2015</v>
      </c>
      <c r="E782" s="282" t="s">
        <v>650</v>
      </c>
      <c r="F782" s="284">
        <v>1004</v>
      </c>
      <c r="G782" s="285">
        <v>0</v>
      </c>
      <c r="H782" s="288">
        <v>0</v>
      </c>
      <c r="I782" s="285">
        <v>0</v>
      </c>
      <c r="J782" s="285">
        <v>570</v>
      </c>
      <c r="K782" s="284">
        <v>0</v>
      </c>
      <c r="L782" s="284">
        <v>0</v>
      </c>
      <c r="M782" s="284">
        <v>0</v>
      </c>
      <c r="N782" s="284">
        <v>565</v>
      </c>
      <c r="O782" s="284">
        <v>0</v>
      </c>
      <c r="P782" s="284">
        <v>1151</v>
      </c>
      <c r="Q782" s="286">
        <v>270</v>
      </c>
      <c r="R782" s="274">
        <v>3290</v>
      </c>
      <c r="S782" s="274">
        <v>270</v>
      </c>
      <c r="T782" s="287">
        <f t="shared" si="12"/>
        <v>2015</v>
      </c>
      <c r="U782" s="274">
        <f>VLOOKUP(A782,'[1]SB35 Determination Data'!$B$4:$F$542,5,FALSE)</f>
        <v>2015</v>
      </c>
    </row>
    <row r="783" spans="1:21" s="274" customFormat="1" ht="12.75" x14ac:dyDescent="0.2">
      <c r="A783" s="282" t="s">
        <v>546</v>
      </c>
      <c r="B783" s="282" t="s">
        <v>614</v>
      </c>
      <c r="C783" s="282" t="s">
        <v>654</v>
      </c>
      <c r="D783" s="283">
        <v>2016</v>
      </c>
      <c r="E783" s="282" t="s">
        <v>650</v>
      </c>
      <c r="F783" s="284">
        <v>1004</v>
      </c>
      <c r="G783" s="285">
        <v>0</v>
      </c>
      <c r="H783" s="288">
        <v>0</v>
      </c>
      <c r="I783" s="285">
        <v>0</v>
      </c>
      <c r="J783" s="285">
        <v>570</v>
      </c>
      <c r="K783" s="284">
        <v>0</v>
      </c>
      <c r="L783" s="284">
        <v>0</v>
      </c>
      <c r="M783" s="284">
        <v>0</v>
      </c>
      <c r="N783" s="289">
        <v>565</v>
      </c>
      <c r="O783" s="284">
        <v>0</v>
      </c>
      <c r="P783" s="284">
        <v>1151</v>
      </c>
      <c r="Q783" s="286">
        <v>82</v>
      </c>
      <c r="R783" s="274">
        <v>3290</v>
      </c>
      <c r="S783" s="274">
        <v>82</v>
      </c>
      <c r="T783" s="287">
        <f t="shared" si="12"/>
        <v>2016</v>
      </c>
      <c r="U783" s="274">
        <f>VLOOKUP(A783,'[1]SB35 Determination Data'!$B$4:$F$542,5,FALSE)</f>
        <v>2015</v>
      </c>
    </row>
    <row r="784" spans="1:21" s="274" customFormat="1" ht="12.75" x14ac:dyDescent="0.2">
      <c r="A784" s="282" t="s">
        <v>546</v>
      </c>
      <c r="B784" s="282" t="s">
        <v>614</v>
      </c>
      <c r="C784" s="282" t="s">
        <v>654</v>
      </c>
      <c r="D784" s="283">
        <v>2017</v>
      </c>
      <c r="E784" s="282" t="s">
        <v>650</v>
      </c>
      <c r="F784" s="284">
        <v>1004</v>
      </c>
      <c r="G784" s="285">
        <v>0</v>
      </c>
      <c r="H784" s="288">
        <v>0</v>
      </c>
      <c r="I784" s="285">
        <v>0</v>
      </c>
      <c r="J784" s="285">
        <v>570</v>
      </c>
      <c r="K784" s="284">
        <v>0</v>
      </c>
      <c r="L784" s="284">
        <v>0</v>
      </c>
      <c r="M784" s="284">
        <v>0</v>
      </c>
      <c r="N784" s="284">
        <v>565</v>
      </c>
      <c r="O784" s="284">
        <v>0</v>
      </c>
      <c r="P784" s="284">
        <v>1151</v>
      </c>
      <c r="Q784" s="286">
        <v>111</v>
      </c>
      <c r="R784" s="274">
        <v>3290</v>
      </c>
      <c r="S784" s="274">
        <v>111</v>
      </c>
      <c r="T784" s="287">
        <f t="shared" si="12"/>
        <v>2017</v>
      </c>
      <c r="U784" s="274">
        <f>VLOOKUP(A784,'[1]SB35 Determination Data'!$B$4:$F$542,5,FALSE)</f>
        <v>2015</v>
      </c>
    </row>
    <row r="785" spans="1:21" s="274" customFormat="1" ht="12.75" x14ac:dyDescent="0.2">
      <c r="A785" s="282" t="s">
        <v>547</v>
      </c>
      <c r="B785" s="282" t="s">
        <v>436</v>
      </c>
      <c r="C785" s="282" t="s">
        <v>649</v>
      </c>
      <c r="D785" s="283">
        <v>2014</v>
      </c>
      <c r="E785" s="282" t="s">
        <v>650</v>
      </c>
      <c r="F785" s="284">
        <v>42</v>
      </c>
      <c r="G785" s="285">
        <v>9</v>
      </c>
      <c r="H785" s="288">
        <v>9</v>
      </c>
      <c r="I785" s="285">
        <v>0</v>
      </c>
      <c r="J785" s="285">
        <v>29</v>
      </c>
      <c r="K785" s="284">
        <v>6</v>
      </c>
      <c r="L785" s="284">
        <v>6</v>
      </c>
      <c r="M785" s="284">
        <v>0</v>
      </c>
      <c r="N785" s="284">
        <v>33</v>
      </c>
      <c r="O785" s="284">
        <v>16</v>
      </c>
      <c r="P785" s="284">
        <v>73</v>
      </c>
      <c r="Q785" s="286">
        <v>296</v>
      </c>
      <c r="R785" s="274">
        <v>177</v>
      </c>
      <c r="S785" s="274">
        <v>327</v>
      </c>
      <c r="T785" s="287">
        <f t="shared" si="12"/>
        <v>2014</v>
      </c>
      <c r="U785" s="274">
        <f>VLOOKUP(A785,'[1]SB35 Determination Data'!$B$4:$F$542,5,FALSE)</f>
        <v>2014</v>
      </c>
    </row>
    <row r="786" spans="1:21" s="274" customFormat="1" ht="12.75" x14ac:dyDescent="0.2">
      <c r="A786" s="282" t="s">
        <v>547</v>
      </c>
      <c r="B786" s="282" t="s">
        <v>436</v>
      </c>
      <c r="C786" s="282" t="s">
        <v>649</v>
      </c>
      <c r="D786" s="283">
        <v>2015</v>
      </c>
      <c r="E786" s="282" t="s">
        <v>650</v>
      </c>
      <c r="F786" s="284">
        <v>42</v>
      </c>
      <c r="G786" s="285">
        <v>3</v>
      </c>
      <c r="H786" s="288">
        <v>3</v>
      </c>
      <c r="I786" s="285">
        <v>0</v>
      </c>
      <c r="J786" s="285">
        <v>29</v>
      </c>
      <c r="K786" s="284">
        <v>22</v>
      </c>
      <c r="L786" s="284">
        <v>22</v>
      </c>
      <c r="M786" s="284">
        <v>0</v>
      </c>
      <c r="N786" s="284">
        <v>33</v>
      </c>
      <c r="O786" s="284">
        <v>0</v>
      </c>
      <c r="P786" s="284">
        <v>73</v>
      </c>
      <c r="Q786" s="286">
        <v>468</v>
      </c>
      <c r="R786" s="274">
        <v>177</v>
      </c>
      <c r="S786" s="274">
        <v>493</v>
      </c>
      <c r="T786" s="287">
        <f t="shared" si="12"/>
        <v>2015</v>
      </c>
      <c r="U786" s="274">
        <f>VLOOKUP(A786,'[1]SB35 Determination Data'!$B$4:$F$542,5,FALSE)</f>
        <v>2014</v>
      </c>
    </row>
    <row r="787" spans="1:21" s="274" customFormat="1" ht="12.75" x14ac:dyDescent="0.2">
      <c r="A787" s="282" t="s">
        <v>547</v>
      </c>
      <c r="B787" s="282" t="s">
        <v>436</v>
      </c>
      <c r="C787" s="282" t="s">
        <v>649</v>
      </c>
      <c r="D787" s="283">
        <v>2016</v>
      </c>
      <c r="E787" s="282" t="s">
        <v>650</v>
      </c>
      <c r="F787" s="284">
        <v>42</v>
      </c>
      <c r="G787" s="285">
        <v>1</v>
      </c>
      <c r="H787" s="288">
        <v>1</v>
      </c>
      <c r="I787" s="285">
        <v>0</v>
      </c>
      <c r="J787" s="285">
        <v>29</v>
      </c>
      <c r="K787" s="284">
        <v>0</v>
      </c>
      <c r="L787" s="284">
        <v>0</v>
      </c>
      <c r="M787" s="284">
        <v>0</v>
      </c>
      <c r="N787" s="284">
        <v>33</v>
      </c>
      <c r="O787" s="284">
        <v>0</v>
      </c>
      <c r="P787" s="284">
        <v>73</v>
      </c>
      <c r="Q787" s="286">
        <v>6</v>
      </c>
      <c r="R787" s="274">
        <v>177</v>
      </c>
      <c r="S787" s="274">
        <v>7</v>
      </c>
      <c r="T787" s="287">
        <f t="shared" si="12"/>
        <v>2016</v>
      </c>
      <c r="U787" s="274">
        <f>VLOOKUP(A787,'[1]SB35 Determination Data'!$B$4:$F$542,5,FALSE)</f>
        <v>2014</v>
      </c>
    </row>
    <row r="788" spans="1:21" s="274" customFormat="1" ht="12.75" x14ac:dyDescent="0.2">
      <c r="A788" s="282" t="s">
        <v>547</v>
      </c>
      <c r="B788" s="282" t="s">
        <v>436</v>
      </c>
      <c r="C788" s="282" t="s">
        <v>649</v>
      </c>
      <c r="D788" s="283">
        <v>2017</v>
      </c>
      <c r="E788" s="282" t="s">
        <v>650</v>
      </c>
      <c r="F788" s="284">
        <v>42</v>
      </c>
      <c r="G788" s="285">
        <v>0</v>
      </c>
      <c r="H788" s="288">
        <v>0</v>
      </c>
      <c r="I788" s="285">
        <v>0</v>
      </c>
      <c r="J788" s="285">
        <v>29</v>
      </c>
      <c r="K788" s="284">
        <v>0</v>
      </c>
      <c r="L788" s="284">
        <v>0</v>
      </c>
      <c r="M788" s="284">
        <v>0</v>
      </c>
      <c r="N788" s="289">
        <v>33</v>
      </c>
      <c r="O788" s="284">
        <v>0</v>
      </c>
      <c r="P788" s="284">
        <v>73</v>
      </c>
      <c r="Q788" s="286">
        <v>35</v>
      </c>
      <c r="R788" s="274">
        <v>177</v>
      </c>
      <c r="S788" s="274">
        <v>35</v>
      </c>
      <c r="T788" s="287">
        <f t="shared" si="12"/>
        <v>2017</v>
      </c>
      <c r="U788" s="274">
        <f>VLOOKUP(A788,'[1]SB35 Determination Data'!$B$4:$F$542,5,FALSE)</f>
        <v>2014</v>
      </c>
    </row>
    <row r="789" spans="1:21" s="274" customFormat="1" ht="12.75" x14ac:dyDescent="0.2">
      <c r="A789" s="282" t="s">
        <v>548</v>
      </c>
      <c r="B789" s="282" t="s">
        <v>679</v>
      </c>
      <c r="C789" s="282" t="s">
        <v>531</v>
      </c>
      <c r="D789" s="283">
        <v>2015</v>
      </c>
      <c r="E789" s="282" t="s">
        <v>650</v>
      </c>
      <c r="F789" s="284">
        <v>1546</v>
      </c>
      <c r="G789" s="285">
        <v>0</v>
      </c>
      <c r="H789" s="288">
        <v>0</v>
      </c>
      <c r="I789" s="285">
        <v>0</v>
      </c>
      <c r="J789" s="285">
        <v>991</v>
      </c>
      <c r="K789" s="284">
        <v>0</v>
      </c>
      <c r="L789" s="284">
        <v>0</v>
      </c>
      <c r="M789" s="284">
        <v>0</v>
      </c>
      <c r="N789" s="284">
        <v>1100</v>
      </c>
      <c r="O789" s="284">
        <v>0</v>
      </c>
      <c r="P789" s="284">
        <v>2724</v>
      </c>
      <c r="Q789" s="286">
        <v>18</v>
      </c>
      <c r="R789" s="274">
        <v>6361</v>
      </c>
      <c r="S789" s="274">
        <v>18</v>
      </c>
      <c r="T789" s="287">
        <f t="shared" si="12"/>
        <v>2016</v>
      </c>
      <c r="U789" s="274">
        <f>VLOOKUP(A789,'[1]SB35 Determination Data'!$B$4:$F$542,5,FALSE)</f>
        <v>2016</v>
      </c>
    </row>
    <row r="790" spans="1:21" s="274" customFormat="1" ht="12.75" x14ac:dyDescent="0.2">
      <c r="A790" s="282" t="s">
        <v>548</v>
      </c>
      <c r="B790" s="282" t="s">
        <v>679</v>
      </c>
      <c r="C790" s="282" t="s">
        <v>531</v>
      </c>
      <c r="D790" s="283">
        <v>2016</v>
      </c>
      <c r="E790" s="282" t="s">
        <v>650</v>
      </c>
      <c r="F790" s="284">
        <v>1546</v>
      </c>
      <c r="G790" s="285">
        <v>0</v>
      </c>
      <c r="H790" s="288">
        <v>0</v>
      </c>
      <c r="I790" s="285">
        <v>0</v>
      </c>
      <c r="J790" s="285">
        <v>991</v>
      </c>
      <c r="K790" s="284">
        <v>50</v>
      </c>
      <c r="L790" s="284">
        <v>50</v>
      </c>
      <c r="M790" s="284">
        <v>0</v>
      </c>
      <c r="N790" s="284">
        <v>1100</v>
      </c>
      <c r="O790" s="284">
        <v>56</v>
      </c>
      <c r="P790" s="284">
        <v>2724</v>
      </c>
      <c r="Q790" s="286">
        <v>150</v>
      </c>
      <c r="R790" s="274">
        <v>6361</v>
      </c>
      <c r="S790" s="274">
        <v>256</v>
      </c>
      <c r="T790" s="287">
        <f t="shared" si="12"/>
        <v>2016</v>
      </c>
      <c r="U790" s="274">
        <f>VLOOKUP(A790,'[1]SB35 Determination Data'!$B$4:$F$542,5,FALSE)</f>
        <v>2016</v>
      </c>
    </row>
    <row r="791" spans="1:21" s="274" customFormat="1" ht="12.75" x14ac:dyDescent="0.2">
      <c r="A791" s="282" t="s">
        <v>548</v>
      </c>
      <c r="B791" s="282" t="s">
        <v>679</v>
      </c>
      <c r="C791" s="282" t="s">
        <v>531</v>
      </c>
      <c r="D791" s="283">
        <v>2017</v>
      </c>
      <c r="E791" s="282" t="s">
        <v>650</v>
      </c>
      <c r="F791" s="284">
        <v>1546</v>
      </c>
      <c r="G791" s="285">
        <v>0</v>
      </c>
      <c r="H791" s="288">
        <v>0</v>
      </c>
      <c r="I791" s="285">
        <v>0</v>
      </c>
      <c r="J791" s="285">
        <v>991</v>
      </c>
      <c r="K791" s="284">
        <v>0</v>
      </c>
      <c r="L791" s="284">
        <v>0</v>
      </c>
      <c r="M791" s="284">
        <v>0</v>
      </c>
      <c r="N791" s="284">
        <v>1100</v>
      </c>
      <c r="O791" s="284">
        <v>3</v>
      </c>
      <c r="P791" s="284">
        <v>2724</v>
      </c>
      <c r="Q791" s="286">
        <v>137</v>
      </c>
      <c r="R791" s="274">
        <v>6361</v>
      </c>
      <c r="S791" s="274">
        <v>140</v>
      </c>
      <c r="T791" s="287">
        <f t="shared" si="12"/>
        <v>2017</v>
      </c>
      <c r="U791" s="274">
        <f>VLOOKUP(A791,'[1]SB35 Determination Data'!$B$4:$F$542,5,FALSE)</f>
        <v>2016</v>
      </c>
    </row>
    <row r="792" spans="1:21" s="274" customFormat="1" ht="12.75" x14ac:dyDescent="0.2">
      <c r="A792" s="282" t="s">
        <v>550</v>
      </c>
      <c r="B792" s="282" t="s">
        <v>390</v>
      </c>
      <c r="C792" s="282" t="s">
        <v>660</v>
      </c>
      <c r="D792" s="283">
        <v>2014</v>
      </c>
      <c r="E792" s="282" t="s">
        <v>650</v>
      </c>
      <c r="F792" s="284">
        <v>11</v>
      </c>
      <c r="G792" s="285">
        <v>0</v>
      </c>
      <c r="H792" s="288">
        <v>0</v>
      </c>
      <c r="I792" s="285">
        <v>0</v>
      </c>
      <c r="J792" s="285">
        <v>7</v>
      </c>
      <c r="K792" s="284">
        <v>0</v>
      </c>
      <c r="L792" s="284">
        <v>0</v>
      </c>
      <c r="M792" s="284">
        <v>0</v>
      </c>
      <c r="N792" s="284">
        <v>9</v>
      </c>
      <c r="O792" s="284">
        <v>9</v>
      </c>
      <c r="P792" s="284">
        <v>19</v>
      </c>
      <c r="Q792" s="286">
        <v>4</v>
      </c>
      <c r="R792" s="274">
        <v>46</v>
      </c>
      <c r="S792" s="274">
        <v>13</v>
      </c>
      <c r="T792" s="287">
        <f t="shared" si="12"/>
        <v>2014</v>
      </c>
      <c r="U792" s="274">
        <f>VLOOKUP(A792,'[1]SB35 Determination Data'!$B$4:$F$542,5,FALSE)</f>
        <v>2014</v>
      </c>
    </row>
    <row r="793" spans="1:21" s="274" customFormat="1" ht="12.75" x14ac:dyDescent="0.2">
      <c r="A793" s="282" t="s">
        <v>550</v>
      </c>
      <c r="B793" s="282" t="s">
        <v>390</v>
      </c>
      <c r="C793" s="282" t="s">
        <v>660</v>
      </c>
      <c r="D793" s="283">
        <v>2015</v>
      </c>
      <c r="E793" s="282" t="s">
        <v>650</v>
      </c>
      <c r="F793" s="284">
        <v>11</v>
      </c>
      <c r="G793" s="285">
        <v>0</v>
      </c>
      <c r="H793" s="288">
        <v>0</v>
      </c>
      <c r="I793" s="285">
        <v>0</v>
      </c>
      <c r="J793" s="285">
        <v>7</v>
      </c>
      <c r="K793" s="284">
        <v>2</v>
      </c>
      <c r="L793" s="284">
        <v>0</v>
      </c>
      <c r="M793" s="284">
        <v>2</v>
      </c>
      <c r="N793" s="289">
        <v>9</v>
      </c>
      <c r="O793" s="284">
        <v>10</v>
      </c>
      <c r="P793" s="284">
        <v>19</v>
      </c>
      <c r="Q793" s="286">
        <v>14</v>
      </c>
      <c r="R793" s="274">
        <v>46</v>
      </c>
      <c r="S793" s="274">
        <v>26</v>
      </c>
      <c r="T793" s="287">
        <f t="shared" si="12"/>
        <v>2015</v>
      </c>
      <c r="U793" s="274">
        <f>VLOOKUP(A793,'[1]SB35 Determination Data'!$B$4:$F$542,5,FALSE)</f>
        <v>2014</v>
      </c>
    </row>
    <row r="794" spans="1:21" s="274" customFormat="1" ht="12.75" x14ac:dyDescent="0.2">
      <c r="A794" s="282" t="s">
        <v>550</v>
      </c>
      <c r="B794" s="282" t="s">
        <v>390</v>
      </c>
      <c r="C794" s="282" t="s">
        <v>660</v>
      </c>
      <c r="D794" s="283">
        <v>2016</v>
      </c>
      <c r="E794" s="282" t="s">
        <v>650</v>
      </c>
      <c r="F794" s="284">
        <v>11</v>
      </c>
      <c r="G794" s="285">
        <v>0</v>
      </c>
      <c r="H794" s="288">
        <v>0</v>
      </c>
      <c r="I794" s="285">
        <v>0</v>
      </c>
      <c r="J794" s="285">
        <v>7</v>
      </c>
      <c r="K794" s="284">
        <v>5</v>
      </c>
      <c r="L794" s="284">
        <v>0</v>
      </c>
      <c r="M794" s="284">
        <v>5</v>
      </c>
      <c r="N794" s="284">
        <v>9</v>
      </c>
      <c r="O794" s="284">
        <v>12</v>
      </c>
      <c r="P794" s="284">
        <v>19</v>
      </c>
      <c r="Q794" s="286">
        <v>9</v>
      </c>
      <c r="R794" s="274">
        <v>46</v>
      </c>
      <c r="S794" s="274">
        <v>26</v>
      </c>
      <c r="T794" s="287">
        <f t="shared" si="12"/>
        <v>2016</v>
      </c>
      <c r="U794" s="274">
        <f>VLOOKUP(A794,'[1]SB35 Determination Data'!$B$4:$F$542,5,FALSE)</f>
        <v>2014</v>
      </c>
    </row>
    <row r="795" spans="1:21" s="274" customFormat="1" ht="12.75" x14ac:dyDescent="0.2">
      <c r="A795" s="282" t="s">
        <v>550</v>
      </c>
      <c r="B795" s="282" t="s">
        <v>390</v>
      </c>
      <c r="C795" s="282" t="s">
        <v>660</v>
      </c>
      <c r="D795" s="283">
        <v>2017</v>
      </c>
      <c r="E795" s="282" t="s">
        <v>650</v>
      </c>
      <c r="F795" s="284">
        <v>11</v>
      </c>
      <c r="G795" s="285">
        <v>0</v>
      </c>
      <c r="H795" s="288">
        <v>0</v>
      </c>
      <c r="I795" s="285">
        <v>0</v>
      </c>
      <c r="J795" s="285">
        <v>7</v>
      </c>
      <c r="K795" s="284">
        <v>6</v>
      </c>
      <c r="L795" s="284">
        <v>0</v>
      </c>
      <c r="M795" s="284">
        <v>6</v>
      </c>
      <c r="N795" s="284">
        <v>9</v>
      </c>
      <c r="O795" s="284">
        <v>13</v>
      </c>
      <c r="P795" s="284">
        <v>19</v>
      </c>
      <c r="Q795" s="286">
        <v>10</v>
      </c>
      <c r="R795" s="274">
        <v>46</v>
      </c>
      <c r="S795" s="274">
        <v>29</v>
      </c>
      <c r="T795" s="287">
        <f t="shared" si="12"/>
        <v>2017</v>
      </c>
      <c r="U795" s="274">
        <f>VLOOKUP(A795,'[1]SB35 Determination Data'!$B$4:$F$542,5,FALSE)</f>
        <v>2014</v>
      </c>
    </row>
    <row r="796" spans="1:21" s="274" customFormat="1" ht="12.75" x14ac:dyDescent="0.2">
      <c r="A796" s="282" t="s">
        <v>484</v>
      </c>
      <c r="B796" s="282" t="s">
        <v>262</v>
      </c>
      <c r="C796" s="282" t="s">
        <v>649</v>
      </c>
      <c r="D796" s="283">
        <v>2014</v>
      </c>
      <c r="E796" s="282" t="s">
        <v>650</v>
      </c>
      <c r="F796" s="284">
        <v>101</v>
      </c>
      <c r="G796" s="285">
        <v>0</v>
      </c>
      <c r="H796" s="288">
        <v>0</v>
      </c>
      <c r="I796" s="285">
        <v>0</v>
      </c>
      <c r="J796" s="285">
        <v>61</v>
      </c>
      <c r="K796" s="284">
        <v>0</v>
      </c>
      <c r="L796" s="284">
        <v>0</v>
      </c>
      <c r="M796" s="284">
        <v>0</v>
      </c>
      <c r="N796" s="284">
        <v>65</v>
      </c>
      <c r="O796" s="284">
        <v>2</v>
      </c>
      <c r="P796" s="284">
        <v>162</v>
      </c>
      <c r="Q796" s="286">
        <v>34</v>
      </c>
      <c r="R796" s="274">
        <v>389</v>
      </c>
      <c r="S796" s="274">
        <v>36</v>
      </c>
      <c r="T796" s="287">
        <f t="shared" si="12"/>
        <v>2014</v>
      </c>
      <c r="U796" s="274">
        <f>VLOOKUP(A796,'[1]SB35 Determination Data'!$B$4:$F$542,5,FALSE)</f>
        <v>2014</v>
      </c>
    </row>
    <row r="797" spans="1:21" s="274" customFormat="1" ht="12.75" x14ac:dyDescent="0.2">
      <c r="A797" s="282" t="s">
        <v>484</v>
      </c>
      <c r="B797" s="282" t="s">
        <v>262</v>
      </c>
      <c r="C797" s="282" t="s">
        <v>649</v>
      </c>
      <c r="D797" s="283">
        <v>2015</v>
      </c>
      <c r="E797" s="282" t="s">
        <v>650</v>
      </c>
      <c r="F797" s="284">
        <v>101</v>
      </c>
      <c r="G797" s="285">
        <v>0</v>
      </c>
      <c r="H797" s="288">
        <v>0</v>
      </c>
      <c r="I797" s="285">
        <v>0</v>
      </c>
      <c r="J797" s="285">
        <v>61</v>
      </c>
      <c r="K797" s="284">
        <v>0</v>
      </c>
      <c r="L797" s="284">
        <v>0</v>
      </c>
      <c r="M797" s="284">
        <v>0</v>
      </c>
      <c r="N797" s="284">
        <v>65</v>
      </c>
      <c r="O797" s="284">
        <v>0</v>
      </c>
      <c r="P797" s="284">
        <v>162</v>
      </c>
      <c r="Q797" s="286">
        <v>9</v>
      </c>
      <c r="R797" s="274">
        <v>389</v>
      </c>
      <c r="S797" s="274">
        <v>9</v>
      </c>
      <c r="T797" s="287">
        <f t="shared" si="12"/>
        <v>2015</v>
      </c>
      <c r="U797" s="274">
        <f>VLOOKUP(A797,'[1]SB35 Determination Data'!$B$4:$F$542,5,FALSE)</f>
        <v>2014</v>
      </c>
    </row>
    <row r="798" spans="1:21" s="274" customFormat="1" ht="12.75" x14ac:dyDescent="0.2">
      <c r="A798" s="282" t="s">
        <v>484</v>
      </c>
      <c r="B798" s="282" t="s">
        <v>262</v>
      </c>
      <c r="C798" s="282" t="s">
        <v>649</v>
      </c>
      <c r="D798" s="283">
        <v>2016</v>
      </c>
      <c r="E798" s="282" t="s">
        <v>650</v>
      </c>
      <c r="F798" s="284">
        <v>101</v>
      </c>
      <c r="G798" s="285">
        <v>0</v>
      </c>
      <c r="H798" s="288">
        <v>0</v>
      </c>
      <c r="I798" s="285">
        <v>0</v>
      </c>
      <c r="J798" s="285">
        <v>61</v>
      </c>
      <c r="K798" s="284">
        <v>0</v>
      </c>
      <c r="L798" s="284">
        <v>0</v>
      </c>
      <c r="M798" s="284">
        <v>0</v>
      </c>
      <c r="N798" s="289">
        <v>65</v>
      </c>
      <c r="O798" s="284">
        <v>0</v>
      </c>
      <c r="P798" s="284">
        <v>162</v>
      </c>
      <c r="Q798" s="286">
        <v>445</v>
      </c>
      <c r="R798" s="274">
        <v>389</v>
      </c>
      <c r="S798" s="274">
        <v>445</v>
      </c>
      <c r="T798" s="287">
        <f t="shared" si="12"/>
        <v>2016</v>
      </c>
      <c r="U798" s="274">
        <f>VLOOKUP(A798,'[1]SB35 Determination Data'!$B$4:$F$542,5,FALSE)</f>
        <v>2014</v>
      </c>
    </row>
    <row r="799" spans="1:21" s="274" customFormat="1" ht="12.75" x14ac:dyDescent="0.2">
      <c r="A799" s="282" t="s">
        <v>484</v>
      </c>
      <c r="B799" s="282" t="s">
        <v>262</v>
      </c>
      <c r="C799" s="282" t="s">
        <v>649</v>
      </c>
      <c r="D799" s="283">
        <v>2017</v>
      </c>
      <c r="E799" s="282" t="s">
        <v>650</v>
      </c>
      <c r="F799" s="284">
        <v>101</v>
      </c>
      <c r="G799" s="285">
        <v>0</v>
      </c>
      <c r="H799" s="288">
        <v>0</v>
      </c>
      <c r="I799" s="285">
        <v>0</v>
      </c>
      <c r="J799" s="285">
        <v>61</v>
      </c>
      <c r="K799" s="284">
        <v>0</v>
      </c>
      <c r="L799" s="284">
        <v>0</v>
      </c>
      <c r="M799" s="284">
        <v>0</v>
      </c>
      <c r="N799" s="284">
        <v>65</v>
      </c>
      <c r="O799" s="284">
        <v>2</v>
      </c>
      <c r="P799" s="284">
        <v>162</v>
      </c>
      <c r="Q799" s="286">
        <v>22</v>
      </c>
      <c r="R799" s="274">
        <v>389</v>
      </c>
      <c r="S799" s="274">
        <v>24</v>
      </c>
      <c r="T799" s="287">
        <f t="shared" si="12"/>
        <v>2017</v>
      </c>
      <c r="U799" s="274">
        <f>VLOOKUP(A799,'[1]SB35 Determination Data'!$B$4:$F$542,5,FALSE)</f>
        <v>2014</v>
      </c>
    </row>
    <row r="800" spans="1:21" s="274" customFormat="1" ht="12.75" x14ac:dyDescent="0.2">
      <c r="A800" s="282" t="s">
        <v>551</v>
      </c>
      <c r="B800" s="282" t="s">
        <v>651</v>
      </c>
      <c r="C800" s="282" t="s">
        <v>660</v>
      </c>
      <c r="D800" s="283">
        <v>2017</v>
      </c>
      <c r="E800" s="282" t="s">
        <v>650</v>
      </c>
      <c r="F800" s="284">
        <v>5</v>
      </c>
      <c r="G800" s="285">
        <v>0</v>
      </c>
      <c r="H800" s="288">
        <v>0</v>
      </c>
      <c r="I800" s="285">
        <v>0</v>
      </c>
      <c r="J800" s="285">
        <v>3</v>
      </c>
      <c r="K800" s="284">
        <v>0</v>
      </c>
      <c r="L800" s="284">
        <v>0</v>
      </c>
      <c r="M800" s="284">
        <v>0</v>
      </c>
      <c r="N800" s="284">
        <v>3</v>
      </c>
      <c r="O800" s="284">
        <v>0</v>
      </c>
      <c r="P800" s="284">
        <v>8</v>
      </c>
      <c r="Q800" s="286">
        <v>0</v>
      </c>
      <c r="R800" s="274">
        <v>19</v>
      </c>
      <c r="S800" s="274">
        <v>0</v>
      </c>
      <c r="T800" s="287">
        <f t="shared" si="12"/>
        <v>2017</v>
      </c>
      <c r="U800" s="274">
        <f>VLOOKUP(A800,'[1]SB35 Determination Data'!$B$4:$F$542,5,FALSE)</f>
        <v>2014</v>
      </c>
    </row>
    <row r="801" spans="1:21" s="274" customFormat="1" ht="12.75" x14ac:dyDescent="0.2">
      <c r="A801" s="282" t="s">
        <v>552</v>
      </c>
      <c r="B801" s="282" t="s">
        <v>542</v>
      </c>
      <c r="C801" s="282" t="s">
        <v>649</v>
      </c>
      <c r="D801" s="283">
        <v>2014</v>
      </c>
      <c r="E801" s="282" t="s">
        <v>650</v>
      </c>
      <c r="F801" s="284">
        <v>164</v>
      </c>
      <c r="G801" s="285">
        <v>0</v>
      </c>
      <c r="H801" s="288">
        <v>0</v>
      </c>
      <c r="I801" s="285">
        <v>0</v>
      </c>
      <c r="J801" s="285">
        <v>114</v>
      </c>
      <c r="K801" s="284">
        <v>0</v>
      </c>
      <c r="L801" s="284">
        <v>0</v>
      </c>
      <c r="M801" s="284">
        <v>0</v>
      </c>
      <c r="N801" s="284">
        <v>125</v>
      </c>
      <c r="O801" s="284">
        <v>0</v>
      </c>
      <c r="P801" s="284">
        <v>294</v>
      </c>
      <c r="Q801" s="286">
        <v>10</v>
      </c>
      <c r="R801" s="274">
        <v>697</v>
      </c>
      <c r="S801" s="274">
        <v>10</v>
      </c>
      <c r="T801" s="287">
        <f t="shared" si="12"/>
        <v>2014</v>
      </c>
      <c r="U801" s="274">
        <f>VLOOKUP(A801,'[1]SB35 Determination Data'!$B$4:$F$542,5,FALSE)</f>
        <v>2014</v>
      </c>
    </row>
    <row r="802" spans="1:21" s="274" customFormat="1" ht="12.75" x14ac:dyDescent="0.2">
      <c r="A802" s="282" t="s">
        <v>552</v>
      </c>
      <c r="B802" s="282" t="s">
        <v>542</v>
      </c>
      <c r="C802" s="282" t="s">
        <v>649</v>
      </c>
      <c r="D802" s="283">
        <v>2015</v>
      </c>
      <c r="E802" s="282" t="s">
        <v>650</v>
      </c>
      <c r="F802" s="284">
        <v>164</v>
      </c>
      <c r="G802" s="285">
        <v>0</v>
      </c>
      <c r="H802" s="288">
        <v>0</v>
      </c>
      <c r="I802" s="285">
        <v>0</v>
      </c>
      <c r="J802" s="285">
        <v>114</v>
      </c>
      <c r="K802" s="284">
        <v>0</v>
      </c>
      <c r="L802" s="284">
        <v>0</v>
      </c>
      <c r="M802" s="284">
        <v>0</v>
      </c>
      <c r="N802" s="284">
        <v>125</v>
      </c>
      <c r="O802" s="284">
        <v>0</v>
      </c>
      <c r="P802" s="284">
        <v>294</v>
      </c>
      <c r="Q802" s="286">
        <v>20</v>
      </c>
      <c r="R802" s="274">
        <v>697</v>
      </c>
      <c r="S802" s="274">
        <v>20</v>
      </c>
      <c r="T802" s="287">
        <f t="shared" si="12"/>
        <v>2015</v>
      </c>
      <c r="U802" s="274">
        <f>VLOOKUP(A802,'[1]SB35 Determination Data'!$B$4:$F$542,5,FALSE)</f>
        <v>2014</v>
      </c>
    </row>
    <row r="803" spans="1:21" s="274" customFormat="1" ht="12.75" x14ac:dyDescent="0.2">
      <c r="A803" s="282" t="s">
        <v>552</v>
      </c>
      <c r="B803" s="282" t="s">
        <v>542</v>
      </c>
      <c r="C803" s="282" t="s">
        <v>649</v>
      </c>
      <c r="D803" s="283">
        <v>2016</v>
      </c>
      <c r="E803" s="282" t="s">
        <v>650</v>
      </c>
      <c r="F803" s="284">
        <v>164</v>
      </c>
      <c r="G803" s="285">
        <v>0</v>
      </c>
      <c r="H803" s="288">
        <v>0</v>
      </c>
      <c r="I803" s="285">
        <v>0</v>
      </c>
      <c r="J803" s="285">
        <v>114</v>
      </c>
      <c r="K803" s="284">
        <v>0</v>
      </c>
      <c r="L803" s="284">
        <v>0</v>
      </c>
      <c r="M803" s="284">
        <v>0</v>
      </c>
      <c r="N803" s="284">
        <v>125</v>
      </c>
      <c r="O803" s="284">
        <v>0</v>
      </c>
      <c r="P803" s="284">
        <v>294</v>
      </c>
      <c r="Q803" s="286">
        <v>39</v>
      </c>
      <c r="R803" s="274">
        <v>697</v>
      </c>
      <c r="S803" s="274">
        <v>39</v>
      </c>
      <c r="T803" s="287">
        <f t="shared" si="12"/>
        <v>2016</v>
      </c>
      <c r="U803" s="274">
        <f>VLOOKUP(A803,'[1]SB35 Determination Data'!$B$4:$F$542,5,FALSE)</f>
        <v>2014</v>
      </c>
    </row>
    <row r="804" spans="1:21" s="274" customFormat="1" ht="12.75" x14ac:dyDescent="0.2">
      <c r="A804" s="282" t="s">
        <v>552</v>
      </c>
      <c r="B804" s="282" t="s">
        <v>542</v>
      </c>
      <c r="C804" s="282" t="s">
        <v>649</v>
      </c>
      <c r="D804" s="283">
        <v>2017</v>
      </c>
      <c r="E804" s="282" t="s">
        <v>650</v>
      </c>
      <c r="F804" s="284">
        <v>164</v>
      </c>
      <c r="G804" s="285">
        <v>0</v>
      </c>
      <c r="H804" s="288">
        <v>0</v>
      </c>
      <c r="I804" s="285">
        <v>0</v>
      </c>
      <c r="J804" s="285">
        <v>114</v>
      </c>
      <c r="K804" s="284">
        <v>0</v>
      </c>
      <c r="L804" s="284">
        <v>0</v>
      </c>
      <c r="M804" s="284">
        <v>0</v>
      </c>
      <c r="N804" s="284">
        <v>125</v>
      </c>
      <c r="O804" s="284">
        <v>0</v>
      </c>
      <c r="P804" s="284">
        <v>294</v>
      </c>
      <c r="Q804" s="286">
        <v>66</v>
      </c>
      <c r="R804" s="274">
        <v>697</v>
      </c>
      <c r="S804" s="274">
        <v>66</v>
      </c>
      <c r="T804" s="287">
        <f t="shared" si="12"/>
        <v>2017</v>
      </c>
      <c r="U804" s="274">
        <f>VLOOKUP(A804,'[1]SB35 Determination Data'!$B$4:$F$542,5,FALSE)</f>
        <v>2014</v>
      </c>
    </row>
    <row r="805" spans="1:21" s="274" customFormat="1" ht="12.75" x14ac:dyDescent="0.2">
      <c r="A805" s="282" t="s">
        <v>553</v>
      </c>
      <c r="B805" s="282" t="s">
        <v>614</v>
      </c>
      <c r="C805" s="282" t="s">
        <v>654</v>
      </c>
      <c r="D805" s="283">
        <v>2014</v>
      </c>
      <c r="E805" s="282" t="s">
        <v>650</v>
      </c>
      <c r="F805" s="284">
        <v>23</v>
      </c>
      <c r="G805" s="285">
        <v>0</v>
      </c>
      <c r="H805" s="288">
        <v>0</v>
      </c>
      <c r="I805" s="285">
        <v>0</v>
      </c>
      <c r="J805" s="285">
        <v>13</v>
      </c>
      <c r="K805" s="284">
        <v>1</v>
      </c>
      <c r="L805" s="284">
        <v>1</v>
      </c>
      <c r="M805" s="284">
        <v>0</v>
      </c>
      <c r="N805" s="289">
        <v>13</v>
      </c>
      <c r="O805" s="284">
        <v>0</v>
      </c>
      <c r="P805" s="284">
        <v>12</v>
      </c>
      <c r="Q805" s="286">
        <v>4</v>
      </c>
      <c r="R805" s="274">
        <v>61</v>
      </c>
      <c r="S805" s="274">
        <v>5</v>
      </c>
      <c r="T805" s="287">
        <f t="shared" si="12"/>
        <v>2015</v>
      </c>
      <c r="U805" s="274">
        <f>VLOOKUP(A805,'[1]SB35 Determination Data'!$B$4:$F$542,5,FALSE)</f>
        <v>2015</v>
      </c>
    </row>
    <row r="806" spans="1:21" s="274" customFormat="1" ht="12.75" x14ac:dyDescent="0.2">
      <c r="A806" s="282" t="s">
        <v>553</v>
      </c>
      <c r="B806" s="282" t="s">
        <v>614</v>
      </c>
      <c r="C806" s="282" t="s">
        <v>654</v>
      </c>
      <c r="D806" s="283">
        <v>2015</v>
      </c>
      <c r="E806" s="282" t="s">
        <v>650</v>
      </c>
      <c r="F806" s="284">
        <v>23</v>
      </c>
      <c r="G806" s="285">
        <v>4</v>
      </c>
      <c r="H806" s="288">
        <v>0</v>
      </c>
      <c r="I806" s="285">
        <v>4</v>
      </c>
      <c r="J806" s="285">
        <v>13</v>
      </c>
      <c r="K806" s="284">
        <v>0</v>
      </c>
      <c r="L806" s="284">
        <v>0</v>
      </c>
      <c r="M806" s="284">
        <v>0</v>
      </c>
      <c r="N806" s="284">
        <v>13</v>
      </c>
      <c r="O806" s="284">
        <v>1</v>
      </c>
      <c r="P806" s="284">
        <v>12</v>
      </c>
      <c r="Q806" s="286">
        <v>2</v>
      </c>
      <c r="R806" s="274">
        <v>61</v>
      </c>
      <c r="S806" s="274">
        <v>7</v>
      </c>
      <c r="T806" s="287">
        <f t="shared" si="12"/>
        <v>2015</v>
      </c>
      <c r="U806" s="274">
        <f>VLOOKUP(A806,'[1]SB35 Determination Data'!$B$4:$F$542,5,FALSE)</f>
        <v>2015</v>
      </c>
    </row>
    <row r="807" spans="1:21" s="274" customFormat="1" ht="12.75" x14ac:dyDescent="0.2">
      <c r="A807" s="282" t="s">
        <v>553</v>
      </c>
      <c r="B807" s="282" t="s">
        <v>614</v>
      </c>
      <c r="C807" s="282" t="s">
        <v>654</v>
      </c>
      <c r="D807" s="283">
        <v>2016</v>
      </c>
      <c r="E807" s="282" t="s">
        <v>650</v>
      </c>
      <c r="F807" s="284">
        <v>23</v>
      </c>
      <c r="G807" s="285">
        <v>5</v>
      </c>
      <c r="H807" s="288">
        <v>5</v>
      </c>
      <c r="I807" s="285">
        <v>0</v>
      </c>
      <c r="J807" s="285">
        <v>13</v>
      </c>
      <c r="K807" s="284">
        <v>0</v>
      </c>
      <c r="L807" s="284">
        <v>0</v>
      </c>
      <c r="M807" s="284">
        <v>0</v>
      </c>
      <c r="N807" s="284">
        <v>13</v>
      </c>
      <c r="O807" s="284">
        <v>0</v>
      </c>
      <c r="P807" s="284">
        <v>12</v>
      </c>
      <c r="Q807" s="286">
        <v>8</v>
      </c>
      <c r="R807" s="274">
        <v>61</v>
      </c>
      <c r="S807" s="274">
        <v>13</v>
      </c>
      <c r="T807" s="287">
        <f t="shared" si="12"/>
        <v>2016</v>
      </c>
      <c r="U807" s="274">
        <f>VLOOKUP(A807,'[1]SB35 Determination Data'!$B$4:$F$542,5,FALSE)</f>
        <v>2015</v>
      </c>
    </row>
    <row r="808" spans="1:21" s="274" customFormat="1" ht="12.75" x14ac:dyDescent="0.2">
      <c r="A808" s="282" t="s">
        <v>553</v>
      </c>
      <c r="B808" s="282" t="s">
        <v>614</v>
      </c>
      <c r="C808" s="282" t="s">
        <v>654</v>
      </c>
      <c r="D808" s="283">
        <v>2017</v>
      </c>
      <c r="E808" s="282" t="s">
        <v>650</v>
      </c>
      <c r="F808" s="284">
        <v>23</v>
      </c>
      <c r="G808" s="285">
        <v>12</v>
      </c>
      <c r="H808" s="288">
        <v>0</v>
      </c>
      <c r="I808" s="285">
        <v>12</v>
      </c>
      <c r="J808" s="285">
        <v>13</v>
      </c>
      <c r="K808" s="284">
        <v>0</v>
      </c>
      <c r="L808" s="284">
        <v>0</v>
      </c>
      <c r="M808" s="284">
        <v>0</v>
      </c>
      <c r="N808" s="284">
        <v>13</v>
      </c>
      <c r="O808" s="284">
        <v>0</v>
      </c>
      <c r="P808" s="284">
        <v>12</v>
      </c>
      <c r="Q808" s="286">
        <v>4</v>
      </c>
      <c r="R808" s="274">
        <v>61</v>
      </c>
      <c r="S808" s="274">
        <v>16</v>
      </c>
      <c r="T808" s="287">
        <f t="shared" si="12"/>
        <v>2017</v>
      </c>
      <c r="U808" s="274">
        <f>VLOOKUP(A808,'[1]SB35 Determination Data'!$B$4:$F$542,5,FALSE)</f>
        <v>2015</v>
      </c>
    </row>
    <row r="809" spans="1:21" s="274" customFormat="1" ht="12.75" x14ac:dyDescent="0.2">
      <c r="A809" s="282" t="s">
        <v>403</v>
      </c>
      <c r="B809" s="282" t="s">
        <v>403</v>
      </c>
      <c r="C809" s="282" t="s">
        <v>531</v>
      </c>
      <c r="D809" s="283">
        <v>2015</v>
      </c>
      <c r="E809" s="282" t="s">
        <v>650</v>
      </c>
      <c r="F809" s="284">
        <v>157</v>
      </c>
      <c r="G809" s="285">
        <v>0</v>
      </c>
      <c r="H809" s="288">
        <v>0</v>
      </c>
      <c r="I809" s="285">
        <v>0</v>
      </c>
      <c r="J809" s="285">
        <v>102</v>
      </c>
      <c r="K809" s="284">
        <v>0</v>
      </c>
      <c r="L809" s="284">
        <v>0</v>
      </c>
      <c r="M809" s="284">
        <v>0</v>
      </c>
      <c r="N809" s="284">
        <v>119</v>
      </c>
      <c r="O809" s="284">
        <v>2</v>
      </c>
      <c r="P809" s="284">
        <v>272</v>
      </c>
      <c r="Q809" s="286">
        <v>55</v>
      </c>
      <c r="R809" s="274">
        <v>650</v>
      </c>
      <c r="S809" s="274">
        <v>57</v>
      </c>
      <c r="T809" s="287">
        <f t="shared" si="12"/>
        <v>2016</v>
      </c>
      <c r="U809" s="274">
        <f>VLOOKUP(A809,'[1]SB35 Determination Data'!$B$4:$F$542,5,FALSE)</f>
        <v>2016</v>
      </c>
    </row>
    <row r="810" spans="1:21" s="274" customFormat="1" ht="12.75" x14ac:dyDescent="0.2">
      <c r="A810" s="282" t="s">
        <v>403</v>
      </c>
      <c r="B810" s="282" t="s">
        <v>403</v>
      </c>
      <c r="C810" s="282" t="s">
        <v>531</v>
      </c>
      <c r="D810" s="283">
        <v>2016</v>
      </c>
      <c r="E810" s="282" t="s">
        <v>650</v>
      </c>
      <c r="F810" s="284">
        <v>157</v>
      </c>
      <c r="G810" s="285">
        <v>0</v>
      </c>
      <c r="H810" s="288">
        <v>0</v>
      </c>
      <c r="I810" s="285">
        <v>0</v>
      </c>
      <c r="J810" s="285">
        <v>102</v>
      </c>
      <c r="K810" s="284">
        <v>0</v>
      </c>
      <c r="L810" s="284">
        <v>0</v>
      </c>
      <c r="M810" s="284">
        <v>0</v>
      </c>
      <c r="N810" s="289">
        <v>119</v>
      </c>
      <c r="O810" s="284">
        <v>0</v>
      </c>
      <c r="P810" s="284">
        <v>272</v>
      </c>
      <c r="Q810" s="286">
        <v>2</v>
      </c>
      <c r="R810" s="274">
        <v>650</v>
      </c>
      <c r="S810" s="274">
        <v>2</v>
      </c>
      <c r="T810" s="287">
        <f t="shared" si="12"/>
        <v>2016</v>
      </c>
      <c r="U810" s="274">
        <f>VLOOKUP(A810,'[1]SB35 Determination Data'!$B$4:$F$542,5,FALSE)</f>
        <v>2016</v>
      </c>
    </row>
    <row r="811" spans="1:21" s="274" customFormat="1" ht="12.75" x14ac:dyDescent="0.2">
      <c r="A811" s="282" t="s">
        <v>403</v>
      </c>
      <c r="B811" s="282" t="s">
        <v>403</v>
      </c>
      <c r="C811" s="282" t="s">
        <v>531</v>
      </c>
      <c r="D811" s="283">
        <v>2017</v>
      </c>
      <c r="E811" s="282" t="s">
        <v>650</v>
      </c>
      <c r="F811" s="284">
        <v>157</v>
      </c>
      <c r="G811" s="285">
        <v>19</v>
      </c>
      <c r="H811" s="288">
        <v>19</v>
      </c>
      <c r="I811" s="285">
        <v>0</v>
      </c>
      <c r="J811" s="285">
        <v>102</v>
      </c>
      <c r="K811" s="284">
        <v>0</v>
      </c>
      <c r="L811" s="284">
        <v>0</v>
      </c>
      <c r="M811" s="284">
        <v>0</v>
      </c>
      <c r="N811" s="289">
        <v>119</v>
      </c>
      <c r="O811" s="284">
        <v>0</v>
      </c>
      <c r="P811" s="284">
        <v>272</v>
      </c>
      <c r="Q811" s="286">
        <v>10</v>
      </c>
      <c r="R811" s="274">
        <v>650</v>
      </c>
      <c r="S811" s="274">
        <v>29</v>
      </c>
      <c r="T811" s="287">
        <f t="shared" si="12"/>
        <v>2017</v>
      </c>
      <c r="U811" s="274">
        <f>VLOOKUP(A811,'[1]SB35 Determination Data'!$B$4:$F$542,5,FALSE)</f>
        <v>2016</v>
      </c>
    </row>
    <row r="812" spans="1:21" s="274" customFormat="1" ht="12.75" x14ac:dyDescent="0.2">
      <c r="A812" s="282" t="s">
        <v>556</v>
      </c>
      <c r="B812" s="282" t="s">
        <v>403</v>
      </c>
      <c r="C812" s="282" t="s">
        <v>531</v>
      </c>
      <c r="D812" s="283">
        <v>2015</v>
      </c>
      <c r="E812" s="282" t="s">
        <v>650</v>
      </c>
      <c r="F812" s="284">
        <v>374</v>
      </c>
      <c r="G812" s="285">
        <v>137</v>
      </c>
      <c r="H812" s="288">
        <v>37</v>
      </c>
      <c r="I812" s="285">
        <v>100</v>
      </c>
      <c r="J812" s="285">
        <v>244</v>
      </c>
      <c r="K812" s="284">
        <v>6</v>
      </c>
      <c r="L812" s="284">
        <v>6</v>
      </c>
      <c r="M812" s="284">
        <v>0</v>
      </c>
      <c r="N812" s="284">
        <v>282</v>
      </c>
      <c r="O812" s="284">
        <v>0</v>
      </c>
      <c r="P812" s="284">
        <v>651</v>
      </c>
      <c r="Q812" s="286">
        <v>189</v>
      </c>
      <c r="R812" s="274">
        <v>1551</v>
      </c>
      <c r="S812" s="274">
        <v>332</v>
      </c>
      <c r="T812" s="287">
        <f t="shared" si="12"/>
        <v>2016</v>
      </c>
      <c r="U812" s="274">
        <f>VLOOKUP(A812,'[1]SB35 Determination Data'!$B$4:$F$542,5,FALSE)</f>
        <v>2016</v>
      </c>
    </row>
    <row r="813" spans="1:21" s="274" customFormat="1" ht="12.75" x14ac:dyDescent="0.2">
      <c r="A813" s="282" t="s">
        <v>556</v>
      </c>
      <c r="B813" s="282" t="s">
        <v>403</v>
      </c>
      <c r="C813" s="282" t="s">
        <v>531</v>
      </c>
      <c r="D813" s="283">
        <v>2016</v>
      </c>
      <c r="E813" s="282" t="s">
        <v>650</v>
      </c>
      <c r="F813" s="284">
        <v>374</v>
      </c>
      <c r="G813" s="285">
        <v>0</v>
      </c>
      <c r="H813" s="288">
        <v>0</v>
      </c>
      <c r="I813" s="285">
        <v>0</v>
      </c>
      <c r="J813" s="285">
        <v>244</v>
      </c>
      <c r="K813" s="284">
        <v>0</v>
      </c>
      <c r="L813" s="284">
        <v>0</v>
      </c>
      <c r="M813" s="284">
        <v>0</v>
      </c>
      <c r="N813" s="284">
        <v>282</v>
      </c>
      <c r="O813" s="284">
        <v>3</v>
      </c>
      <c r="P813" s="284">
        <v>651</v>
      </c>
      <c r="Q813" s="286">
        <v>260</v>
      </c>
      <c r="R813" s="274">
        <v>1551</v>
      </c>
      <c r="S813" s="274">
        <v>263</v>
      </c>
      <c r="T813" s="287">
        <f t="shared" si="12"/>
        <v>2016</v>
      </c>
      <c r="U813" s="274">
        <f>VLOOKUP(A813,'[1]SB35 Determination Data'!$B$4:$F$542,5,FALSE)</f>
        <v>2016</v>
      </c>
    </row>
    <row r="814" spans="1:21" s="274" customFormat="1" ht="12.75" x14ac:dyDescent="0.2">
      <c r="A814" s="282" t="s">
        <v>556</v>
      </c>
      <c r="B814" s="282" t="s">
        <v>403</v>
      </c>
      <c r="C814" s="282" t="s">
        <v>531</v>
      </c>
      <c r="D814" s="283">
        <v>2017</v>
      </c>
      <c r="E814" s="282" t="s">
        <v>650</v>
      </c>
      <c r="F814" s="284">
        <v>374</v>
      </c>
      <c r="G814" s="285">
        <v>82</v>
      </c>
      <c r="H814" s="288">
        <v>7</v>
      </c>
      <c r="I814" s="285">
        <v>75</v>
      </c>
      <c r="J814" s="285">
        <v>244</v>
      </c>
      <c r="K814" s="284">
        <v>7</v>
      </c>
      <c r="L814" s="284">
        <v>7</v>
      </c>
      <c r="M814" s="284">
        <v>0</v>
      </c>
      <c r="N814" s="284">
        <v>282</v>
      </c>
      <c r="O814" s="284">
        <v>20</v>
      </c>
      <c r="P814" s="284">
        <v>651</v>
      </c>
      <c r="Q814" s="286">
        <v>316</v>
      </c>
      <c r="R814" s="274">
        <v>1551</v>
      </c>
      <c r="S814" s="274">
        <v>425</v>
      </c>
      <c r="T814" s="287">
        <f t="shared" si="12"/>
        <v>2017</v>
      </c>
      <c r="U814" s="274">
        <f>VLOOKUP(A814,'[1]SB35 Determination Data'!$B$4:$F$542,5,FALSE)</f>
        <v>2016</v>
      </c>
    </row>
    <row r="815" spans="1:21" s="274" customFormat="1" ht="12.75" x14ac:dyDescent="0.2">
      <c r="A815" s="282" t="s">
        <v>559</v>
      </c>
      <c r="B815" s="282" t="s">
        <v>262</v>
      </c>
      <c r="C815" s="282" t="s">
        <v>649</v>
      </c>
      <c r="D815" s="283">
        <v>2017</v>
      </c>
      <c r="E815" s="282" t="s">
        <v>650</v>
      </c>
      <c r="F815" s="284">
        <v>205</v>
      </c>
      <c r="G815" s="285">
        <v>0</v>
      </c>
      <c r="H815" s="288">
        <v>0</v>
      </c>
      <c r="I815" s="285">
        <v>0</v>
      </c>
      <c r="J815" s="285">
        <v>123</v>
      </c>
      <c r="K815" s="284">
        <v>0</v>
      </c>
      <c r="L815" s="284">
        <v>0</v>
      </c>
      <c r="M815" s="284">
        <v>0</v>
      </c>
      <c r="N815" s="284">
        <v>137</v>
      </c>
      <c r="O815" s="284">
        <v>0</v>
      </c>
      <c r="P815" s="284">
        <v>350</v>
      </c>
      <c r="Q815" s="286">
        <v>14</v>
      </c>
      <c r="R815" s="274">
        <v>815</v>
      </c>
      <c r="S815" s="274">
        <v>14</v>
      </c>
      <c r="T815" s="287">
        <f t="shared" si="12"/>
        <v>2017</v>
      </c>
      <c r="U815" s="274">
        <f>VLOOKUP(A815,'[1]SB35 Determination Data'!$B$4:$F$542,5,FALSE)</f>
        <v>2014</v>
      </c>
    </row>
    <row r="816" spans="1:21" s="274" customFormat="1" ht="12.75" x14ac:dyDescent="0.2">
      <c r="A816" s="282" t="s">
        <v>560</v>
      </c>
      <c r="B816" s="282" t="s">
        <v>743</v>
      </c>
      <c r="C816" s="282" t="s">
        <v>649</v>
      </c>
      <c r="D816" s="283">
        <v>2014</v>
      </c>
      <c r="E816" s="282" t="s">
        <v>650</v>
      </c>
      <c r="F816" s="284">
        <v>289</v>
      </c>
      <c r="G816" s="285">
        <v>0</v>
      </c>
      <c r="H816" s="288">
        <v>0</v>
      </c>
      <c r="I816" s="285">
        <v>0</v>
      </c>
      <c r="J816" s="285">
        <v>197</v>
      </c>
      <c r="K816" s="284">
        <v>3</v>
      </c>
      <c r="L816" s="284">
        <v>3</v>
      </c>
      <c r="M816" s="284">
        <v>0</v>
      </c>
      <c r="N816" s="289">
        <v>216</v>
      </c>
      <c r="O816" s="284">
        <v>0</v>
      </c>
      <c r="P816" s="284">
        <v>462</v>
      </c>
      <c r="Q816" s="286">
        <v>159</v>
      </c>
      <c r="R816" s="274">
        <v>1164</v>
      </c>
      <c r="S816" s="274">
        <v>162</v>
      </c>
      <c r="T816" s="287">
        <f t="shared" si="12"/>
        <v>2014</v>
      </c>
      <c r="U816" s="274">
        <f>VLOOKUP(A816,'[1]SB35 Determination Data'!$B$4:$F$542,5,FALSE)</f>
        <v>2014</v>
      </c>
    </row>
    <row r="817" spans="1:21" s="274" customFormat="1" ht="12.75" x14ac:dyDescent="0.2">
      <c r="A817" s="282" t="s">
        <v>560</v>
      </c>
      <c r="B817" s="282" t="s">
        <v>743</v>
      </c>
      <c r="C817" s="282" t="s">
        <v>649</v>
      </c>
      <c r="D817" s="283">
        <v>2015</v>
      </c>
      <c r="E817" s="282" t="s">
        <v>650</v>
      </c>
      <c r="F817" s="284">
        <v>289</v>
      </c>
      <c r="G817" s="285">
        <v>5</v>
      </c>
      <c r="H817" s="288">
        <v>5</v>
      </c>
      <c r="I817" s="285">
        <v>0</v>
      </c>
      <c r="J817" s="285">
        <v>197</v>
      </c>
      <c r="K817" s="284">
        <v>15</v>
      </c>
      <c r="L817" s="284">
        <v>15</v>
      </c>
      <c r="M817" s="284">
        <v>0</v>
      </c>
      <c r="N817" s="284">
        <v>216</v>
      </c>
      <c r="O817" s="284">
        <v>9</v>
      </c>
      <c r="P817" s="284">
        <v>462</v>
      </c>
      <c r="Q817" s="286">
        <v>144</v>
      </c>
      <c r="R817" s="274">
        <v>1164</v>
      </c>
      <c r="S817" s="274">
        <v>173</v>
      </c>
      <c r="T817" s="287">
        <f t="shared" si="12"/>
        <v>2015</v>
      </c>
      <c r="U817" s="274">
        <f>VLOOKUP(A817,'[1]SB35 Determination Data'!$B$4:$F$542,5,FALSE)</f>
        <v>2014</v>
      </c>
    </row>
    <row r="818" spans="1:21" s="274" customFormat="1" ht="12.75" x14ac:dyDescent="0.2">
      <c r="A818" s="282" t="s">
        <v>560</v>
      </c>
      <c r="B818" s="282" t="s">
        <v>743</v>
      </c>
      <c r="C818" s="282" t="s">
        <v>649</v>
      </c>
      <c r="D818" s="283">
        <v>2016</v>
      </c>
      <c r="E818" s="282" t="s">
        <v>650</v>
      </c>
      <c r="F818" s="284">
        <v>289</v>
      </c>
      <c r="G818" s="285">
        <v>0</v>
      </c>
      <c r="H818" s="288">
        <v>0</v>
      </c>
      <c r="I818" s="285">
        <v>0</v>
      </c>
      <c r="J818" s="285">
        <v>197</v>
      </c>
      <c r="K818" s="284">
        <v>0</v>
      </c>
      <c r="L818" s="284">
        <v>0</v>
      </c>
      <c r="M818" s="284">
        <v>0</v>
      </c>
      <c r="N818" s="284">
        <v>216</v>
      </c>
      <c r="O818" s="284">
        <v>0</v>
      </c>
      <c r="P818" s="284">
        <v>462</v>
      </c>
      <c r="Q818" s="286">
        <v>88</v>
      </c>
      <c r="R818" s="274">
        <v>1164</v>
      </c>
      <c r="S818" s="274">
        <v>88</v>
      </c>
      <c r="T818" s="287">
        <f t="shared" si="12"/>
        <v>2016</v>
      </c>
      <c r="U818" s="274">
        <f>VLOOKUP(A818,'[1]SB35 Determination Data'!$B$4:$F$542,5,FALSE)</f>
        <v>2014</v>
      </c>
    </row>
    <row r="819" spans="1:21" s="274" customFormat="1" ht="12.75" x14ac:dyDescent="0.2">
      <c r="A819" s="282" t="s">
        <v>560</v>
      </c>
      <c r="B819" s="282" t="s">
        <v>743</v>
      </c>
      <c r="C819" s="282" t="s">
        <v>649</v>
      </c>
      <c r="D819" s="283">
        <v>2017</v>
      </c>
      <c r="E819" s="282" t="s">
        <v>650</v>
      </c>
      <c r="F819" s="284">
        <v>289</v>
      </c>
      <c r="G819" s="285">
        <v>0</v>
      </c>
      <c r="H819" s="288">
        <v>0</v>
      </c>
      <c r="I819" s="285">
        <v>0</v>
      </c>
      <c r="J819" s="285">
        <v>197</v>
      </c>
      <c r="K819" s="284">
        <v>0</v>
      </c>
      <c r="L819" s="284">
        <v>0</v>
      </c>
      <c r="M819" s="284">
        <v>0</v>
      </c>
      <c r="N819" s="289">
        <v>216</v>
      </c>
      <c r="O819" s="284">
        <v>0</v>
      </c>
      <c r="P819" s="284">
        <v>462</v>
      </c>
      <c r="Q819" s="286">
        <v>88</v>
      </c>
      <c r="R819" s="274">
        <v>1164</v>
      </c>
      <c r="S819" s="274">
        <v>88</v>
      </c>
      <c r="T819" s="287">
        <f t="shared" si="12"/>
        <v>2017</v>
      </c>
      <c r="U819" s="274">
        <f>VLOOKUP(A819,'[1]SB35 Determination Data'!$B$4:$F$542,5,FALSE)</f>
        <v>2014</v>
      </c>
    </row>
    <row r="820" spans="1:21" s="274" customFormat="1" ht="12.75" x14ac:dyDescent="0.2">
      <c r="A820" s="282" t="s">
        <v>293</v>
      </c>
      <c r="B820" s="282" t="s">
        <v>120</v>
      </c>
      <c r="C820" s="282" t="s">
        <v>654</v>
      </c>
      <c r="D820" s="283">
        <v>2014</v>
      </c>
      <c r="E820" s="282" t="s">
        <v>650</v>
      </c>
      <c r="F820" s="284">
        <v>75</v>
      </c>
      <c r="G820" s="285">
        <v>0</v>
      </c>
      <c r="H820" s="288">
        <v>0</v>
      </c>
      <c r="I820" s="285">
        <v>0</v>
      </c>
      <c r="J820" s="285">
        <v>44</v>
      </c>
      <c r="K820" s="284">
        <v>0</v>
      </c>
      <c r="L820" s="284">
        <v>0</v>
      </c>
      <c r="M820" s="284">
        <v>0</v>
      </c>
      <c r="N820" s="284">
        <v>50</v>
      </c>
      <c r="O820" s="284">
        <v>0</v>
      </c>
      <c r="P820" s="284">
        <v>60</v>
      </c>
      <c r="Q820" s="286">
        <v>0</v>
      </c>
      <c r="R820" s="274">
        <v>229</v>
      </c>
      <c r="S820" s="274">
        <v>0</v>
      </c>
      <c r="T820" s="287">
        <f t="shared" si="12"/>
        <v>2015</v>
      </c>
      <c r="U820" s="274">
        <f>VLOOKUP(A820,'[1]SB35 Determination Data'!$B$4:$F$542,5,FALSE)</f>
        <v>2015</v>
      </c>
    </row>
    <row r="821" spans="1:21" s="274" customFormat="1" ht="12.75" x14ac:dyDescent="0.2">
      <c r="A821" s="282" t="s">
        <v>293</v>
      </c>
      <c r="B821" s="282" t="s">
        <v>120</v>
      </c>
      <c r="C821" s="282" t="s">
        <v>654</v>
      </c>
      <c r="D821" s="283">
        <v>2015</v>
      </c>
      <c r="E821" s="282" t="s">
        <v>650</v>
      </c>
      <c r="F821" s="284">
        <v>75</v>
      </c>
      <c r="G821" s="285">
        <v>0</v>
      </c>
      <c r="H821" s="288">
        <v>0</v>
      </c>
      <c r="I821" s="285">
        <v>0</v>
      </c>
      <c r="J821" s="285">
        <v>44</v>
      </c>
      <c r="K821" s="284">
        <v>0</v>
      </c>
      <c r="L821" s="284">
        <v>0</v>
      </c>
      <c r="M821" s="284">
        <v>0</v>
      </c>
      <c r="N821" s="284">
        <v>50</v>
      </c>
      <c r="O821" s="284">
        <v>0</v>
      </c>
      <c r="P821" s="284">
        <v>60</v>
      </c>
      <c r="Q821" s="286">
        <v>8</v>
      </c>
      <c r="R821" s="274">
        <v>229</v>
      </c>
      <c r="S821" s="274">
        <v>8</v>
      </c>
      <c r="T821" s="287">
        <f t="shared" si="12"/>
        <v>2015</v>
      </c>
      <c r="U821" s="274">
        <f>VLOOKUP(A821,'[1]SB35 Determination Data'!$B$4:$F$542,5,FALSE)</f>
        <v>2015</v>
      </c>
    </row>
    <row r="822" spans="1:21" s="274" customFormat="1" ht="12.75" x14ac:dyDescent="0.2">
      <c r="A822" s="282" t="s">
        <v>293</v>
      </c>
      <c r="B822" s="282" t="s">
        <v>120</v>
      </c>
      <c r="C822" s="282" t="s">
        <v>654</v>
      </c>
      <c r="D822" s="283">
        <v>2016</v>
      </c>
      <c r="E822" s="282" t="s">
        <v>650</v>
      </c>
      <c r="F822" s="284">
        <v>75</v>
      </c>
      <c r="G822" s="285">
        <v>0</v>
      </c>
      <c r="H822" s="288">
        <v>0</v>
      </c>
      <c r="I822" s="285">
        <v>0</v>
      </c>
      <c r="J822" s="285">
        <v>44</v>
      </c>
      <c r="K822" s="284">
        <v>0</v>
      </c>
      <c r="L822" s="284">
        <v>0</v>
      </c>
      <c r="M822" s="284">
        <v>0</v>
      </c>
      <c r="N822" s="284">
        <v>50</v>
      </c>
      <c r="O822" s="284">
        <v>0</v>
      </c>
      <c r="P822" s="284">
        <v>60</v>
      </c>
      <c r="Q822" s="286">
        <v>35</v>
      </c>
      <c r="R822" s="274">
        <v>229</v>
      </c>
      <c r="S822" s="274">
        <v>35</v>
      </c>
      <c r="T822" s="287">
        <f t="shared" si="12"/>
        <v>2016</v>
      </c>
      <c r="U822" s="274">
        <f>VLOOKUP(A822,'[1]SB35 Determination Data'!$B$4:$F$542,5,FALSE)</f>
        <v>2015</v>
      </c>
    </row>
    <row r="823" spans="1:21" s="274" customFormat="1" ht="12.75" x14ac:dyDescent="0.2">
      <c r="A823" s="282" t="s">
        <v>293</v>
      </c>
      <c r="B823" s="282" t="s">
        <v>120</v>
      </c>
      <c r="C823" s="282" t="s">
        <v>654</v>
      </c>
      <c r="D823" s="283">
        <v>2017</v>
      </c>
      <c r="E823" s="282" t="s">
        <v>650</v>
      </c>
      <c r="F823" s="284">
        <v>75</v>
      </c>
      <c r="G823" s="285">
        <v>0</v>
      </c>
      <c r="H823" s="288">
        <v>0</v>
      </c>
      <c r="I823" s="285">
        <v>0</v>
      </c>
      <c r="J823" s="285">
        <v>44</v>
      </c>
      <c r="K823" s="284">
        <v>0</v>
      </c>
      <c r="L823" s="284">
        <v>0</v>
      </c>
      <c r="M823" s="284">
        <v>0</v>
      </c>
      <c r="N823" s="289">
        <v>50</v>
      </c>
      <c r="O823" s="284">
        <v>0</v>
      </c>
      <c r="P823" s="284">
        <v>60</v>
      </c>
      <c r="Q823" s="286">
        <v>31</v>
      </c>
      <c r="R823" s="274">
        <v>229</v>
      </c>
      <c r="S823" s="274">
        <v>31</v>
      </c>
      <c r="T823" s="287">
        <f t="shared" si="12"/>
        <v>2017</v>
      </c>
      <c r="U823" s="274">
        <f>VLOOKUP(A823,'[1]SB35 Determination Data'!$B$4:$F$542,5,FALSE)</f>
        <v>2015</v>
      </c>
    </row>
    <row r="824" spans="1:21" s="274" customFormat="1" ht="12.75" x14ac:dyDescent="0.2">
      <c r="A824" s="282" t="s">
        <v>561</v>
      </c>
      <c r="B824" s="282" t="s">
        <v>481</v>
      </c>
      <c r="C824" s="282" t="s">
        <v>649</v>
      </c>
      <c r="D824" s="283">
        <v>2014</v>
      </c>
      <c r="E824" s="282" t="s">
        <v>650</v>
      </c>
      <c r="F824" s="284">
        <v>1500</v>
      </c>
      <c r="G824" s="285">
        <v>0</v>
      </c>
      <c r="H824" s="288">
        <v>0</v>
      </c>
      <c r="I824" s="285">
        <v>0</v>
      </c>
      <c r="J824" s="285">
        <v>993</v>
      </c>
      <c r="K824" s="284">
        <v>0</v>
      </c>
      <c r="L824" s="284">
        <v>0</v>
      </c>
      <c r="M824" s="284">
        <v>0</v>
      </c>
      <c r="N824" s="284">
        <v>1112</v>
      </c>
      <c r="O824" s="284">
        <v>0</v>
      </c>
      <c r="P824" s="284">
        <v>2564</v>
      </c>
      <c r="Q824" s="286">
        <v>93</v>
      </c>
      <c r="R824" s="274">
        <v>6169</v>
      </c>
      <c r="S824" s="274">
        <v>93</v>
      </c>
      <c r="T824" s="287">
        <f t="shared" si="12"/>
        <v>2014</v>
      </c>
      <c r="U824" s="274">
        <f>VLOOKUP(A824,'[1]SB35 Determination Data'!$B$4:$F$542,5,FALSE)</f>
        <v>2014</v>
      </c>
    </row>
    <row r="825" spans="1:21" s="274" customFormat="1" ht="12.75" x14ac:dyDescent="0.2">
      <c r="A825" s="282" t="s">
        <v>561</v>
      </c>
      <c r="B825" s="282" t="s">
        <v>481</v>
      </c>
      <c r="C825" s="282" t="s">
        <v>649</v>
      </c>
      <c r="D825" s="283">
        <v>2015</v>
      </c>
      <c r="E825" s="282" t="s">
        <v>650</v>
      </c>
      <c r="F825" s="284">
        <v>1500</v>
      </c>
      <c r="G825" s="285">
        <v>0</v>
      </c>
      <c r="H825" s="288">
        <v>0</v>
      </c>
      <c r="I825" s="285">
        <v>0</v>
      </c>
      <c r="J825" s="285">
        <v>993</v>
      </c>
      <c r="K825" s="284">
        <v>0</v>
      </c>
      <c r="L825" s="284">
        <v>0</v>
      </c>
      <c r="M825" s="284">
        <v>0</v>
      </c>
      <c r="N825" s="284">
        <v>1112</v>
      </c>
      <c r="O825" s="284">
        <v>0</v>
      </c>
      <c r="P825" s="284">
        <v>2564</v>
      </c>
      <c r="Q825" s="286">
        <v>103</v>
      </c>
      <c r="R825" s="274">
        <v>6169</v>
      </c>
      <c r="S825" s="274">
        <v>103</v>
      </c>
      <c r="T825" s="287">
        <f t="shared" si="12"/>
        <v>2015</v>
      </c>
      <c r="U825" s="274">
        <f>VLOOKUP(A825,'[1]SB35 Determination Data'!$B$4:$F$542,5,FALSE)</f>
        <v>2014</v>
      </c>
    </row>
    <row r="826" spans="1:21" s="274" customFormat="1" ht="12.75" x14ac:dyDescent="0.2">
      <c r="A826" s="282" t="s">
        <v>561</v>
      </c>
      <c r="B826" s="282" t="s">
        <v>481</v>
      </c>
      <c r="C826" s="282" t="s">
        <v>649</v>
      </c>
      <c r="D826" s="283">
        <v>2016</v>
      </c>
      <c r="E826" s="282" t="s">
        <v>650</v>
      </c>
      <c r="F826" s="284">
        <v>1500</v>
      </c>
      <c r="G826" s="285">
        <v>0</v>
      </c>
      <c r="H826" s="288">
        <v>0</v>
      </c>
      <c r="I826" s="285">
        <v>0</v>
      </c>
      <c r="J826" s="285">
        <v>993</v>
      </c>
      <c r="K826" s="284">
        <v>0</v>
      </c>
      <c r="L826" s="284">
        <v>0</v>
      </c>
      <c r="M826" s="284">
        <v>0</v>
      </c>
      <c r="N826" s="284">
        <v>1112</v>
      </c>
      <c r="O826" s="284">
        <v>0</v>
      </c>
      <c r="P826" s="284">
        <v>2564</v>
      </c>
      <c r="Q826" s="286">
        <v>0</v>
      </c>
      <c r="R826" s="274">
        <v>6169</v>
      </c>
      <c r="S826" s="274">
        <v>0</v>
      </c>
      <c r="T826" s="287">
        <f t="shared" si="12"/>
        <v>2016</v>
      </c>
      <c r="U826" s="274">
        <f>VLOOKUP(A826,'[1]SB35 Determination Data'!$B$4:$F$542,5,FALSE)</f>
        <v>2014</v>
      </c>
    </row>
    <row r="827" spans="1:21" s="274" customFormat="1" ht="12.75" x14ac:dyDescent="0.2">
      <c r="A827" s="282" t="s">
        <v>561</v>
      </c>
      <c r="B827" s="282" t="s">
        <v>481</v>
      </c>
      <c r="C827" s="282" t="s">
        <v>649</v>
      </c>
      <c r="D827" s="283">
        <v>2017</v>
      </c>
      <c r="E827" s="282" t="s">
        <v>650</v>
      </c>
      <c r="F827" s="284">
        <v>1500</v>
      </c>
      <c r="G827" s="285">
        <v>0</v>
      </c>
      <c r="H827" s="288">
        <v>0</v>
      </c>
      <c r="I827" s="285">
        <v>0</v>
      </c>
      <c r="J827" s="285">
        <v>993</v>
      </c>
      <c r="K827" s="284">
        <v>0</v>
      </c>
      <c r="L827" s="284">
        <v>0</v>
      </c>
      <c r="M827" s="284">
        <v>0</v>
      </c>
      <c r="N827" s="284">
        <v>1112</v>
      </c>
      <c r="O827" s="284">
        <v>84</v>
      </c>
      <c r="P827" s="284">
        <v>2564</v>
      </c>
      <c r="Q827" s="286">
        <v>341</v>
      </c>
      <c r="R827" s="274">
        <v>6169</v>
      </c>
      <c r="S827" s="274">
        <v>425</v>
      </c>
      <c r="T827" s="287">
        <f t="shared" si="12"/>
        <v>2017</v>
      </c>
      <c r="U827" s="274">
        <f>VLOOKUP(A827,'[1]SB35 Determination Data'!$B$4:$F$542,5,FALSE)</f>
        <v>2014</v>
      </c>
    </row>
    <row r="828" spans="1:21" s="274" customFormat="1" ht="12.75" x14ac:dyDescent="0.2">
      <c r="A828" s="282" t="s">
        <v>562</v>
      </c>
      <c r="B828" s="282" t="s">
        <v>614</v>
      </c>
      <c r="C828" s="282" t="s">
        <v>654</v>
      </c>
      <c r="D828" s="283">
        <v>2015</v>
      </c>
      <c r="E828" s="282" t="s">
        <v>650</v>
      </c>
      <c r="F828" s="284">
        <v>273</v>
      </c>
      <c r="G828" s="285">
        <v>12</v>
      </c>
      <c r="H828" s="288">
        <v>12</v>
      </c>
      <c r="I828" s="285">
        <v>0</v>
      </c>
      <c r="J828" s="285">
        <v>154</v>
      </c>
      <c r="K828" s="284">
        <v>118</v>
      </c>
      <c r="L828" s="284">
        <v>118</v>
      </c>
      <c r="M828" s="284">
        <v>0</v>
      </c>
      <c r="N828" s="284">
        <v>185</v>
      </c>
      <c r="O828" s="284">
        <v>107</v>
      </c>
      <c r="P828" s="284">
        <v>316</v>
      </c>
      <c r="Q828" s="286">
        <v>647</v>
      </c>
      <c r="R828" s="274">
        <v>928</v>
      </c>
      <c r="S828" s="274">
        <v>884</v>
      </c>
      <c r="T828" s="287">
        <f t="shared" si="12"/>
        <v>2015</v>
      </c>
      <c r="U828" s="274">
        <f>VLOOKUP(A828,'[1]SB35 Determination Data'!$B$4:$F$542,5,FALSE)</f>
        <v>2015</v>
      </c>
    </row>
    <row r="829" spans="1:21" s="274" customFormat="1" ht="12.75" x14ac:dyDescent="0.2">
      <c r="A829" s="282" t="s">
        <v>562</v>
      </c>
      <c r="B829" s="282" t="s">
        <v>614</v>
      </c>
      <c r="C829" s="282" t="s">
        <v>654</v>
      </c>
      <c r="D829" s="283">
        <v>2016</v>
      </c>
      <c r="E829" s="282" t="s">
        <v>650</v>
      </c>
      <c r="F829" s="284">
        <v>273</v>
      </c>
      <c r="G829" s="285">
        <v>29</v>
      </c>
      <c r="H829" s="288">
        <v>29</v>
      </c>
      <c r="I829" s="285">
        <v>0</v>
      </c>
      <c r="J829" s="285">
        <v>154</v>
      </c>
      <c r="K829" s="284">
        <v>23</v>
      </c>
      <c r="L829" s="284">
        <v>23</v>
      </c>
      <c r="M829" s="284">
        <v>0</v>
      </c>
      <c r="N829" s="284">
        <v>185</v>
      </c>
      <c r="O829" s="284">
        <v>6</v>
      </c>
      <c r="P829" s="284">
        <v>316</v>
      </c>
      <c r="Q829" s="286">
        <v>219</v>
      </c>
      <c r="R829" s="274">
        <v>928</v>
      </c>
      <c r="S829" s="274">
        <v>277</v>
      </c>
      <c r="T829" s="287">
        <f t="shared" si="12"/>
        <v>2016</v>
      </c>
      <c r="U829" s="274">
        <f>VLOOKUP(A829,'[1]SB35 Determination Data'!$B$4:$F$542,5,FALSE)</f>
        <v>2015</v>
      </c>
    </row>
    <row r="830" spans="1:21" s="274" customFormat="1" ht="12.75" x14ac:dyDescent="0.2">
      <c r="A830" s="282" t="s">
        <v>562</v>
      </c>
      <c r="B830" s="282" t="s">
        <v>614</v>
      </c>
      <c r="C830" s="282" t="s">
        <v>654</v>
      </c>
      <c r="D830" s="283">
        <v>2017</v>
      </c>
      <c r="E830" s="282" t="s">
        <v>650</v>
      </c>
      <c r="F830" s="284">
        <v>273</v>
      </c>
      <c r="G830" s="285">
        <v>0</v>
      </c>
      <c r="H830" s="288">
        <v>0</v>
      </c>
      <c r="I830" s="285">
        <v>0</v>
      </c>
      <c r="J830" s="285">
        <v>154</v>
      </c>
      <c r="K830" s="284">
        <v>13</v>
      </c>
      <c r="L830" s="284">
        <v>13</v>
      </c>
      <c r="M830" s="284">
        <v>0</v>
      </c>
      <c r="N830" s="284">
        <v>185</v>
      </c>
      <c r="O830" s="284">
        <v>9</v>
      </c>
      <c r="P830" s="284">
        <v>316</v>
      </c>
      <c r="Q830" s="286">
        <v>192</v>
      </c>
      <c r="R830" s="274">
        <v>928</v>
      </c>
      <c r="S830" s="274">
        <v>214</v>
      </c>
      <c r="T830" s="287">
        <f t="shared" si="12"/>
        <v>2017</v>
      </c>
      <c r="U830" s="274">
        <f>VLOOKUP(A830,'[1]SB35 Determination Data'!$B$4:$F$542,5,FALSE)</f>
        <v>2015</v>
      </c>
    </row>
    <row r="831" spans="1:21" s="274" customFormat="1" ht="12.75" x14ac:dyDescent="0.2">
      <c r="A831" s="282" t="s">
        <v>564</v>
      </c>
      <c r="B831" s="282" t="s">
        <v>651</v>
      </c>
      <c r="C831" s="282" t="s">
        <v>660</v>
      </c>
      <c r="D831" s="283">
        <v>2014</v>
      </c>
      <c r="E831" s="282" t="s">
        <v>650</v>
      </c>
      <c r="F831" s="284">
        <v>11</v>
      </c>
      <c r="G831" s="285">
        <v>0</v>
      </c>
      <c r="H831" s="288">
        <v>0</v>
      </c>
      <c r="I831" s="285">
        <v>0</v>
      </c>
      <c r="J831" s="285">
        <v>7</v>
      </c>
      <c r="K831" s="284">
        <v>0</v>
      </c>
      <c r="L831" s="284">
        <v>0</v>
      </c>
      <c r="M831" s="284">
        <v>0</v>
      </c>
      <c r="N831" s="284">
        <v>8</v>
      </c>
      <c r="O831" s="284">
        <v>0</v>
      </c>
      <c r="P831" s="284">
        <v>19</v>
      </c>
      <c r="Q831" s="286">
        <v>1</v>
      </c>
      <c r="R831" s="274">
        <v>45</v>
      </c>
      <c r="S831" s="274">
        <v>1</v>
      </c>
      <c r="T831" s="287">
        <f t="shared" si="12"/>
        <v>2014</v>
      </c>
      <c r="U831" s="274">
        <f>VLOOKUP(A831,'[1]SB35 Determination Data'!$B$4:$F$542,5,FALSE)</f>
        <v>2014</v>
      </c>
    </row>
    <row r="832" spans="1:21" s="274" customFormat="1" ht="12.75" x14ac:dyDescent="0.2">
      <c r="A832" s="282" t="s">
        <v>565</v>
      </c>
      <c r="B832" s="282" t="s">
        <v>614</v>
      </c>
      <c r="C832" s="282" t="s">
        <v>654</v>
      </c>
      <c r="D832" s="283">
        <v>2014</v>
      </c>
      <c r="E832" s="282" t="s">
        <v>650</v>
      </c>
      <c r="F832" s="284">
        <v>814</v>
      </c>
      <c r="G832" s="285">
        <v>26</v>
      </c>
      <c r="H832" s="288">
        <v>26</v>
      </c>
      <c r="I832" s="285">
        <v>0</v>
      </c>
      <c r="J832" s="285">
        <v>492</v>
      </c>
      <c r="K832" s="284">
        <v>19</v>
      </c>
      <c r="L832" s="284">
        <v>18</v>
      </c>
      <c r="M832" s="284">
        <v>1</v>
      </c>
      <c r="N832" s="284">
        <v>527</v>
      </c>
      <c r="O832" s="284">
        <v>0</v>
      </c>
      <c r="P832" s="284">
        <v>1093</v>
      </c>
      <c r="Q832" s="286">
        <v>598</v>
      </c>
      <c r="R832" s="274">
        <v>2926</v>
      </c>
      <c r="S832" s="274">
        <v>643</v>
      </c>
      <c r="T832" s="287">
        <f t="shared" si="12"/>
        <v>2015</v>
      </c>
      <c r="U832" s="274">
        <f>VLOOKUP(A832,'[1]SB35 Determination Data'!$B$4:$F$542,5,FALSE)</f>
        <v>2015</v>
      </c>
    </row>
    <row r="833" spans="1:21" s="274" customFormat="1" ht="12.75" x14ac:dyDescent="0.2">
      <c r="A833" s="282" t="s">
        <v>565</v>
      </c>
      <c r="B833" s="282" t="s">
        <v>614</v>
      </c>
      <c r="C833" s="282" t="s">
        <v>654</v>
      </c>
      <c r="D833" s="283">
        <v>2015</v>
      </c>
      <c r="E833" s="282" t="s">
        <v>650</v>
      </c>
      <c r="F833" s="284">
        <v>814</v>
      </c>
      <c r="G833" s="285">
        <v>0</v>
      </c>
      <c r="H833" s="288">
        <v>0</v>
      </c>
      <c r="I833" s="285">
        <v>0</v>
      </c>
      <c r="J833" s="285">
        <v>492</v>
      </c>
      <c r="K833" s="284">
        <v>9</v>
      </c>
      <c r="L833" s="284">
        <v>9</v>
      </c>
      <c r="M833" s="284">
        <v>0</v>
      </c>
      <c r="N833" s="284">
        <v>527</v>
      </c>
      <c r="O833" s="284">
        <v>0</v>
      </c>
      <c r="P833" s="284">
        <v>1093</v>
      </c>
      <c r="Q833" s="286">
        <v>278</v>
      </c>
      <c r="R833" s="274">
        <v>2926</v>
      </c>
      <c r="S833" s="274">
        <v>287</v>
      </c>
      <c r="T833" s="287">
        <f t="shared" si="12"/>
        <v>2015</v>
      </c>
      <c r="U833" s="274">
        <f>VLOOKUP(A833,'[1]SB35 Determination Data'!$B$4:$F$542,5,FALSE)</f>
        <v>2015</v>
      </c>
    </row>
    <row r="834" spans="1:21" s="274" customFormat="1" ht="12.75" x14ac:dyDescent="0.2">
      <c r="A834" s="282" t="s">
        <v>565</v>
      </c>
      <c r="B834" s="282" t="s">
        <v>614</v>
      </c>
      <c r="C834" s="282" t="s">
        <v>654</v>
      </c>
      <c r="D834" s="283">
        <v>2016</v>
      </c>
      <c r="E834" s="282" t="s">
        <v>650</v>
      </c>
      <c r="F834" s="284">
        <v>814</v>
      </c>
      <c r="G834" s="285">
        <v>17</v>
      </c>
      <c r="H834" s="288">
        <v>17</v>
      </c>
      <c r="I834" s="285">
        <v>0</v>
      </c>
      <c r="J834" s="285">
        <v>492</v>
      </c>
      <c r="K834" s="284">
        <v>109</v>
      </c>
      <c r="L834" s="284">
        <v>109</v>
      </c>
      <c r="M834" s="284">
        <v>0</v>
      </c>
      <c r="N834" s="289">
        <v>527</v>
      </c>
      <c r="O834" s="284">
        <v>0</v>
      </c>
      <c r="P834" s="284">
        <v>1093</v>
      </c>
      <c r="Q834" s="286">
        <v>376</v>
      </c>
      <c r="R834" s="274">
        <v>2926</v>
      </c>
      <c r="S834" s="274">
        <v>502</v>
      </c>
      <c r="T834" s="287">
        <f t="shared" si="12"/>
        <v>2016</v>
      </c>
      <c r="U834" s="274">
        <f>VLOOKUP(A834,'[1]SB35 Determination Data'!$B$4:$F$542,5,FALSE)</f>
        <v>2015</v>
      </c>
    </row>
    <row r="835" spans="1:21" s="274" customFormat="1" ht="12.75" x14ac:dyDescent="0.2">
      <c r="A835" s="282" t="s">
        <v>565</v>
      </c>
      <c r="B835" s="282" t="s">
        <v>614</v>
      </c>
      <c r="C835" s="282" t="s">
        <v>654</v>
      </c>
      <c r="D835" s="283">
        <v>2017</v>
      </c>
      <c r="E835" s="282" t="s">
        <v>650</v>
      </c>
      <c r="F835" s="284">
        <v>814</v>
      </c>
      <c r="G835" s="285">
        <v>98</v>
      </c>
      <c r="H835" s="288">
        <v>98</v>
      </c>
      <c r="I835" s="285">
        <v>0</v>
      </c>
      <c r="J835" s="285">
        <v>492</v>
      </c>
      <c r="K835" s="284">
        <v>23</v>
      </c>
      <c r="L835" s="284">
        <v>23</v>
      </c>
      <c r="M835" s="284">
        <v>0</v>
      </c>
      <c r="N835" s="284">
        <v>527</v>
      </c>
      <c r="O835" s="284">
        <v>0</v>
      </c>
      <c r="P835" s="284">
        <v>1093</v>
      </c>
      <c r="Q835" s="286">
        <v>1418</v>
      </c>
      <c r="R835" s="274">
        <v>2926</v>
      </c>
      <c r="S835" s="274">
        <v>1539</v>
      </c>
      <c r="T835" s="287">
        <f t="shared" si="12"/>
        <v>2017</v>
      </c>
      <c r="U835" s="274">
        <f>VLOOKUP(A835,'[1]SB35 Determination Data'!$B$4:$F$542,5,FALSE)</f>
        <v>2015</v>
      </c>
    </row>
    <row r="836" spans="1:21" s="274" customFormat="1" ht="12.75" x14ac:dyDescent="0.2">
      <c r="A836" s="282" t="s">
        <v>566</v>
      </c>
      <c r="B836" s="282" t="s">
        <v>481</v>
      </c>
      <c r="C836" s="282" t="s">
        <v>649</v>
      </c>
      <c r="D836" s="283">
        <v>2014</v>
      </c>
      <c r="E836" s="282" t="s">
        <v>650</v>
      </c>
      <c r="F836" s="284">
        <v>395</v>
      </c>
      <c r="G836" s="285">
        <v>0</v>
      </c>
      <c r="H836" s="288">
        <v>0</v>
      </c>
      <c r="I836" s="285">
        <v>0</v>
      </c>
      <c r="J836" s="285">
        <v>262</v>
      </c>
      <c r="K836" s="284">
        <v>0</v>
      </c>
      <c r="L836" s="284">
        <v>0</v>
      </c>
      <c r="M836" s="284">
        <v>0</v>
      </c>
      <c r="N836" s="284">
        <v>289</v>
      </c>
      <c r="O836" s="284">
        <v>0</v>
      </c>
      <c r="P836" s="284">
        <v>627</v>
      </c>
      <c r="Q836" s="286">
        <v>9</v>
      </c>
      <c r="R836" s="274">
        <v>1573</v>
      </c>
      <c r="S836" s="274">
        <v>9</v>
      </c>
      <c r="T836" s="287">
        <f t="shared" ref="T836:T899" si="13">IF(D836&gt;U836,D836,U836)</f>
        <v>2014</v>
      </c>
      <c r="U836" s="274">
        <f>VLOOKUP(A836,'[1]SB35 Determination Data'!$B$4:$F$542,5,FALSE)</f>
        <v>2014</v>
      </c>
    </row>
    <row r="837" spans="1:21" s="274" customFormat="1" ht="12.75" x14ac:dyDescent="0.2">
      <c r="A837" s="282" t="s">
        <v>566</v>
      </c>
      <c r="B837" s="282" t="s">
        <v>481</v>
      </c>
      <c r="C837" s="282" t="s">
        <v>649</v>
      </c>
      <c r="D837" s="283">
        <v>2015</v>
      </c>
      <c r="E837" s="282" t="s">
        <v>650</v>
      </c>
      <c r="F837" s="284">
        <v>395</v>
      </c>
      <c r="G837" s="285">
        <v>0</v>
      </c>
      <c r="H837" s="288">
        <v>0</v>
      </c>
      <c r="I837" s="285">
        <v>0</v>
      </c>
      <c r="J837" s="285">
        <v>262</v>
      </c>
      <c r="K837" s="284">
        <v>0</v>
      </c>
      <c r="L837" s="284">
        <v>0</v>
      </c>
      <c r="M837" s="284">
        <v>0</v>
      </c>
      <c r="N837" s="284">
        <v>289</v>
      </c>
      <c r="O837" s="284">
        <v>0</v>
      </c>
      <c r="P837" s="284">
        <v>627</v>
      </c>
      <c r="Q837" s="286">
        <v>93</v>
      </c>
      <c r="R837" s="274">
        <v>1573</v>
      </c>
      <c r="S837" s="274">
        <v>93</v>
      </c>
      <c r="T837" s="287">
        <f t="shared" si="13"/>
        <v>2015</v>
      </c>
      <c r="U837" s="274">
        <f>VLOOKUP(A837,'[1]SB35 Determination Data'!$B$4:$F$542,5,FALSE)</f>
        <v>2014</v>
      </c>
    </row>
    <row r="838" spans="1:21" s="274" customFormat="1" ht="12.75" x14ac:dyDescent="0.2">
      <c r="A838" s="282" t="s">
        <v>566</v>
      </c>
      <c r="B838" s="282" t="s">
        <v>481</v>
      </c>
      <c r="C838" s="282" t="s">
        <v>649</v>
      </c>
      <c r="D838" s="283">
        <v>2016</v>
      </c>
      <c r="E838" s="282" t="s">
        <v>650</v>
      </c>
      <c r="F838" s="284">
        <v>395</v>
      </c>
      <c r="G838" s="285">
        <v>0</v>
      </c>
      <c r="H838" s="288">
        <v>0</v>
      </c>
      <c r="I838" s="285">
        <v>0</v>
      </c>
      <c r="J838" s="285">
        <v>262</v>
      </c>
      <c r="K838" s="284">
        <v>0</v>
      </c>
      <c r="L838" s="284">
        <v>0</v>
      </c>
      <c r="M838" s="284">
        <v>0</v>
      </c>
      <c r="N838" s="284">
        <v>289</v>
      </c>
      <c r="O838" s="284">
        <v>0</v>
      </c>
      <c r="P838" s="284">
        <v>627</v>
      </c>
      <c r="Q838" s="286">
        <v>559</v>
      </c>
      <c r="R838" s="274">
        <v>1573</v>
      </c>
      <c r="S838" s="274">
        <v>559</v>
      </c>
      <c r="T838" s="287">
        <f t="shared" si="13"/>
        <v>2016</v>
      </c>
      <c r="U838" s="274">
        <f>VLOOKUP(A838,'[1]SB35 Determination Data'!$B$4:$F$542,5,FALSE)</f>
        <v>2014</v>
      </c>
    </row>
    <row r="839" spans="1:21" s="274" customFormat="1" ht="12.75" x14ac:dyDescent="0.2">
      <c r="A839" s="282" t="s">
        <v>566</v>
      </c>
      <c r="B839" s="282" t="s">
        <v>481</v>
      </c>
      <c r="C839" s="282" t="s">
        <v>649</v>
      </c>
      <c r="D839" s="283">
        <v>2017</v>
      </c>
      <c r="E839" s="282" t="s">
        <v>650</v>
      </c>
      <c r="F839" s="284">
        <v>395</v>
      </c>
      <c r="G839" s="285">
        <v>0</v>
      </c>
      <c r="H839" s="288">
        <v>0</v>
      </c>
      <c r="I839" s="285">
        <v>0</v>
      </c>
      <c r="J839" s="285">
        <v>262</v>
      </c>
      <c r="K839" s="284">
        <v>0</v>
      </c>
      <c r="L839" s="284">
        <v>0</v>
      </c>
      <c r="M839" s="284">
        <v>0</v>
      </c>
      <c r="N839" s="284">
        <v>289</v>
      </c>
      <c r="O839" s="284">
        <v>0</v>
      </c>
      <c r="P839" s="284">
        <v>627</v>
      </c>
      <c r="Q839" s="286">
        <v>225</v>
      </c>
      <c r="R839" s="274">
        <v>1573</v>
      </c>
      <c r="S839" s="274">
        <v>225</v>
      </c>
      <c r="T839" s="287">
        <f t="shared" si="13"/>
        <v>2017</v>
      </c>
      <c r="U839" s="274">
        <f>VLOOKUP(A839,'[1]SB35 Determination Data'!$B$4:$F$542,5,FALSE)</f>
        <v>2014</v>
      </c>
    </row>
    <row r="840" spans="1:21" s="274" customFormat="1" ht="12.75" x14ac:dyDescent="0.2">
      <c r="A840" s="282" t="s">
        <v>411</v>
      </c>
      <c r="B840" s="282" t="s">
        <v>411</v>
      </c>
      <c r="C840" s="282" t="s">
        <v>654</v>
      </c>
      <c r="D840" s="283">
        <v>2015</v>
      </c>
      <c r="E840" s="282" t="s">
        <v>650</v>
      </c>
      <c r="F840" s="284">
        <v>185</v>
      </c>
      <c r="G840" s="285">
        <v>0</v>
      </c>
      <c r="H840" s="288">
        <v>0</v>
      </c>
      <c r="I840" s="285">
        <v>0</v>
      </c>
      <c r="J840" s="285">
        <v>106</v>
      </c>
      <c r="K840" s="284">
        <v>0</v>
      </c>
      <c r="L840" s="284">
        <v>0</v>
      </c>
      <c r="M840" s="284">
        <v>0</v>
      </c>
      <c r="N840" s="284">
        <v>141</v>
      </c>
      <c r="O840" s="284">
        <v>0</v>
      </c>
      <c r="P840" s="284">
        <v>403</v>
      </c>
      <c r="Q840" s="286">
        <v>0</v>
      </c>
      <c r="R840" s="274">
        <v>835</v>
      </c>
      <c r="S840" s="274">
        <v>0</v>
      </c>
      <c r="T840" s="287">
        <f t="shared" si="13"/>
        <v>2015</v>
      </c>
      <c r="U840" s="274">
        <f>VLOOKUP(A840,'[1]SB35 Determination Data'!$B$4:$F$542,5,FALSE)</f>
        <v>2015</v>
      </c>
    </row>
    <row r="841" spans="1:21" s="274" customFormat="1" ht="12.75" x14ac:dyDescent="0.2">
      <c r="A841" s="282" t="s">
        <v>411</v>
      </c>
      <c r="B841" s="282" t="s">
        <v>411</v>
      </c>
      <c r="C841" s="282" t="s">
        <v>654</v>
      </c>
      <c r="D841" s="283">
        <v>2016</v>
      </c>
      <c r="E841" s="282" t="s">
        <v>650</v>
      </c>
      <c r="F841" s="284">
        <v>185</v>
      </c>
      <c r="G841" s="285">
        <v>0</v>
      </c>
      <c r="H841" s="288">
        <v>0</v>
      </c>
      <c r="I841" s="285">
        <v>0</v>
      </c>
      <c r="J841" s="285">
        <v>106</v>
      </c>
      <c r="K841" s="284">
        <v>6</v>
      </c>
      <c r="L841" s="284">
        <v>6</v>
      </c>
      <c r="M841" s="284">
        <v>0</v>
      </c>
      <c r="N841" s="284">
        <v>141</v>
      </c>
      <c r="O841" s="284">
        <v>4</v>
      </c>
      <c r="P841" s="284">
        <v>403</v>
      </c>
      <c r="Q841" s="286">
        <v>135</v>
      </c>
      <c r="R841" s="274">
        <v>835</v>
      </c>
      <c r="S841" s="274">
        <v>145</v>
      </c>
      <c r="T841" s="287">
        <f t="shared" si="13"/>
        <v>2016</v>
      </c>
      <c r="U841" s="274">
        <f>VLOOKUP(A841,'[1]SB35 Determination Data'!$B$4:$F$542,5,FALSE)</f>
        <v>2015</v>
      </c>
    </row>
    <row r="842" spans="1:21" s="274" customFormat="1" ht="12.75" x14ac:dyDescent="0.2">
      <c r="A842" s="282" t="s">
        <v>411</v>
      </c>
      <c r="B842" s="282" t="s">
        <v>411</v>
      </c>
      <c r="C842" s="282" t="s">
        <v>654</v>
      </c>
      <c r="D842" s="283">
        <v>2017</v>
      </c>
      <c r="E842" s="282" t="s">
        <v>650</v>
      </c>
      <c r="F842" s="284">
        <v>185</v>
      </c>
      <c r="G842" s="285">
        <v>0</v>
      </c>
      <c r="H842" s="288">
        <v>0</v>
      </c>
      <c r="I842" s="285">
        <v>0</v>
      </c>
      <c r="J842" s="285">
        <v>106</v>
      </c>
      <c r="K842" s="284">
        <v>1</v>
      </c>
      <c r="L842" s="284">
        <v>1</v>
      </c>
      <c r="M842" s="284">
        <v>0</v>
      </c>
      <c r="N842" s="284">
        <v>141</v>
      </c>
      <c r="O842" s="284">
        <v>0</v>
      </c>
      <c r="P842" s="284">
        <v>403</v>
      </c>
      <c r="Q842" s="286">
        <v>37</v>
      </c>
      <c r="R842" s="274">
        <v>835</v>
      </c>
      <c r="S842" s="274">
        <v>38</v>
      </c>
      <c r="T842" s="287">
        <f t="shared" si="13"/>
        <v>2017</v>
      </c>
      <c r="U842" s="274">
        <f>VLOOKUP(A842,'[1]SB35 Determination Data'!$B$4:$F$542,5,FALSE)</f>
        <v>2015</v>
      </c>
    </row>
    <row r="843" spans="1:21" s="274" customFormat="1" ht="12.75" x14ac:dyDescent="0.2">
      <c r="A843" s="282" t="s">
        <v>567</v>
      </c>
      <c r="B843" s="282" t="s">
        <v>411</v>
      </c>
      <c r="C843" s="282" t="s">
        <v>654</v>
      </c>
      <c r="D843" s="283">
        <v>2014</v>
      </c>
      <c r="E843" s="282" t="s">
        <v>650</v>
      </c>
      <c r="F843" s="284">
        <v>51</v>
      </c>
      <c r="G843" s="285">
        <v>0</v>
      </c>
      <c r="H843" s="288">
        <v>0</v>
      </c>
      <c r="I843" s="285">
        <v>0</v>
      </c>
      <c r="J843" s="285">
        <v>30</v>
      </c>
      <c r="K843" s="284">
        <v>0</v>
      </c>
      <c r="L843" s="284">
        <v>0</v>
      </c>
      <c r="M843" s="284">
        <v>0</v>
      </c>
      <c r="N843" s="284">
        <v>32</v>
      </c>
      <c r="O843" s="284">
        <v>9</v>
      </c>
      <c r="P843" s="284">
        <v>67</v>
      </c>
      <c r="Q843" s="286">
        <v>17</v>
      </c>
      <c r="R843" s="274">
        <v>180</v>
      </c>
      <c r="S843" s="274">
        <v>26</v>
      </c>
      <c r="T843" s="287">
        <f t="shared" si="13"/>
        <v>2015</v>
      </c>
      <c r="U843" s="274">
        <f>VLOOKUP(A843,'[1]SB35 Determination Data'!$B$4:$F$542,5,FALSE)</f>
        <v>2015</v>
      </c>
    </row>
    <row r="844" spans="1:21" s="274" customFormat="1" ht="12.75" x14ac:dyDescent="0.2">
      <c r="A844" s="282" t="s">
        <v>567</v>
      </c>
      <c r="B844" s="282" t="s">
        <v>411</v>
      </c>
      <c r="C844" s="282" t="s">
        <v>654</v>
      </c>
      <c r="D844" s="283">
        <v>2015</v>
      </c>
      <c r="E844" s="282" t="s">
        <v>650</v>
      </c>
      <c r="F844" s="284">
        <v>51</v>
      </c>
      <c r="G844" s="285">
        <v>0</v>
      </c>
      <c r="H844" s="288">
        <v>0</v>
      </c>
      <c r="I844" s="285">
        <v>0</v>
      </c>
      <c r="J844" s="285">
        <v>30</v>
      </c>
      <c r="K844" s="284">
        <v>0</v>
      </c>
      <c r="L844" s="284">
        <v>0</v>
      </c>
      <c r="M844" s="284">
        <v>0</v>
      </c>
      <c r="N844" s="284">
        <v>32</v>
      </c>
      <c r="O844" s="284">
        <v>8</v>
      </c>
      <c r="P844" s="284">
        <v>67</v>
      </c>
      <c r="Q844" s="286">
        <v>11</v>
      </c>
      <c r="R844" s="274">
        <v>180</v>
      </c>
      <c r="S844" s="274">
        <v>19</v>
      </c>
      <c r="T844" s="287">
        <f t="shared" si="13"/>
        <v>2015</v>
      </c>
      <c r="U844" s="274">
        <f>VLOOKUP(A844,'[1]SB35 Determination Data'!$B$4:$F$542,5,FALSE)</f>
        <v>2015</v>
      </c>
    </row>
    <row r="845" spans="1:21" s="274" customFormat="1" ht="12.75" x14ac:dyDescent="0.2">
      <c r="A845" s="282" t="s">
        <v>567</v>
      </c>
      <c r="B845" s="282" t="s">
        <v>411</v>
      </c>
      <c r="C845" s="282" t="s">
        <v>654</v>
      </c>
      <c r="D845" s="283">
        <v>2016</v>
      </c>
      <c r="E845" s="282" t="s">
        <v>650</v>
      </c>
      <c r="F845" s="284">
        <v>51</v>
      </c>
      <c r="G845" s="285">
        <v>0</v>
      </c>
      <c r="H845" s="288">
        <v>0</v>
      </c>
      <c r="I845" s="285">
        <v>0</v>
      </c>
      <c r="J845" s="285">
        <v>30</v>
      </c>
      <c r="K845" s="284">
        <v>1</v>
      </c>
      <c r="L845" s="284">
        <v>0</v>
      </c>
      <c r="M845" s="284">
        <v>1</v>
      </c>
      <c r="N845" s="284">
        <v>32</v>
      </c>
      <c r="O845" s="284">
        <v>13</v>
      </c>
      <c r="P845" s="284">
        <v>67</v>
      </c>
      <c r="Q845" s="286">
        <v>14</v>
      </c>
      <c r="R845" s="274">
        <v>180</v>
      </c>
      <c r="S845" s="274">
        <v>28</v>
      </c>
      <c r="T845" s="287">
        <f t="shared" si="13"/>
        <v>2016</v>
      </c>
      <c r="U845" s="274">
        <f>VLOOKUP(A845,'[1]SB35 Determination Data'!$B$4:$F$542,5,FALSE)</f>
        <v>2015</v>
      </c>
    </row>
    <row r="846" spans="1:21" s="274" customFormat="1" ht="12.75" x14ac:dyDescent="0.2">
      <c r="A846" s="282" t="s">
        <v>567</v>
      </c>
      <c r="B846" s="282" t="s">
        <v>411</v>
      </c>
      <c r="C846" s="282" t="s">
        <v>654</v>
      </c>
      <c r="D846" s="283">
        <v>2017</v>
      </c>
      <c r="E846" s="282" t="s">
        <v>650</v>
      </c>
      <c r="F846" s="284">
        <v>51</v>
      </c>
      <c r="G846" s="285">
        <v>0</v>
      </c>
      <c r="H846" s="288">
        <v>0</v>
      </c>
      <c r="I846" s="285">
        <v>0</v>
      </c>
      <c r="J846" s="285">
        <v>30</v>
      </c>
      <c r="K846" s="284">
        <v>0</v>
      </c>
      <c r="L846" s="284">
        <v>0</v>
      </c>
      <c r="M846" s="284">
        <v>0</v>
      </c>
      <c r="N846" s="284">
        <v>32</v>
      </c>
      <c r="O846" s="284">
        <v>16</v>
      </c>
      <c r="P846" s="284">
        <v>67</v>
      </c>
      <c r="Q846" s="286">
        <v>14</v>
      </c>
      <c r="R846" s="274">
        <v>180</v>
      </c>
      <c r="S846" s="274">
        <v>30</v>
      </c>
      <c r="T846" s="287">
        <f t="shared" si="13"/>
        <v>2017</v>
      </c>
      <c r="U846" s="274">
        <f>VLOOKUP(A846,'[1]SB35 Determination Data'!$B$4:$F$542,5,FALSE)</f>
        <v>2015</v>
      </c>
    </row>
    <row r="847" spans="1:21" s="274" customFormat="1" ht="12.75" x14ac:dyDescent="0.2">
      <c r="A847" s="282" t="s">
        <v>568</v>
      </c>
      <c r="B847" s="282" t="s">
        <v>557</v>
      </c>
      <c r="C847" s="282" t="s">
        <v>758</v>
      </c>
      <c r="D847" s="283">
        <v>2013</v>
      </c>
      <c r="E847" s="282" t="s">
        <v>650</v>
      </c>
      <c r="F847" s="284">
        <v>465</v>
      </c>
      <c r="G847" s="285">
        <v>0</v>
      </c>
      <c r="H847" s="288">
        <v>0</v>
      </c>
      <c r="I847" s="285">
        <v>0</v>
      </c>
      <c r="J847" s="285">
        <v>353</v>
      </c>
      <c r="K847" s="284">
        <v>8</v>
      </c>
      <c r="L847" s="284">
        <v>8</v>
      </c>
      <c r="M847" s="284">
        <v>0</v>
      </c>
      <c r="N847" s="284">
        <v>327</v>
      </c>
      <c r="O847" s="284">
        <v>0</v>
      </c>
      <c r="P847" s="284">
        <v>718</v>
      </c>
      <c r="Q847" s="286">
        <v>67</v>
      </c>
      <c r="R847" s="274">
        <v>1863</v>
      </c>
      <c r="S847" s="274">
        <v>75</v>
      </c>
      <c r="T847" s="287">
        <f t="shared" si="13"/>
        <v>2013</v>
      </c>
      <c r="U847" s="274">
        <f>VLOOKUP(A847,'[1]SB35 Determination Data'!$B$4:$F$542,5,FALSE)</f>
        <v>2013</v>
      </c>
    </row>
    <row r="848" spans="1:21" s="274" customFormat="1" ht="12.75" x14ac:dyDescent="0.2">
      <c r="A848" s="282" t="s">
        <v>568</v>
      </c>
      <c r="B848" s="282" t="s">
        <v>557</v>
      </c>
      <c r="C848" s="282" t="s">
        <v>758</v>
      </c>
      <c r="D848" s="283">
        <v>2014</v>
      </c>
      <c r="E848" s="282" t="s">
        <v>650</v>
      </c>
      <c r="F848" s="284">
        <v>465</v>
      </c>
      <c r="G848" s="285">
        <v>0</v>
      </c>
      <c r="H848" s="288">
        <v>0</v>
      </c>
      <c r="I848" s="285">
        <v>0</v>
      </c>
      <c r="J848" s="285">
        <v>353</v>
      </c>
      <c r="K848" s="284">
        <v>108</v>
      </c>
      <c r="L848" s="284">
        <v>108</v>
      </c>
      <c r="M848" s="284">
        <v>0</v>
      </c>
      <c r="N848" s="284">
        <v>327</v>
      </c>
      <c r="O848" s="284">
        <v>1</v>
      </c>
      <c r="P848" s="284">
        <v>718</v>
      </c>
      <c r="Q848" s="286">
        <v>16</v>
      </c>
      <c r="R848" s="274">
        <v>1863</v>
      </c>
      <c r="S848" s="274">
        <v>125</v>
      </c>
      <c r="T848" s="287">
        <f t="shared" si="13"/>
        <v>2014</v>
      </c>
      <c r="U848" s="274">
        <f>VLOOKUP(A848,'[1]SB35 Determination Data'!$B$4:$F$542,5,FALSE)</f>
        <v>2013</v>
      </c>
    </row>
    <row r="849" spans="1:21" s="274" customFormat="1" ht="12.75" x14ac:dyDescent="0.2">
      <c r="A849" s="282" t="s">
        <v>568</v>
      </c>
      <c r="B849" s="282" t="s">
        <v>557</v>
      </c>
      <c r="C849" s="282" t="s">
        <v>758</v>
      </c>
      <c r="D849" s="283">
        <v>2015</v>
      </c>
      <c r="E849" s="282" t="s">
        <v>650</v>
      </c>
      <c r="F849" s="284">
        <v>465</v>
      </c>
      <c r="G849" s="285">
        <v>0</v>
      </c>
      <c r="H849" s="288">
        <v>0</v>
      </c>
      <c r="I849" s="285">
        <v>0</v>
      </c>
      <c r="J849" s="285">
        <v>353</v>
      </c>
      <c r="K849" s="284">
        <v>0</v>
      </c>
      <c r="L849" s="284">
        <v>0</v>
      </c>
      <c r="M849" s="284">
        <v>0</v>
      </c>
      <c r="N849" s="284">
        <v>327</v>
      </c>
      <c r="O849" s="284">
        <v>0</v>
      </c>
      <c r="P849" s="284">
        <v>718</v>
      </c>
      <c r="Q849" s="286">
        <v>143</v>
      </c>
      <c r="R849" s="274">
        <v>1863</v>
      </c>
      <c r="S849" s="274">
        <v>143</v>
      </c>
      <c r="T849" s="287">
        <f t="shared" si="13"/>
        <v>2015</v>
      </c>
      <c r="U849" s="274">
        <f>VLOOKUP(A849,'[1]SB35 Determination Data'!$B$4:$F$542,5,FALSE)</f>
        <v>2013</v>
      </c>
    </row>
    <row r="850" spans="1:21" s="274" customFormat="1" ht="12.75" x14ac:dyDescent="0.2">
      <c r="A850" s="282" t="s">
        <v>568</v>
      </c>
      <c r="B850" s="282" t="s">
        <v>557</v>
      </c>
      <c r="C850" s="282" t="s">
        <v>758</v>
      </c>
      <c r="D850" s="283">
        <v>2016</v>
      </c>
      <c r="E850" s="282" t="s">
        <v>650</v>
      </c>
      <c r="F850" s="284">
        <v>465</v>
      </c>
      <c r="G850" s="285">
        <v>45</v>
      </c>
      <c r="H850" s="288">
        <v>45</v>
      </c>
      <c r="I850" s="285">
        <v>0</v>
      </c>
      <c r="J850" s="285">
        <v>353</v>
      </c>
      <c r="K850" s="284">
        <v>0</v>
      </c>
      <c r="L850" s="284">
        <v>0</v>
      </c>
      <c r="M850" s="284">
        <v>0</v>
      </c>
      <c r="N850" s="289">
        <v>327</v>
      </c>
      <c r="O850" s="284">
        <v>46</v>
      </c>
      <c r="P850" s="284">
        <v>718</v>
      </c>
      <c r="Q850" s="286">
        <v>12</v>
      </c>
      <c r="R850" s="274">
        <v>1863</v>
      </c>
      <c r="S850" s="274">
        <v>103</v>
      </c>
      <c r="T850" s="287">
        <f t="shared" si="13"/>
        <v>2016</v>
      </c>
      <c r="U850" s="274">
        <f>VLOOKUP(A850,'[1]SB35 Determination Data'!$B$4:$F$542,5,FALSE)</f>
        <v>2013</v>
      </c>
    </row>
    <row r="851" spans="1:21" s="274" customFormat="1" ht="12.75" x14ac:dyDescent="0.2">
      <c r="A851" s="282" t="s">
        <v>568</v>
      </c>
      <c r="B851" s="282" t="s">
        <v>557</v>
      </c>
      <c r="C851" s="282" t="s">
        <v>758</v>
      </c>
      <c r="D851" s="283">
        <v>2017</v>
      </c>
      <c r="E851" s="282" t="s">
        <v>650</v>
      </c>
      <c r="F851" s="284">
        <v>465</v>
      </c>
      <c r="G851" s="285">
        <v>0</v>
      </c>
      <c r="H851" s="288">
        <v>0</v>
      </c>
      <c r="I851" s="285">
        <v>0</v>
      </c>
      <c r="J851" s="285">
        <v>353</v>
      </c>
      <c r="K851" s="284">
        <v>0</v>
      </c>
      <c r="L851" s="284">
        <v>0</v>
      </c>
      <c r="M851" s="284">
        <v>0</v>
      </c>
      <c r="N851" s="289">
        <v>327</v>
      </c>
      <c r="O851" s="284">
        <v>116</v>
      </c>
      <c r="P851" s="284">
        <v>718</v>
      </c>
      <c r="Q851" s="286">
        <v>7</v>
      </c>
      <c r="R851" s="274">
        <v>1863</v>
      </c>
      <c r="S851" s="274">
        <v>123</v>
      </c>
      <c r="T851" s="287">
        <f t="shared" si="13"/>
        <v>2017</v>
      </c>
      <c r="U851" s="274">
        <f>VLOOKUP(A851,'[1]SB35 Determination Data'!$B$4:$F$542,5,FALSE)</f>
        <v>2013</v>
      </c>
    </row>
    <row r="852" spans="1:21" s="274" customFormat="1" ht="12.75" x14ac:dyDescent="0.2">
      <c r="A852" s="282" t="s">
        <v>569</v>
      </c>
      <c r="B852" s="282" t="s">
        <v>542</v>
      </c>
      <c r="C852" s="282" t="s">
        <v>649</v>
      </c>
      <c r="D852" s="283">
        <v>2014</v>
      </c>
      <c r="E852" s="282" t="s">
        <v>650</v>
      </c>
      <c r="F852" s="284">
        <v>38</v>
      </c>
      <c r="G852" s="285">
        <v>0</v>
      </c>
      <c r="H852" s="288">
        <v>0</v>
      </c>
      <c r="I852" s="285">
        <v>0</v>
      </c>
      <c r="J852" s="285">
        <v>29</v>
      </c>
      <c r="K852" s="284">
        <v>0</v>
      </c>
      <c r="L852" s="284">
        <v>0</v>
      </c>
      <c r="M852" s="284">
        <v>0</v>
      </c>
      <c r="N852" s="284">
        <v>34</v>
      </c>
      <c r="O852" s="284">
        <v>4</v>
      </c>
      <c r="P852" s="284">
        <v>80</v>
      </c>
      <c r="Q852" s="286">
        <v>2</v>
      </c>
      <c r="R852" s="274">
        <v>181</v>
      </c>
      <c r="S852" s="274">
        <v>6</v>
      </c>
      <c r="T852" s="287">
        <f t="shared" si="13"/>
        <v>2014</v>
      </c>
      <c r="U852" s="274">
        <f>VLOOKUP(A852,'[1]SB35 Determination Data'!$B$4:$F$542,5,FALSE)</f>
        <v>2014</v>
      </c>
    </row>
    <row r="853" spans="1:21" s="274" customFormat="1" ht="12.75" x14ac:dyDescent="0.2">
      <c r="A853" s="282" t="s">
        <v>569</v>
      </c>
      <c r="B853" s="282" t="s">
        <v>542</v>
      </c>
      <c r="C853" s="282" t="s">
        <v>649</v>
      </c>
      <c r="D853" s="283">
        <v>2015</v>
      </c>
      <c r="E853" s="282" t="s">
        <v>650</v>
      </c>
      <c r="F853" s="284">
        <v>38</v>
      </c>
      <c r="G853" s="285">
        <v>0</v>
      </c>
      <c r="H853" s="288">
        <v>0</v>
      </c>
      <c r="I853" s="285">
        <v>0</v>
      </c>
      <c r="J853" s="285">
        <v>29</v>
      </c>
      <c r="K853" s="284">
        <v>0</v>
      </c>
      <c r="L853" s="284">
        <v>0</v>
      </c>
      <c r="M853" s="284">
        <v>0</v>
      </c>
      <c r="N853" s="284">
        <v>34</v>
      </c>
      <c r="O853" s="284">
        <v>0</v>
      </c>
      <c r="P853" s="284">
        <v>80</v>
      </c>
      <c r="Q853" s="286">
        <v>6</v>
      </c>
      <c r="R853" s="274">
        <v>181</v>
      </c>
      <c r="S853" s="274">
        <v>6</v>
      </c>
      <c r="T853" s="287">
        <f t="shared" si="13"/>
        <v>2015</v>
      </c>
      <c r="U853" s="274">
        <f>VLOOKUP(A853,'[1]SB35 Determination Data'!$B$4:$F$542,5,FALSE)</f>
        <v>2014</v>
      </c>
    </row>
    <row r="854" spans="1:21" s="274" customFormat="1" ht="12.75" x14ac:dyDescent="0.2">
      <c r="A854" s="282" t="s">
        <v>569</v>
      </c>
      <c r="B854" s="282" t="s">
        <v>542</v>
      </c>
      <c r="C854" s="282" t="s">
        <v>649</v>
      </c>
      <c r="D854" s="283">
        <v>2016</v>
      </c>
      <c r="E854" s="282" t="s">
        <v>650</v>
      </c>
      <c r="F854" s="284">
        <v>38</v>
      </c>
      <c r="G854" s="285">
        <v>0</v>
      </c>
      <c r="H854" s="288">
        <v>0</v>
      </c>
      <c r="I854" s="285">
        <v>0</v>
      </c>
      <c r="J854" s="285">
        <v>29</v>
      </c>
      <c r="K854" s="284">
        <v>0</v>
      </c>
      <c r="L854" s="284">
        <v>0</v>
      </c>
      <c r="M854" s="284">
        <v>0</v>
      </c>
      <c r="N854" s="284">
        <v>34</v>
      </c>
      <c r="O854" s="284">
        <v>6</v>
      </c>
      <c r="P854" s="284">
        <v>80</v>
      </c>
      <c r="Q854" s="286">
        <v>2</v>
      </c>
      <c r="R854" s="274">
        <v>181</v>
      </c>
      <c r="S854" s="274">
        <v>8</v>
      </c>
      <c r="T854" s="287">
        <f t="shared" si="13"/>
        <v>2016</v>
      </c>
      <c r="U854" s="274">
        <f>VLOOKUP(A854,'[1]SB35 Determination Data'!$B$4:$F$542,5,FALSE)</f>
        <v>2014</v>
      </c>
    </row>
    <row r="855" spans="1:21" s="274" customFormat="1" ht="12.75" x14ac:dyDescent="0.2">
      <c r="A855" s="282" t="s">
        <v>569</v>
      </c>
      <c r="B855" s="282" t="s">
        <v>542</v>
      </c>
      <c r="C855" s="282" t="s">
        <v>649</v>
      </c>
      <c r="D855" s="283">
        <v>2017</v>
      </c>
      <c r="E855" s="282" t="s">
        <v>650</v>
      </c>
      <c r="F855" s="284">
        <v>38</v>
      </c>
      <c r="G855" s="285">
        <v>0</v>
      </c>
      <c r="H855" s="288">
        <v>0</v>
      </c>
      <c r="I855" s="285">
        <v>0</v>
      </c>
      <c r="J855" s="285">
        <v>29</v>
      </c>
      <c r="K855" s="284">
        <v>0</v>
      </c>
      <c r="L855" s="284">
        <v>0</v>
      </c>
      <c r="M855" s="284">
        <v>0</v>
      </c>
      <c r="N855" s="284">
        <v>34</v>
      </c>
      <c r="O855" s="284">
        <v>0</v>
      </c>
      <c r="P855" s="284">
        <v>80</v>
      </c>
      <c r="Q855" s="286">
        <v>3</v>
      </c>
      <c r="R855" s="274">
        <v>181</v>
      </c>
      <c r="S855" s="274">
        <v>3</v>
      </c>
      <c r="T855" s="287">
        <f t="shared" si="13"/>
        <v>2017</v>
      </c>
      <c r="U855" s="274">
        <f>VLOOKUP(A855,'[1]SB35 Determination Data'!$B$4:$F$542,5,FALSE)</f>
        <v>2014</v>
      </c>
    </row>
    <row r="856" spans="1:21" s="274" customFormat="1" ht="12.75" x14ac:dyDescent="0.2">
      <c r="A856" s="282" t="s">
        <v>571</v>
      </c>
      <c r="B856" s="282" t="s">
        <v>425</v>
      </c>
      <c r="C856" s="282" t="s">
        <v>660</v>
      </c>
      <c r="D856" s="283">
        <v>2014</v>
      </c>
      <c r="E856" s="282" t="s">
        <v>650</v>
      </c>
      <c r="F856" s="284">
        <v>174</v>
      </c>
      <c r="G856" s="285">
        <v>7</v>
      </c>
      <c r="H856" s="288">
        <v>0</v>
      </c>
      <c r="I856" s="285">
        <v>7</v>
      </c>
      <c r="J856" s="285">
        <v>126</v>
      </c>
      <c r="K856" s="284">
        <v>17</v>
      </c>
      <c r="L856" s="284">
        <v>0</v>
      </c>
      <c r="M856" s="284">
        <v>17</v>
      </c>
      <c r="N856" s="289">
        <v>150</v>
      </c>
      <c r="O856" s="284">
        <v>32</v>
      </c>
      <c r="P856" s="284">
        <v>314</v>
      </c>
      <c r="Q856" s="286">
        <v>75</v>
      </c>
      <c r="R856" s="274">
        <v>764</v>
      </c>
      <c r="S856" s="274">
        <v>131</v>
      </c>
      <c r="T856" s="287">
        <f t="shared" si="13"/>
        <v>2014</v>
      </c>
      <c r="U856" s="274">
        <f>VLOOKUP(A856,'[1]SB35 Determination Data'!$B$4:$F$542,5,FALSE)</f>
        <v>2014</v>
      </c>
    </row>
    <row r="857" spans="1:21" s="274" customFormat="1" ht="12.75" x14ac:dyDescent="0.2">
      <c r="A857" s="282" t="s">
        <v>571</v>
      </c>
      <c r="B857" s="282" t="s">
        <v>425</v>
      </c>
      <c r="C857" s="282" t="s">
        <v>660</v>
      </c>
      <c r="D857" s="283">
        <v>2015</v>
      </c>
      <c r="E857" s="282" t="s">
        <v>650</v>
      </c>
      <c r="F857" s="284">
        <v>174</v>
      </c>
      <c r="G857" s="285">
        <v>27</v>
      </c>
      <c r="H857" s="288">
        <v>0</v>
      </c>
      <c r="I857" s="285">
        <v>27</v>
      </c>
      <c r="J857" s="285">
        <v>126</v>
      </c>
      <c r="K857" s="284">
        <v>20</v>
      </c>
      <c r="L857" s="284">
        <v>20</v>
      </c>
      <c r="M857" s="284">
        <v>0</v>
      </c>
      <c r="N857" s="284">
        <v>150</v>
      </c>
      <c r="O857" s="284">
        <v>29</v>
      </c>
      <c r="P857" s="284">
        <v>314</v>
      </c>
      <c r="Q857" s="286">
        <v>70</v>
      </c>
      <c r="R857" s="274">
        <v>764</v>
      </c>
      <c r="S857" s="274">
        <v>146</v>
      </c>
      <c r="T857" s="287">
        <f t="shared" si="13"/>
        <v>2015</v>
      </c>
      <c r="U857" s="274">
        <f>VLOOKUP(A857,'[1]SB35 Determination Data'!$B$4:$F$542,5,FALSE)</f>
        <v>2014</v>
      </c>
    </row>
    <row r="858" spans="1:21" s="274" customFormat="1" ht="12.75" x14ac:dyDescent="0.2">
      <c r="A858" s="282" t="s">
        <v>571</v>
      </c>
      <c r="B858" s="282" t="s">
        <v>425</v>
      </c>
      <c r="C858" s="282" t="s">
        <v>660</v>
      </c>
      <c r="D858" s="283">
        <v>2016</v>
      </c>
      <c r="E858" s="282" t="s">
        <v>650</v>
      </c>
      <c r="F858" s="284">
        <v>174</v>
      </c>
      <c r="G858" s="285">
        <v>7</v>
      </c>
      <c r="H858" s="288">
        <v>7</v>
      </c>
      <c r="I858" s="285">
        <v>0</v>
      </c>
      <c r="J858" s="285">
        <v>126</v>
      </c>
      <c r="K858" s="284">
        <v>18</v>
      </c>
      <c r="L858" s="284">
        <v>18</v>
      </c>
      <c r="M858" s="284">
        <v>0</v>
      </c>
      <c r="N858" s="284">
        <v>150</v>
      </c>
      <c r="O858" s="284">
        <v>22</v>
      </c>
      <c r="P858" s="284">
        <v>314</v>
      </c>
      <c r="Q858" s="286">
        <v>54</v>
      </c>
      <c r="R858" s="274">
        <v>764</v>
      </c>
      <c r="S858" s="274">
        <v>101</v>
      </c>
      <c r="T858" s="287">
        <f t="shared" si="13"/>
        <v>2016</v>
      </c>
      <c r="U858" s="274">
        <f>VLOOKUP(A858,'[1]SB35 Determination Data'!$B$4:$F$542,5,FALSE)</f>
        <v>2014</v>
      </c>
    </row>
    <row r="859" spans="1:21" s="274" customFormat="1" ht="12.75" x14ac:dyDescent="0.2">
      <c r="A859" s="282" t="s">
        <v>571</v>
      </c>
      <c r="B859" s="282" t="s">
        <v>425</v>
      </c>
      <c r="C859" s="282" t="s">
        <v>660</v>
      </c>
      <c r="D859" s="283">
        <v>2017</v>
      </c>
      <c r="E859" s="282" t="s">
        <v>650</v>
      </c>
      <c r="F859" s="284">
        <v>174</v>
      </c>
      <c r="G859" s="285">
        <v>8</v>
      </c>
      <c r="H859" s="288">
        <v>0</v>
      </c>
      <c r="I859" s="285">
        <v>8</v>
      </c>
      <c r="J859" s="285">
        <v>126</v>
      </c>
      <c r="K859" s="284">
        <v>18</v>
      </c>
      <c r="L859" s="284">
        <v>0</v>
      </c>
      <c r="M859" s="284">
        <v>18</v>
      </c>
      <c r="N859" s="284">
        <v>150</v>
      </c>
      <c r="O859" s="284">
        <v>27</v>
      </c>
      <c r="P859" s="284">
        <v>314</v>
      </c>
      <c r="Q859" s="286">
        <v>60</v>
      </c>
      <c r="R859" s="274">
        <v>764</v>
      </c>
      <c r="S859" s="274">
        <v>113</v>
      </c>
      <c r="T859" s="287">
        <f t="shared" si="13"/>
        <v>2017</v>
      </c>
      <c r="U859" s="274">
        <f>VLOOKUP(A859,'[1]SB35 Determination Data'!$B$4:$F$542,5,FALSE)</f>
        <v>2014</v>
      </c>
    </row>
    <row r="860" spans="1:21" s="274" customFormat="1" ht="12.75" x14ac:dyDescent="0.2">
      <c r="A860" s="282" t="s">
        <v>185</v>
      </c>
      <c r="B860" s="282" t="s">
        <v>40</v>
      </c>
      <c r="C860" s="282" t="s">
        <v>654</v>
      </c>
      <c r="D860" s="283">
        <v>2014</v>
      </c>
      <c r="E860" s="282" t="s">
        <v>650</v>
      </c>
      <c r="F860" s="284">
        <v>330</v>
      </c>
      <c r="G860" s="285">
        <v>0</v>
      </c>
      <c r="H860" s="288">
        <v>0</v>
      </c>
      <c r="I860" s="285">
        <v>0</v>
      </c>
      <c r="J860" s="285">
        <v>167</v>
      </c>
      <c r="K860" s="284">
        <v>0</v>
      </c>
      <c r="L860" s="284">
        <v>0</v>
      </c>
      <c r="M860" s="284">
        <v>0</v>
      </c>
      <c r="N860" s="289">
        <v>158</v>
      </c>
      <c r="O860" s="284">
        <v>0</v>
      </c>
      <c r="P860" s="284">
        <v>423</v>
      </c>
      <c r="Q860" s="286">
        <v>14</v>
      </c>
      <c r="R860" s="274">
        <v>1078</v>
      </c>
      <c r="S860" s="274">
        <v>14</v>
      </c>
      <c r="T860" s="287">
        <f t="shared" si="13"/>
        <v>2015</v>
      </c>
      <c r="U860" s="274">
        <f>VLOOKUP(A860,'[1]SB35 Determination Data'!$B$4:$F$542,5,FALSE)</f>
        <v>2015</v>
      </c>
    </row>
    <row r="861" spans="1:21" s="274" customFormat="1" ht="12.75" x14ac:dyDescent="0.2">
      <c r="A861" s="282" t="s">
        <v>185</v>
      </c>
      <c r="B861" s="282" t="s">
        <v>40</v>
      </c>
      <c r="C861" s="282" t="s">
        <v>654</v>
      </c>
      <c r="D861" s="283">
        <v>2015</v>
      </c>
      <c r="E861" s="282" t="s">
        <v>650</v>
      </c>
      <c r="F861" s="284">
        <v>330</v>
      </c>
      <c r="G861" s="285">
        <v>0</v>
      </c>
      <c r="H861" s="288">
        <v>0</v>
      </c>
      <c r="I861" s="285">
        <v>0</v>
      </c>
      <c r="J861" s="285">
        <v>167</v>
      </c>
      <c r="K861" s="284">
        <v>0</v>
      </c>
      <c r="L861" s="284">
        <v>0</v>
      </c>
      <c r="M861" s="284">
        <v>0</v>
      </c>
      <c r="N861" s="284">
        <v>158</v>
      </c>
      <c r="O861" s="284">
        <v>36</v>
      </c>
      <c r="P861" s="284">
        <v>423</v>
      </c>
      <c r="Q861" s="286">
        <v>40</v>
      </c>
      <c r="R861" s="274">
        <v>1078</v>
      </c>
      <c r="S861" s="274">
        <v>76</v>
      </c>
      <c r="T861" s="287">
        <f t="shared" si="13"/>
        <v>2015</v>
      </c>
      <c r="U861" s="274">
        <f>VLOOKUP(A861,'[1]SB35 Determination Data'!$B$4:$F$542,5,FALSE)</f>
        <v>2015</v>
      </c>
    </row>
    <row r="862" spans="1:21" s="274" customFormat="1" ht="12.75" x14ac:dyDescent="0.2">
      <c r="A862" s="282" t="s">
        <v>185</v>
      </c>
      <c r="B862" s="282" t="s">
        <v>40</v>
      </c>
      <c r="C862" s="282" t="s">
        <v>654</v>
      </c>
      <c r="D862" s="283">
        <v>2016</v>
      </c>
      <c r="E862" s="282" t="s">
        <v>650</v>
      </c>
      <c r="F862" s="284">
        <v>330</v>
      </c>
      <c r="G862" s="285">
        <v>0</v>
      </c>
      <c r="H862" s="288">
        <v>0</v>
      </c>
      <c r="I862" s="285">
        <v>0</v>
      </c>
      <c r="J862" s="285">
        <v>167</v>
      </c>
      <c r="K862" s="284">
        <v>0</v>
      </c>
      <c r="L862" s="284">
        <v>0</v>
      </c>
      <c r="M862" s="284">
        <v>0</v>
      </c>
      <c r="N862" s="284">
        <v>158</v>
      </c>
      <c r="O862" s="284">
        <v>0</v>
      </c>
      <c r="P862" s="284">
        <v>423</v>
      </c>
      <c r="Q862" s="286">
        <v>0</v>
      </c>
      <c r="R862" s="274">
        <v>1078</v>
      </c>
      <c r="S862" s="274">
        <v>0</v>
      </c>
      <c r="T862" s="287">
        <f t="shared" si="13"/>
        <v>2016</v>
      </c>
      <c r="U862" s="274">
        <f>VLOOKUP(A862,'[1]SB35 Determination Data'!$B$4:$F$542,5,FALSE)</f>
        <v>2015</v>
      </c>
    </row>
    <row r="863" spans="1:21" s="274" customFormat="1" ht="12.75" x14ac:dyDescent="0.2">
      <c r="A863" s="282" t="s">
        <v>185</v>
      </c>
      <c r="B863" s="282" t="s">
        <v>40</v>
      </c>
      <c r="C863" s="282" t="s">
        <v>654</v>
      </c>
      <c r="D863" s="283">
        <v>2017</v>
      </c>
      <c r="E863" s="282" t="s">
        <v>650</v>
      </c>
      <c r="F863" s="284">
        <v>330</v>
      </c>
      <c r="G863" s="285">
        <v>0</v>
      </c>
      <c r="H863" s="288">
        <v>0</v>
      </c>
      <c r="I863" s="285">
        <v>0</v>
      </c>
      <c r="J863" s="285">
        <v>167</v>
      </c>
      <c r="K863" s="284">
        <v>0</v>
      </c>
      <c r="L863" s="284">
        <v>0</v>
      </c>
      <c r="M863" s="284">
        <v>0</v>
      </c>
      <c r="N863" s="284">
        <v>158</v>
      </c>
      <c r="O863" s="284">
        <v>0</v>
      </c>
      <c r="P863" s="284">
        <v>423</v>
      </c>
      <c r="Q863" s="286">
        <v>0</v>
      </c>
      <c r="R863" s="274">
        <v>1078</v>
      </c>
      <c r="S863" s="274">
        <v>0</v>
      </c>
      <c r="T863" s="287">
        <f t="shared" si="13"/>
        <v>2017</v>
      </c>
      <c r="U863" s="274">
        <f>VLOOKUP(A863,'[1]SB35 Determination Data'!$B$4:$F$542,5,FALSE)</f>
        <v>2015</v>
      </c>
    </row>
    <row r="864" spans="1:21" s="274" customFormat="1" ht="12.75" x14ac:dyDescent="0.2">
      <c r="A864" s="282" t="s">
        <v>573</v>
      </c>
      <c r="B864" s="282" t="s">
        <v>436</v>
      </c>
      <c r="C864" s="282" t="s">
        <v>649</v>
      </c>
      <c r="D864" s="283">
        <v>2014</v>
      </c>
      <c r="E864" s="282" t="s">
        <v>650</v>
      </c>
      <c r="F864" s="284">
        <v>1</v>
      </c>
      <c r="G864" s="285">
        <v>0</v>
      </c>
      <c r="H864" s="288">
        <v>0</v>
      </c>
      <c r="I864" s="285">
        <v>0</v>
      </c>
      <c r="J864" s="285">
        <v>1</v>
      </c>
      <c r="K864" s="284">
        <v>0</v>
      </c>
      <c r="L864" s="284">
        <v>0</v>
      </c>
      <c r="M864" s="284">
        <v>0</v>
      </c>
      <c r="N864" s="284">
        <v>1</v>
      </c>
      <c r="O864" s="284">
        <v>0</v>
      </c>
      <c r="P864" s="284">
        <v>2</v>
      </c>
      <c r="Q864" s="286">
        <v>115</v>
      </c>
      <c r="R864" s="274">
        <v>5</v>
      </c>
      <c r="S864" s="274">
        <v>115</v>
      </c>
      <c r="T864" s="287">
        <f t="shared" si="13"/>
        <v>2014</v>
      </c>
      <c r="U864" s="274">
        <f>VLOOKUP(A864,'[1]SB35 Determination Data'!$B$4:$F$542,5,FALSE)</f>
        <v>2014</v>
      </c>
    </row>
    <row r="865" spans="1:21" s="274" customFormat="1" ht="12.75" x14ac:dyDescent="0.2">
      <c r="A865" s="282" t="s">
        <v>573</v>
      </c>
      <c r="B865" s="282" t="s">
        <v>436</v>
      </c>
      <c r="C865" s="282" t="s">
        <v>649</v>
      </c>
      <c r="D865" s="283">
        <v>2015</v>
      </c>
      <c r="E865" s="282" t="s">
        <v>650</v>
      </c>
      <c r="F865" s="284">
        <v>1</v>
      </c>
      <c r="G865" s="285">
        <v>0</v>
      </c>
      <c r="H865" s="288">
        <v>0</v>
      </c>
      <c r="I865" s="285">
        <v>0</v>
      </c>
      <c r="J865" s="285">
        <v>1</v>
      </c>
      <c r="K865" s="284">
        <v>0</v>
      </c>
      <c r="L865" s="284">
        <v>0</v>
      </c>
      <c r="M865" s="284">
        <v>0</v>
      </c>
      <c r="N865" s="289">
        <v>1</v>
      </c>
      <c r="O865" s="284">
        <v>0</v>
      </c>
      <c r="P865" s="284">
        <v>2</v>
      </c>
      <c r="Q865" s="286">
        <v>197</v>
      </c>
      <c r="R865" s="274">
        <v>5</v>
      </c>
      <c r="S865" s="274">
        <v>197</v>
      </c>
      <c r="T865" s="287">
        <f t="shared" si="13"/>
        <v>2015</v>
      </c>
      <c r="U865" s="274">
        <f>VLOOKUP(A865,'[1]SB35 Determination Data'!$B$4:$F$542,5,FALSE)</f>
        <v>2014</v>
      </c>
    </row>
    <row r="866" spans="1:21" s="274" customFormat="1" ht="12.75" x14ac:dyDescent="0.2">
      <c r="A866" s="282" t="s">
        <v>573</v>
      </c>
      <c r="B866" s="282" t="s">
        <v>436</v>
      </c>
      <c r="C866" s="282" t="s">
        <v>649</v>
      </c>
      <c r="D866" s="283">
        <v>2016</v>
      </c>
      <c r="E866" s="282" t="s">
        <v>650</v>
      </c>
      <c r="F866" s="284">
        <v>1</v>
      </c>
      <c r="G866" s="285">
        <v>0</v>
      </c>
      <c r="H866" s="288">
        <v>0</v>
      </c>
      <c r="I866" s="285">
        <v>0</v>
      </c>
      <c r="J866" s="285">
        <v>1</v>
      </c>
      <c r="K866" s="284">
        <v>0</v>
      </c>
      <c r="L866" s="284">
        <v>0</v>
      </c>
      <c r="M866" s="284">
        <v>0</v>
      </c>
      <c r="N866" s="284">
        <v>1</v>
      </c>
      <c r="O866" s="284">
        <v>0</v>
      </c>
      <c r="P866" s="284">
        <v>2</v>
      </c>
      <c r="Q866" s="286">
        <v>186</v>
      </c>
      <c r="R866" s="274">
        <v>5</v>
      </c>
      <c r="S866" s="274">
        <v>186</v>
      </c>
      <c r="T866" s="287">
        <f t="shared" si="13"/>
        <v>2016</v>
      </c>
      <c r="U866" s="274">
        <f>VLOOKUP(A866,'[1]SB35 Determination Data'!$B$4:$F$542,5,FALSE)</f>
        <v>2014</v>
      </c>
    </row>
    <row r="867" spans="1:21" s="274" customFormat="1" ht="12.75" x14ac:dyDescent="0.2">
      <c r="A867" s="282" t="s">
        <v>573</v>
      </c>
      <c r="B867" s="282" t="s">
        <v>436</v>
      </c>
      <c r="C867" s="282" t="s">
        <v>649</v>
      </c>
      <c r="D867" s="283">
        <v>2017</v>
      </c>
      <c r="E867" s="282" t="s">
        <v>650</v>
      </c>
      <c r="F867" s="284">
        <v>1</v>
      </c>
      <c r="G867" s="285">
        <v>0</v>
      </c>
      <c r="H867" s="288">
        <v>0</v>
      </c>
      <c r="I867" s="285">
        <v>0</v>
      </c>
      <c r="J867" s="285">
        <v>1</v>
      </c>
      <c r="K867" s="284">
        <v>0</v>
      </c>
      <c r="L867" s="284">
        <v>0</v>
      </c>
      <c r="M867" s="284">
        <v>0</v>
      </c>
      <c r="N867" s="284">
        <v>1</v>
      </c>
      <c r="O867" s="284">
        <v>0</v>
      </c>
      <c r="P867" s="284">
        <v>2</v>
      </c>
      <c r="Q867" s="286">
        <v>716</v>
      </c>
      <c r="R867" s="274">
        <v>5</v>
      </c>
      <c r="S867" s="274">
        <v>716</v>
      </c>
      <c r="T867" s="287">
        <f t="shared" si="13"/>
        <v>2017</v>
      </c>
      <c r="U867" s="274">
        <f>VLOOKUP(A867,'[1]SB35 Determination Data'!$B$4:$F$542,5,FALSE)</f>
        <v>2014</v>
      </c>
    </row>
    <row r="868" spans="1:21" s="274" customFormat="1" ht="12.75" x14ac:dyDescent="0.2">
      <c r="A868" s="282" t="s">
        <v>574</v>
      </c>
      <c r="B868" s="282" t="s">
        <v>481</v>
      </c>
      <c r="C868" s="282" t="s">
        <v>649</v>
      </c>
      <c r="D868" s="283">
        <v>2017</v>
      </c>
      <c r="E868" s="282" t="s">
        <v>650</v>
      </c>
      <c r="F868" s="284">
        <v>205</v>
      </c>
      <c r="G868" s="285">
        <v>0</v>
      </c>
      <c r="H868" s="288">
        <v>0</v>
      </c>
      <c r="I868" s="285">
        <v>0</v>
      </c>
      <c r="J868" s="285">
        <v>136</v>
      </c>
      <c r="K868" s="284">
        <v>0</v>
      </c>
      <c r="L868" s="284">
        <v>0</v>
      </c>
      <c r="M868" s="284">
        <v>0</v>
      </c>
      <c r="N868" s="289">
        <v>151</v>
      </c>
      <c r="O868" s="284">
        <v>0</v>
      </c>
      <c r="P868" s="284">
        <v>326</v>
      </c>
      <c r="Q868" s="286">
        <v>2</v>
      </c>
      <c r="R868" s="274">
        <v>818</v>
      </c>
      <c r="S868" s="274">
        <v>2</v>
      </c>
      <c r="T868" s="287">
        <f t="shared" si="13"/>
        <v>2017</v>
      </c>
      <c r="U868" s="274">
        <f>VLOOKUP(A868,'[1]SB35 Determination Data'!$B$4:$F$542,5,FALSE)</f>
        <v>2014</v>
      </c>
    </row>
    <row r="869" spans="1:21" s="274" customFormat="1" ht="12.75" x14ac:dyDescent="0.2">
      <c r="A869" s="282" t="s">
        <v>486</v>
      </c>
      <c r="B869" s="282" t="s">
        <v>262</v>
      </c>
      <c r="C869" s="282" t="s">
        <v>649</v>
      </c>
      <c r="D869" s="283">
        <v>2014</v>
      </c>
      <c r="E869" s="282" t="s">
        <v>650</v>
      </c>
      <c r="F869" s="284">
        <v>52</v>
      </c>
      <c r="G869" s="285">
        <v>0</v>
      </c>
      <c r="H869" s="288">
        <v>0</v>
      </c>
      <c r="I869" s="285">
        <v>0</v>
      </c>
      <c r="J869" s="285">
        <v>31</v>
      </c>
      <c r="K869" s="284">
        <v>0</v>
      </c>
      <c r="L869" s="284">
        <v>0</v>
      </c>
      <c r="M869" s="284">
        <v>0</v>
      </c>
      <c r="N869" s="284">
        <v>33</v>
      </c>
      <c r="O869" s="284">
        <v>0</v>
      </c>
      <c r="P869" s="284">
        <v>85</v>
      </c>
      <c r="Q869" s="286">
        <v>2</v>
      </c>
      <c r="R869" s="274">
        <v>201</v>
      </c>
      <c r="S869" s="274">
        <v>2</v>
      </c>
      <c r="T869" s="287">
        <f t="shared" si="13"/>
        <v>2014</v>
      </c>
      <c r="U869" s="274">
        <f>VLOOKUP(A869,'[1]SB35 Determination Data'!$B$4:$F$542,5,FALSE)</f>
        <v>2014</v>
      </c>
    </row>
    <row r="870" spans="1:21" s="274" customFormat="1" ht="12.75" x14ac:dyDescent="0.2">
      <c r="A870" s="282" t="s">
        <v>486</v>
      </c>
      <c r="B870" s="282" t="s">
        <v>262</v>
      </c>
      <c r="C870" s="282" t="s">
        <v>649</v>
      </c>
      <c r="D870" s="283">
        <v>2015</v>
      </c>
      <c r="E870" s="282" t="s">
        <v>650</v>
      </c>
      <c r="F870" s="284">
        <v>52</v>
      </c>
      <c r="G870" s="285">
        <v>0</v>
      </c>
      <c r="H870" s="288">
        <v>0</v>
      </c>
      <c r="I870" s="285">
        <v>0</v>
      </c>
      <c r="J870" s="285">
        <v>31</v>
      </c>
      <c r="K870" s="284">
        <v>0</v>
      </c>
      <c r="L870" s="284">
        <v>0</v>
      </c>
      <c r="M870" s="284">
        <v>0</v>
      </c>
      <c r="N870" s="284">
        <v>33</v>
      </c>
      <c r="O870" s="284">
        <v>0</v>
      </c>
      <c r="P870" s="284">
        <v>85</v>
      </c>
      <c r="Q870" s="286">
        <v>4</v>
      </c>
      <c r="R870" s="274">
        <v>201</v>
      </c>
      <c r="S870" s="274">
        <v>4</v>
      </c>
      <c r="T870" s="287">
        <f t="shared" si="13"/>
        <v>2015</v>
      </c>
      <c r="U870" s="274">
        <f>VLOOKUP(A870,'[1]SB35 Determination Data'!$B$4:$F$542,5,FALSE)</f>
        <v>2014</v>
      </c>
    </row>
    <row r="871" spans="1:21" s="274" customFormat="1" ht="12.75" x14ac:dyDescent="0.2">
      <c r="A871" s="282" t="s">
        <v>486</v>
      </c>
      <c r="B871" s="282" t="s">
        <v>262</v>
      </c>
      <c r="C871" s="282" t="s">
        <v>649</v>
      </c>
      <c r="D871" s="283">
        <v>2016</v>
      </c>
      <c r="E871" s="282" t="s">
        <v>650</v>
      </c>
      <c r="F871" s="284">
        <v>52</v>
      </c>
      <c r="G871" s="285">
        <v>0</v>
      </c>
      <c r="H871" s="288">
        <v>0</v>
      </c>
      <c r="I871" s="285">
        <v>0</v>
      </c>
      <c r="J871" s="285">
        <v>31</v>
      </c>
      <c r="K871" s="284">
        <v>0</v>
      </c>
      <c r="L871" s="284">
        <v>0</v>
      </c>
      <c r="M871" s="284">
        <v>0</v>
      </c>
      <c r="N871" s="284">
        <v>33</v>
      </c>
      <c r="O871" s="284">
        <v>8</v>
      </c>
      <c r="P871" s="284">
        <v>85</v>
      </c>
      <c r="Q871" s="286">
        <v>5</v>
      </c>
      <c r="R871" s="274">
        <v>201</v>
      </c>
      <c r="S871" s="274">
        <v>13</v>
      </c>
      <c r="T871" s="287">
        <f t="shared" si="13"/>
        <v>2016</v>
      </c>
      <c r="U871" s="274">
        <f>VLOOKUP(A871,'[1]SB35 Determination Data'!$B$4:$F$542,5,FALSE)</f>
        <v>2014</v>
      </c>
    </row>
    <row r="872" spans="1:21" s="274" customFormat="1" ht="12.75" x14ac:dyDescent="0.2">
      <c r="A872" s="282" t="s">
        <v>486</v>
      </c>
      <c r="B872" s="282" t="s">
        <v>262</v>
      </c>
      <c r="C872" s="282" t="s">
        <v>649</v>
      </c>
      <c r="D872" s="283">
        <v>2017</v>
      </c>
      <c r="E872" s="282" t="s">
        <v>650</v>
      </c>
      <c r="F872" s="284">
        <v>52</v>
      </c>
      <c r="G872" s="285">
        <v>1</v>
      </c>
      <c r="H872" s="288">
        <v>0</v>
      </c>
      <c r="I872" s="285">
        <v>1</v>
      </c>
      <c r="J872" s="285">
        <v>31</v>
      </c>
      <c r="K872" s="284">
        <v>0</v>
      </c>
      <c r="L872" s="284">
        <v>0</v>
      </c>
      <c r="M872" s="284">
        <v>0</v>
      </c>
      <c r="N872" s="289">
        <v>33</v>
      </c>
      <c r="O872" s="284">
        <v>7</v>
      </c>
      <c r="P872" s="284">
        <v>85</v>
      </c>
      <c r="Q872" s="286">
        <v>49</v>
      </c>
      <c r="R872" s="274">
        <v>201</v>
      </c>
      <c r="S872" s="274">
        <v>57</v>
      </c>
      <c r="T872" s="287">
        <f t="shared" si="13"/>
        <v>2017</v>
      </c>
      <c r="U872" s="274">
        <f>VLOOKUP(A872,'[1]SB35 Determination Data'!$B$4:$F$542,5,FALSE)</f>
        <v>2014</v>
      </c>
    </row>
    <row r="873" spans="1:21" s="274" customFormat="1" ht="12.75" x14ac:dyDescent="0.2">
      <c r="A873" s="282" t="s">
        <v>576</v>
      </c>
      <c r="B873" s="282" t="s">
        <v>301</v>
      </c>
      <c r="C873" s="282" t="s">
        <v>654</v>
      </c>
      <c r="D873" s="283">
        <v>2014</v>
      </c>
      <c r="E873" s="282" t="s">
        <v>650</v>
      </c>
      <c r="F873" s="284">
        <v>111</v>
      </c>
      <c r="G873" s="285">
        <v>1</v>
      </c>
      <c r="H873" s="288">
        <v>1</v>
      </c>
      <c r="I873" s="285">
        <v>0</v>
      </c>
      <c r="J873" s="285">
        <v>65</v>
      </c>
      <c r="K873" s="284">
        <v>10</v>
      </c>
      <c r="L873" s="284">
        <v>10</v>
      </c>
      <c r="M873" s="284">
        <v>0</v>
      </c>
      <c r="N873" s="284">
        <v>72</v>
      </c>
      <c r="O873" s="284">
        <v>1</v>
      </c>
      <c r="P873" s="284">
        <v>167</v>
      </c>
      <c r="Q873" s="286">
        <v>19</v>
      </c>
      <c r="R873" s="274">
        <v>415</v>
      </c>
      <c r="S873" s="274">
        <v>31</v>
      </c>
      <c r="T873" s="287">
        <f t="shared" si="13"/>
        <v>2015</v>
      </c>
      <c r="U873" s="274">
        <f>VLOOKUP(A873,'[1]SB35 Determination Data'!$B$4:$F$542,5,FALSE)</f>
        <v>2015</v>
      </c>
    </row>
    <row r="874" spans="1:21" s="274" customFormat="1" ht="12.75" x14ac:dyDescent="0.2">
      <c r="A874" s="282" t="s">
        <v>576</v>
      </c>
      <c r="B874" s="282" t="s">
        <v>301</v>
      </c>
      <c r="C874" s="282" t="s">
        <v>654</v>
      </c>
      <c r="D874" s="283">
        <v>2015</v>
      </c>
      <c r="E874" s="282" t="s">
        <v>650</v>
      </c>
      <c r="F874" s="284">
        <v>111</v>
      </c>
      <c r="G874" s="285">
        <v>16</v>
      </c>
      <c r="H874" s="288">
        <v>16</v>
      </c>
      <c r="I874" s="285">
        <v>0</v>
      </c>
      <c r="J874" s="285">
        <v>65</v>
      </c>
      <c r="K874" s="284">
        <v>0</v>
      </c>
      <c r="L874" s="284">
        <v>0</v>
      </c>
      <c r="M874" s="284">
        <v>0</v>
      </c>
      <c r="N874" s="289">
        <v>72</v>
      </c>
      <c r="O874" s="284">
        <v>1</v>
      </c>
      <c r="P874" s="284">
        <v>167</v>
      </c>
      <c r="Q874" s="286">
        <v>15</v>
      </c>
      <c r="R874" s="274">
        <v>415</v>
      </c>
      <c r="S874" s="274">
        <v>32</v>
      </c>
      <c r="T874" s="287">
        <f t="shared" si="13"/>
        <v>2015</v>
      </c>
      <c r="U874" s="274">
        <f>VLOOKUP(A874,'[1]SB35 Determination Data'!$B$4:$F$542,5,FALSE)</f>
        <v>2015</v>
      </c>
    </row>
    <row r="875" spans="1:21" s="274" customFormat="1" ht="12.75" x14ac:dyDescent="0.2">
      <c r="A875" s="282" t="s">
        <v>576</v>
      </c>
      <c r="B875" s="282" t="s">
        <v>301</v>
      </c>
      <c r="C875" s="282" t="s">
        <v>654</v>
      </c>
      <c r="D875" s="283">
        <v>2016</v>
      </c>
      <c r="E875" s="282" t="s">
        <v>650</v>
      </c>
      <c r="F875" s="284">
        <v>111</v>
      </c>
      <c r="G875" s="285">
        <v>1</v>
      </c>
      <c r="H875" s="288">
        <v>1</v>
      </c>
      <c r="I875" s="285">
        <v>0</v>
      </c>
      <c r="J875" s="285">
        <v>65</v>
      </c>
      <c r="K875" s="284">
        <v>2</v>
      </c>
      <c r="L875" s="284">
        <v>2</v>
      </c>
      <c r="M875" s="284">
        <v>0</v>
      </c>
      <c r="N875" s="284">
        <v>72</v>
      </c>
      <c r="O875" s="284">
        <v>0</v>
      </c>
      <c r="P875" s="284">
        <v>167</v>
      </c>
      <c r="Q875" s="286">
        <v>5</v>
      </c>
      <c r="R875" s="274">
        <v>415</v>
      </c>
      <c r="S875" s="274">
        <v>8</v>
      </c>
      <c r="T875" s="287">
        <f t="shared" si="13"/>
        <v>2016</v>
      </c>
      <c r="U875" s="274">
        <f>VLOOKUP(A875,'[1]SB35 Determination Data'!$B$4:$F$542,5,FALSE)</f>
        <v>2015</v>
      </c>
    </row>
    <row r="876" spans="1:21" s="274" customFormat="1" ht="12.75" x14ac:dyDescent="0.2">
      <c r="A876" s="282" t="s">
        <v>576</v>
      </c>
      <c r="B876" s="282" t="s">
        <v>301</v>
      </c>
      <c r="C876" s="282" t="s">
        <v>654</v>
      </c>
      <c r="D876" s="283">
        <v>2017</v>
      </c>
      <c r="E876" s="282" t="s">
        <v>650</v>
      </c>
      <c r="F876" s="284">
        <v>111</v>
      </c>
      <c r="G876" s="285">
        <v>2</v>
      </c>
      <c r="H876" s="288">
        <v>0</v>
      </c>
      <c r="I876" s="285">
        <v>2</v>
      </c>
      <c r="J876" s="285">
        <v>65</v>
      </c>
      <c r="K876" s="284">
        <v>1</v>
      </c>
      <c r="L876" s="284">
        <v>0</v>
      </c>
      <c r="M876" s="284">
        <v>1</v>
      </c>
      <c r="N876" s="284">
        <v>72</v>
      </c>
      <c r="O876" s="284">
        <v>0</v>
      </c>
      <c r="P876" s="284">
        <v>167</v>
      </c>
      <c r="Q876" s="286">
        <v>6</v>
      </c>
      <c r="R876" s="274">
        <v>415</v>
      </c>
      <c r="S876" s="274">
        <v>9</v>
      </c>
      <c r="T876" s="287">
        <f t="shared" si="13"/>
        <v>2017</v>
      </c>
      <c r="U876" s="274">
        <f>VLOOKUP(A876,'[1]SB35 Determination Data'!$B$4:$F$542,5,FALSE)</f>
        <v>2015</v>
      </c>
    </row>
    <row r="877" spans="1:21" s="274" customFormat="1" ht="12.75" x14ac:dyDescent="0.2">
      <c r="A877" s="282" t="s">
        <v>577</v>
      </c>
      <c r="B877" s="282" t="s">
        <v>679</v>
      </c>
      <c r="C877" s="282" t="s">
        <v>531</v>
      </c>
      <c r="D877" s="283">
        <v>2016</v>
      </c>
      <c r="E877" s="282" t="s">
        <v>650</v>
      </c>
      <c r="F877" s="284">
        <v>315</v>
      </c>
      <c r="G877" s="285">
        <v>0</v>
      </c>
      <c r="H877" s="288">
        <v>0</v>
      </c>
      <c r="I877" s="285">
        <v>0</v>
      </c>
      <c r="J877" s="285">
        <v>202</v>
      </c>
      <c r="K877" s="284">
        <v>0</v>
      </c>
      <c r="L877" s="284">
        <v>0</v>
      </c>
      <c r="M877" s="284">
        <v>0</v>
      </c>
      <c r="N877" s="284">
        <v>210</v>
      </c>
      <c r="O877" s="284">
        <v>4</v>
      </c>
      <c r="P877" s="284">
        <v>520</v>
      </c>
      <c r="Q877" s="286">
        <v>101</v>
      </c>
      <c r="R877" s="274">
        <v>1247</v>
      </c>
      <c r="S877" s="274">
        <v>105</v>
      </c>
      <c r="T877" s="287">
        <f t="shared" si="13"/>
        <v>2016</v>
      </c>
      <c r="U877" s="274">
        <f>VLOOKUP(A877,'[1]SB35 Determination Data'!$B$4:$F$542,5,FALSE)</f>
        <v>2016</v>
      </c>
    </row>
    <row r="878" spans="1:21" s="274" customFormat="1" ht="12.75" x14ac:dyDescent="0.2">
      <c r="A878" s="282" t="s">
        <v>577</v>
      </c>
      <c r="B878" s="282" t="s">
        <v>679</v>
      </c>
      <c r="C878" s="282" t="s">
        <v>531</v>
      </c>
      <c r="D878" s="283">
        <v>2017</v>
      </c>
      <c r="E878" s="282" t="s">
        <v>650</v>
      </c>
      <c r="F878" s="284">
        <v>315</v>
      </c>
      <c r="G878" s="285">
        <v>0</v>
      </c>
      <c r="H878" s="288">
        <v>0</v>
      </c>
      <c r="I878" s="285">
        <v>0</v>
      </c>
      <c r="J878" s="285">
        <v>202</v>
      </c>
      <c r="K878" s="284">
        <v>0</v>
      </c>
      <c r="L878" s="284">
        <v>0</v>
      </c>
      <c r="M878" s="284">
        <v>0</v>
      </c>
      <c r="N878" s="284">
        <v>210</v>
      </c>
      <c r="O878" s="284">
        <v>76</v>
      </c>
      <c r="P878" s="284">
        <v>520</v>
      </c>
      <c r="Q878" s="286">
        <v>34</v>
      </c>
      <c r="R878" s="274">
        <v>1247</v>
      </c>
      <c r="S878" s="274">
        <v>110</v>
      </c>
      <c r="T878" s="287">
        <f t="shared" si="13"/>
        <v>2017</v>
      </c>
      <c r="U878" s="274">
        <f>VLOOKUP(A878,'[1]SB35 Determination Data'!$B$4:$F$542,5,FALSE)</f>
        <v>2016</v>
      </c>
    </row>
    <row r="879" spans="1:21" s="274" customFormat="1" ht="12.75" x14ac:dyDescent="0.2">
      <c r="A879" s="282" t="s">
        <v>186</v>
      </c>
      <c r="B879" s="282" t="s">
        <v>40</v>
      </c>
      <c r="C879" s="282" t="s">
        <v>654</v>
      </c>
      <c r="D879" s="283">
        <v>2015</v>
      </c>
      <c r="E879" s="282" t="s">
        <v>650</v>
      </c>
      <c r="F879" s="284">
        <v>2059</v>
      </c>
      <c r="G879" s="285">
        <v>98</v>
      </c>
      <c r="H879" s="288">
        <v>98</v>
      </c>
      <c r="I879" s="285">
        <v>0</v>
      </c>
      <c r="J879" s="285">
        <v>2075</v>
      </c>
      <c r="K879" s="284">
        <v>30</v>
      </c>
      <c r="L879" s="284">
        <v>30</v>
      </c>
      <c r="M879" s="284">
        <v>0</v>
      </c>
      <c r="N879" s="289">
        <v>2815</v>
      </c>
      <c r="O879" s="284">
        <v>0</v>
      </c>
      <c r="P879" s="284">
        <v>7816</v>
      </c>
      <c r="Q879" s="286">
        <v>643</v>
      </c>
      <c r="R879" s="274">
        <v>14765</v>
      </c>
      <c r="S879" s="274">
        <v>771</v>
      </c>
      <c r="T879" s="287">
        <f t="shared" si="13"/>
        <v>2015</v>
      </c>
      <c r="U879" s="274">
        <f>VLOOKUP(A879,'[1]SB35 Determination Data'!$B$4:$F$542,5,FALSE)</f>
        <v>2015</v>
      </c>
    </row>
    <row r="880" spans="1:21" s="274" customFormat="1" ht="12.75" x14ac:dyDescent="0.2">
      <c r="A880" s="282" t="s">
        <v>186</v>
      </c>
      <c r="B880" s="282" t="s">
        <v>40</v>
      </c>
      <c r="C880" s="282" t="s">
        <v>654</v>
      </c>
      <c r="D880" s="283">
        <v>2016</v>
      </c>
      <c r="E880" s="282" t="s">
        <v>650</v>
      </c>
      <c r="F880" s="284">
        <v>2059</v>
      </c>
      <c r="G880" s="285">
        <v>26</v>
      </c>
      <c r="H880" s="288">
        <v>26</v>
      </c>
      <c r="I880" s="285">
        <v>0</v>
      </c>
      <c r="J880" s="285">
        <v>2075</v>
      </c>
      <c r="K880" s="284">
        <v>13</v>
      </c>
      <c r="L880" s="284">
        <v>13</v>
      </c>
      <c r="M880" s="284">
        <v>0</v>
      </c>
      <c r="N880" s="284">
        <v>2815</v>
      </c>
      <c r="O880" s="284">
        <v>0</v>
      </c>
      <c r="P880" s="284">
        <v>7816</v>
      </c>
      <c r="Q880" s="286">
        <v>2082</v>
      </c>
      <c r="R880" s="274">
        <v>14765</v>
      </c>
      <c r="S880" s="274">
        <v>2121</v>
      </c>
      <c r="T880" s="287">
        <f t="shared" si="13"/>
        <v>2016</v>
      </c>
      <c r="U880" s="274">
        <f>VLOOKUP(A880,'[1]SB35 Determination Data'!$B$4:$F$542,5,FALSE)</f>
        <v>2015</v>
      </c>
    </row>
    <row r="881" spans="1:21" s="274" customFormat="1" ht="12.75" x14ac:dyDescent="0.2">
      <c r="A881" s="282" t="s">
        <v>186</v>
      </c>
      <c r="B881" s="282" t="s">
        <v>40</v>
      </c>
      <c r="C881" s="282" t="s">
        <v>654</v>
      </c>
      <c r="D881" s="283">
        <v>2017</v>
      </c>
      <c r="E881" s="282" t="s">
        <v>650</v>
      </c>
      <c r="F881" s="284">
        <v>2059</v>
      </c>
      <c r="G881" s="285">
        <v>247</v>
      </c>
      <c r="H881" s="288">
        <v>247</v>
      </c>
      <c r="I881" s="285">
        <v>0</v>
      </c>
      <c r="J881" s="285">
        <v>2075</v>
      </c>
      <c r="K881" s="284">
        <v>66</v>
      </c>
      <c r="L881" s="284">
        <v>66</v>
      </c>
      <c r="M881" s="284">
        <v>0</v>
      </c>
      <c r="N881" s="284">
        <v>2815</v>
      </c>
      <c r="O881" s="284">
        <v>11</v>
      </c>
      <c r="P881" s="284">
        <v>7816</v>
      </c>
      <c r="Q881" s="286">
        <v>4019</v>
      </c>
      <c r="R881" s="274">
        <v>14765</v>
      </c>
      <c r="S881" s="274">
        <v>4343</v>
      </c>
      <c r="T881" s="287">
        <f t="shared" si="13"/>
        <v>2017</v>
      </c>
      <c r="U881" s="274">
        <f>VLOOKUP(A881,'[1]SB35 Determination Data'!$B$4:$F$542,5,FALSE)</f>
        <v>2015</v>
      </c>
    </row>
    <row r="882" spans="1:21" s="274" customFormat="1" ht="12.75" x14ac:dyDescent="0.2">
      <c r="A882" s="282" t="s">
        <v>296</v>
      </c>
      <c r="B882" s="282" t="s">
        <v>120</v>
      </c>
      <c r="C882" s="282" t="s">
        <v>654</v>
      </c>
      <c r="D882" s="283">
        <v>2015</v>
      </c>
      <c r="E882" s="282" t="s">
        <v>650</v>
      </c>
      <c r="F882" s="284">
        <v>317</v>
      </c>
      <c r="G882" s="285">
        <v>0</v>
      </c>
      <c r="H882" s="288">
        <v>0</v>
      </c>
      <c r="I882" s="285">
        <v>0</v>
      </c>
      <c r="J882" s="285">
        <v>174</v>
      </c>
      <c r="K882" s="284">
        <v>0</v>
      </c>
      <c r="L882" s="284">
        <v>0</v>
      </c>
      <c r="M882" s="284">
        <v>0</v>
      </c>
      <c r="N882" s="284">
        <v>175</v>
      </c>
      <c r="O882" s="284">
        <v>70</v>
      </c>
      <c r="P882" s="284">
        <v>502</v>
      </c>
      <c r="Q882" s="286">
        <v>164</v>
      </c>
      <c r="R882" s="274">
        <v>1168</v>
      </c>
      <c r="S882" s="274">
        <v>234</v>
      </c>
      <c r="T882" s="287">
        <f t="shared" si="13"/>
        <v>2015</v>
      </c>
      <c r="U882" s="274">
        <f>VLOOKUP(A882,'[1]SB35 Determination Data'!$B$4:$F$542,5,FALSE)</f>
        <v>2015</v>
      </c>
    </row>
    <row r="883" spans="1:21" s="274" customFormat="1" ht="12.75" x14ac:dyDescent="0.2">
      <c r="A883" s="282" t="s">
        <v>296</v>
      </c>
      <c r="B883" s="282" t="s">
        <v>120</v>
      </c>
      <c r="C883" s="282" t="s">
        <v>654</v>
      </c>
      <c r="D883" s="283">
        <v>2016</v>
      </c>
      <c r="E883" s="282" t="s">
        <v>650</v>
      </c>
      <c r="F883" s="284">
        <v>317</v>
      </c>
      <c r="G883" s="285">
        <v>0</v>
      </c>
      <c r="H883" s="288">
        <v>0</v>
      </c>
      <c r="I883" s="285">
        <v>0</v>
      </c>
      <c r="J883" s="285">
        <v>174</v>
      </c>
      <c r="K883" s="284">
        <v>0</v>
      </c>
      <c r="L883" s="284">
        <v>0</v>
      </c>
      <c r="M883" s="284">
        <v>0</v>
      </c>
      <c r="N883" s="284">
        <v>175</v>
      </c>
      <c r="O883" s="284">
        <v>88</v>
      </c>
      <c r="P883" s="284">
        <v>502</v>
      </c>
      <c r="Q883" s="286">
        <v>208</v>
      </c>
      <c r="R883" s="274">
        <v>1168</v>
      </c>
      <c r="S883" s="274">
        <v>296</v>
      </c>
      <c r="T883" s="287">
        <f t="shared" si="13"/>
        <v>2016</v>
      </c>
      <c r="U883" s="274">
        <f>VLOOKUP(A883,'[1]SB35 Determination Data'!$B$4:$F$542,5,FALSE)</f>
        <v>2015</v>
      </c>
    </row>
    <row r="884" spans="1:21" s="274" customFormat="1" ht="12.75" x14ac:dyDescent="0.2">
      <c r="A884" s="282" t="s">
        <v>296</v>
      </c>
      <c r="B884" s="282" t="s">
        <v>120</v>
      </c>
      <c r="C884" s="282" t="s">
        <v>654</v>
      </c>
      <c r="D884" s="283">
        <v>2017</v>
      </c>
      <c r="E884" s="282" t="s">
        <v>650</v>
      </c>
      <c r="F884" s="284">
        <v>317</v>
      </c>
      <c r="G884" s="285">
        <v>8</v>
      </c>
      <c r="H884" s="288">
        <v>8</v>
      </c>
      <c r="I884" s="285">
        <v>0</v>
      </c>
      <c r="J884" s="285">
        <v>174</v>
      </c>
      <c r="K884" s="284">
        <v>66</v>
      </c>
      <c r="L884" s="284">
        <v>66</v>
      </c>
      <c r="M884" s="284">
        <v>0</v>
      </c>
      <c r="N884" s="289">
        <v>175</v>
      </c>
      <c r="O884" s="284">
        <v>51</v>
      </c>
      <c r="P884" s="284">
        <v>502</v>
      </c>
      <c r="Q884" s="286">
        <v>117</v>
      </c>
      <c r="R884" s="274">
        <v>1168</v>
      </c>
      <c r="S884" s="274">
        <v>242</v>
      </c>
      <c r="T884" s="287">
        <f t="shared" si="13"/>
        <v>2017</v>
      </c>
      <c r="U884" s="274">
        <f>VLOOKUP(A884,'[1]SB35 Determination Data'!$B$4:$F$542,5,FALSE)</f>
        <v>2015</v>
      </c>
    </row>
    <row r="885" spans="1:21" s="274" customFormat="1" ht="12.75" x14ac:dyDescent="0.2">
      <c r="A885" s="282" t="s">
        <v>578</v>
      </c>
      <c r="B885" s="282" t="s">
        <v>557</v>
      </c>
      <c r="C885" s="282" t="s">
        <v>758</v>
      </c>
      <c r="D885" s="283">
        <v>2013</v>
      </c>
      <c r="E885" s="282" t="s">
        <v>650</v>
      </c>
      <c r="F885" s="284">
        <v>1549</v>
      </c>
      <c r="G885" s="285">
        <v>267</v>
      </c>
      <c r="H885" s="288">
        <v>244</v>
      </c>
      <c r="I885" s="285">
        <v>23</v>
      </c>
      <c r="J885" s="285">
        <v>1178</v>
      </c>
      <c r="K885" s="284">
        <v>57</v>
      </c>
      <c r="L885" s="284">
        <v>55</v>
      </c>
      <c r="M885" s="284">
        <v>2</v>
      </c>
      <c r="N885" s="284">
        <v>1090</v>
      </c>
      <c r="O885" s="284">
        <v>102</v>
      </c>
      <c r="P885" s="284">
        <v>2393</v>
      </c>
      <c r="Q885" s="286">
        <v>362</v>
      </c>
      <c r="R885" s="274">
        <v>6210</v>
      </c>
      <c r="S885" s="274">
        <v>788</v>
      </c>
      <c r="T885" s="287">
        <f t="shared" si="13"/>
        <v>2013</v>
      </c>
      <c r="U885" s="274">
        <f>VLOOKUP(A885,'[1]SB35 Determination Data'!$B$4:$F$542,5,FALSE)</f>
        <v>2013</v>
      </c>
    </row>
    <row r="886" spans="1:21" s="274" customFormat="1" ht="12.75" x14ac:dyDescent="0.2">
      <c r="A886" s="282" t="s">
        <v>578</v>
      </c>
      <c r="B886" s="282" t="s">
        <v>557</v>
      </c>
      <c r="C886" s="282" t="s">
        <v>758</v>
      </c>
      <c r="D886" s="283">
        <v>2014</v>
      </c>
      <c r="E886" s="282" t="s">
        <v>650</v>
      </c>
      <c r="F886" s="284">
        <v>1549</v>
      </c>
      <c r="G886" s="285">
        <v>0</v>
      </c>
      <c r="H886" s="288">
        <v>0</v>
      </c>
      <c r="I886" s="285">
        <v>0</v>
      </c>
      <c r="J886" s="285">
        <v>1178</v>
      </c>
      <c r="K886" s="284">
        <v>0</v>
      </c>
      <c r="L886" s="284">
        <v>0</v>
      </c>
      <c r="M886" s="284">
        <v>0</v>
      </c>
      <c r="N886" s="284">
        <v>1090</v>
      </c>
      <c r="O886" s="284">
        <v>20</v>
      </c>
      <c r="P886" s="284">
        <v>2393</v>
      </c>
      <c r="Q886" s="286">
        <v>92</v>
      </c>
      <c r="R886" s="274">
        <v>6210</v>
      </c>
      <c r="S886" s="274">
        <v>112</v>
      </c>
      <c r="T886" s="287">
        <f t="shared" si="13"/>
        <v>2014</v>
      </c>
      <c r="U886" s="274">
        <f>VLOOKUP(A886,'[1]SB35 Determination Data'!$B$4:$F$542,5,FALSE)</f>
        <v>2013</v>
      </c>
    </row>
    <row r="887" spans="1:21" s="274" customFormat="1" ht="12.75" x14ac:dyDescent="0.2">
      <c r="A887" s="282" t="s">
        <v>578</v>
      </c>
      <c r="B887" s="282" t="s">
        <v>557</v>
      </c>
      <c r="C887" s="282" t="s">
        <v>758</v>
      </c>
      <c r="D887" s="283">
        <v>2015</v>
      </c>
      <c r="E887" s="282" t="s">
        <v>650</v>
      </c>
      <c r="F887" s="284">
        <v>1549</v>
      </c>
      <c r="G887" s="285">
        <v>0</v>
      </c>
      <c r="H887" s="288">
        <v>0</v>
      </c>
      <c r="I887" s="285">
        <v>0</v>
      </c>
      <c r="J887" s="285">
        <v>1178</v>
      </c>
      <c r="K887" s="284">
        <v>0</v>
      </c>
      <c r="L887" s="284">
        <v>0</v>
      </c>
      <c r="M887" s="284">
        <v>0</v>
      </c>
      <c r="N887" s="289">
        <v>1090</v>
      </c>
      <c r="O887" s="284">
        <v>27</v>
      </c>
      <c r="P887" s="284">
        <v>2393</v>
      </c>
      <c r="Q887" s="286">
        <v>73</v>
      </c>
      <c r="R887" s="274">
        <v>6210</v>
      </c>
      <c r="S887" s="274">
        <v>100</v>
      </c>
      <c r="T887" s="287">
        <f t="shared" si="13"/>
        <v>2015</v>
      </c>
      <c r="U887" s="274">
        <f>VLOOKUP(A887,'[1]SB35 Determination Data'!$B$4:$F$542,5,FALSE)</f>
        <v>2013</v>
      </c>
    </row>
    <row r="888" spans="1:21" s="274" customFormat="1" ht="12.75" x14ac:dyDescent="0.2">
      <c r="A888" s="282" t="s">
        <v>578</v>
      </c>
      <c r="B888" s="282" t="s">
        <v>557</v>
      </c>
      <c r="C888" s="282" t="s">
        <v>758</v>
      </c>
      <c r="D888" s="283">
        <v>2016</v>
      </c>
      <c r="E888" s="282" t="s">
        <v>650</v>
      </c>
      <c r="F888" s="284">
        <v>1549</v>
      </c>
      <c r="G888" s="285">
        <v>0</v>
      </c>
      <c r="H888" s="288">
        <v>0</v>
      </c>
      <c r="I888" s="285">
        <v>0</v>
      </c>
      <c r="J888" s="285">
        <v>1178</v>
      </c>
      <c r="K888" s="284">
        <v>0</v>
      </c>
      <c r="L888" s="284">
        <v>0</v>
      </c>
      <c r="M888" s="284">
        <v>0</v>
      </c>
      <c r="N888" s="284">
        <v>1090</v>
      </c>
      <c r="O888" s="284">
        <v>0</v>
      </c>
      <c r="P888" s="284">
        <v>2393</v>
      </c>
      <c r="Q888" s="286">
        <v>0</v>
      </c>
      <c r="R888" s="274">
        <v>6210</v>
      </c>
      <c r="S888" s="274">
        <v>0</v>
      </c>
      <c r="T888" s="287">
        <f t="shared" si="13"/>
        <v>2016</v>
      </c>
      <c r="U888" s="274">
        <f>VLOOKUP(A888,'[1]SB35 Determination Data'!$B$4:$F$542,5,FALSE)</f>
        <v>2013</v>
      </c>
    </row>
    <row r="889" spans="1:21" s="274" customFormat="1" ht="12.75" x14ac:dyDescent="0.2">
      <c r="A889" s="282" t="s">
        <v>578</v>
      </c>
      <c r="B889" s="282" t="s">
        <v>557</v>
      </c>
      <c r="C889" s="282" t="s">
        <v>758</v>
      </c>
      <c r="D889" s="283">
        <v>2017</v>
      </c>
      <c r="E889" s="282" t="s">
        <v>650</v>
      </c>
      <c r="F889" s="284">
        <v>1549</v>
      </c>
      <c r="G889" s="285">
        <v>43</v>
      </c>
      <c r="H889" s="288">
        <v>43</v>
      </c>
      <c r="I889" s="285">
        <v>0</v>
      </c>
      <c r="J889" s="285">
        <v>1178</v>
      </c>
      <c r="K889" s="284">
        <v>117</v>
      </c>
      <c r="L889" s="284">
        <v>117</v>
      </c>
      <c r="M889" s="284">
        <v>0</v>
      </c>
      <c r="N889" s="284">
        <v>1090</v>
      </c>
      <c r="O889" s="284">
        <v>0</v>
      </c>
      <c r="P889" s="284">
        <v>2393</v>
      </c>
      <c r="Q889" s="286">
        <v>39</v>
      </c>
      <c r="R889" s="274">
        <v>6210</v>
      </c>
      <c r="S889" s="274">
        <v>199</v>
      </c>
      <c r="T889" s="287">
        <f t="shared" si="13"/>
        <v>2017</v>
      </c>
      <c r="U889" s="274">
        <f>VLOOKUP(A889,'[1]SB35 Determination Data'!$B$4:$F$542,5,FALSE)</f>
        <v>2013</v>
      </c>
    </row>
    <row r="890" spans="1:21" s="274" customFormat="1" ht="12.75" x14ac:dyDescent="0.2">
      <c r="A890" s="282" t="s">
        <v>579</v>
      </c>
      <c r="B890" s="282" t="s">
        <v>743</v>
      </c>
      <c r="C890" s="282" t="s">
        <v>649</v>
      </c>
      <c r="D890" s="283">
        <v>2015</v>
      </c>
      <c r="E890" s="282" t="s">
        <v>650</v>
      </c>
      <c r="F890" s="284">
        <v>87</v>
      </c>
      <c r="G890" s="285">
        <v>0</v>
      </c>
      <c r="H890" s="288">
        <v>0</v>
      </c>
      <c r="I890" s="285">
        <v>0</v>
      </c>
      <c r="J890" s="285">
        <v>59</v>
      </c>
      <c r="K890" s="284">
        <v>0</v>
      </c>
      <c r="L890" s="284">
        <v>0</v>
      </c>
      <c r="M890" s="284">
        <v>0</v>
      </c>
      <c r="N890" s="284">
        <v>70</v>
      </c>
      <c r="O890" s="284">
        <v>3</v>
      </c>
      <c r="P890" s="284">
        <v>155</v>
      </c>
      <c r="Q890" s="286">
        <v>1</v>
      </c>
      <c r="R890" s="274">
        <v>371</v>
      </c>
      <c r="S890" s="274">
        <v>4</v>
      </c>
      <c r="T890" s="287">
        <f t="shared" si="13"/>
        <v>2015</v>
      </c>
      <c r="U890" s="274">
        <f>VLOOKUP(A890,'[1]SB35 Determination Data'!$B$4:$F$542,5,FALSE)</f>
        <v>2014</v>
      </c>
    </row>
    <row r="891" spans="1:21" s="274" customFormat="1" ht="12.75" x14ac:dyDescent="0.2">
      <c r="A891" s="282" t="s">
        <v>579</v>
      </c>
      <c r="B891" s="282" t="s">
        <v>743</v>
      </c>
      <c r="C891" s="282" t="s">
        <v>649</v>
      </c>
      <c r="D891" s="283">
        <v>2016</v>
      </c>
      <c r="E891" s="282" t="s">
        <v>650</v>
      </c>
      <c r="F891" s="284">
        <v>87</v>
      </c>
      <c r="G891" s="285">
        <v>0</v>
      </c>
      <c r="H891" s="288">
        <v>0</v>
      </c>
      <c r="I891" s="285">
        <v>0</v>
      </c>
      <c r="J891" s="285">
        <v>59</v>
      </c>
      <c r="K891" s="284">
        <v>0</v>
      </c>
      <c r="L891" s="284">
        <v>0</v>
      </c>
      <c r="M891" s="284">
        <v>0</v>
      </c>
      <c r="N891" s="284">
        <v>70</v>
      </c>
      <c r="O891" s="284">
        <v>8</v>
      </c>
      <c r="P891" s="284">
        <v>155</v>
      </c>
      <c r="Q891" s="286">
        <v>0</v>
      </c>
      <c r="R891" s="274">
        <v>371</v>
      </c>
      <c r="S891" s="274">
        <v>8</v>
      </c>
      <c r="T891" s="287">
        <f t="shared" si="13"/>
        <v>2016</v>
      </c>
      <c r="U891" s="274">
        <f>VLOOKUP(A891,'[1]SB35 Determination Data'!$B$4:$F$542,5,FALSE)</f>
        <v>2014</v>
      </c>
    </row>
    <row r="892" spans="1:21" s="274" customFormat="1" ht="12.75" x14ac:dyDescent="0.2">
      <c r="A892" s="282" t="s">
        <v>579</v>
      </c>
      <c r="B892" s="282" t="s">
        <v>743</v>
      </c>
      <c r="C892" s="282" t="s">
        <v>649</v>
      </c>
      <c r="D892" s="283">
        <v>2017</v>
      </c>
      <c r="E892" s="282" t="s">
        <v>650</v>
      </c>
      <c r="F892" s="284">
        <v>87</v>
      </c>
      <c r="G892" s="285">
        <v>0</v>
      </c>
      <c r="H892" s="288">
        <v>0</v>
      </c>
      <c r="I892" s="285">
        <v>0</v>
      </c>
      <c r="J892" s="285">
        <v>59</v>
      </c>
      <c r="K892" s="284">
        <v>0</v>
      </c>
      <c r="L892" s="284">
        <v>0</v>
      </c>
      <c r="M892" s="284">
        <v>0</v>
      </c>
      <c r="N892" s="289">
        <v>70</v>
      </c>
      <c r="O892" s="284">
        <v>2</v>
      </c>
      <c r="P892" s="284">
        <v>155</v>
      </c>
      <c r="Q892" s="286">
        <v>9</v>
      </c>
      <c r="R892" s="274">
        <v>371</v>
      </c>
      <c r="S892" s="274">
        <v>11</v>
      </c>
      <c r="T892" s="287">
        <f t="shared" si="13"/>
        <v>2017</v>
      </c>
      <c r="U892" s="274">
        <f>VLOOKUP(A892,'[1]SB35 Determination Data'!$B$4:$F$542,5,FALSE)</f>
        <v>2014</v>
      </c>
    </row>
    <row r="893" spans="1:21" s="274" customFormat="1" ht="12.75" x14ac:dyDescent="0.2">
      <c r="A893" s="282" t="s">
        <v>580</v>
      </c>
      <c r="B893" s="282" t="s">
        <v>542</v>
      </c>
      <c r="C893" s="282" t="s">
        <v>649</v>
      </c>
      <c r="D893" s="283">
        <v>2014</v>
      </c>
      <c r="E893" s="282" t="s">
        <v>650</v>
      </c>
      <c r="F893" s="284">
        <v>2592</v>
      </c>
      <c r="G893" s="285">
        <v>0</v>
      </c>
      <c r="H893" s="288">
        <v>0</v>
      </c>
      <c r="I893" s="285">
        <v>0</v>
      </c>
      <c r="J893" s="285">
        <v>1745</v>
      </c>
      <c r="K893" s="284">
        <v>0</v>
      </c>
      <c r="L893" s="284">
        <v>0</v>
      </c>
      <c r="M893" s="284">
        <v>0</v>
      </c>
      <c r="N893" s="289">
        <v>1977</v>
      </c>
      <c r="O893" s="284">
        <v>364</v>
      </c>
      <c r="P893" s="284">
        <v>4547</v>
      </c>
      <c r="Q893" s="286">
        <v>163</v>
      </c>
      <c r="R893" s="274">
        <v>10861</v>
      </c>
      <c r="S893" s="274">
        <v>527</v>
      </c>
      <c r="T893" s="287">
        <f t="shared" si="13"/>
        <v>2014</v>
      </c>
      <c r="U893" s="274">
        <f>VLOOKUP(A893,'[1]SB35 Determination Data'!$B$4:$F$542,5,FALSE)</f>
        <v>2014</v>
      </c>
    </row>
    <row r="894" spans="1:21" s="274" customFormat="1" ht="12.75" x14ac:dyDescent="0.2">
      <c r="A894" s="282" t="s">
        <v>580</v>
      </c>
      <c r="B894" s="282" t="s">
        <v>542</v>
      </c>
      <c r="C894" s="282" t="s">
        <v>649</v>
      </c>
      <c r="D894" s="283">
        <v>2015</v>
      </c>
      <c r="E894" s="282" t="s">
        <v>650</v>
      </c>
      <c r="F894" s="284">
        <v>2592</v>
      </c>
      <c r="G894" s="285">
        <v>0</v>
      </c>
      <c r="H894" s="288">
        <v>0</v>
      </c>
      <c r="I894" s="285">
        <v>0</v>
      </c>
      <c r="J894" s="285">
        <v>1745</v>
      </c>
      <c r="K894" s="284">
        <v>0</v>
      </c>
      <c r="L894" s="284">
        <v>0</v>
      </c>
      <c r="M894" s="284">
        <v>0</v>
      </c>
      <c r="N894" s="284">
        <v>1977</v>
      </c>
      <c r="O894" s="284">
        <v>138</v>
      </c>
      <c r="P894" s="284">
        <v>4547</v>
      </c>
      <c r="Q894" s="286">
        <v>420</v>
      </c>
      <c r="R894" s="274">
        <v>10861</v>
      </c>
      <c r="S894" s="274">
        <v>558</v>
      </c>
      <c r="T894" s="287">
        <f t="shared" si="13"/>
        <v>2015</v>
      </c>
      <c r="U894" s="274">
        <f>VLOOKUP(A894,'[1]SB35 Determination Data'!$B$4:$F$542,5,FALSE)</f>
        <v>2014</v>
      </c>
    </row>
    <row r="895" spans="1:21" s="274" customFormat="1" ht="12.75" x14ac:dyDescent="0.2">
      <c r="A895" s="282" t="s">
        <v>580</v>
      </c>
      <c r="B895" s="282" t="s">
        <v>542</v>
      </c>
      <c r="C895" s="282" t="s">
        <v>649</v>
      </c>
      <c r="D895" s="283">
        <v>2016</v>
      </c>
      <c r="E895" s="282" t="s">
        <v>650</v>
      </c>
      <c r="F895" s="284">
        <v>2592</v>
      </c>
      <c r="G895" s="285">
        <v>0</v>
      </c>
      <c r="H895" s="288">
        <v>0</v>
      </c>
      <c r="I895" s="285">
        <v>0</v>
      </c>
      <c r="J895" s="285">
        <v>1745</v>
      </c>
      <c r="K895" s="284">
        <v>0</v>
      </c>
      <c r="L895" s="284">
        <v>0</v>
      </c>
      <c r="M895" s="284">
        <v>0</v>
      </c>
      <c r="N895" s="284">
        <v>1977</v>
      </c>
      <c r="O895" s="284">
        <v>340</v>
      </c>
      <c r="P895" s="284">
        <v>4547</v>
      </c>
      <c r="Q895" s="286">
        <v>287</v>
      </c>
      <c r="R895" s="274">
        <v>10861</v>
      </c>
      <c r="S895" s="274">
        <v>627</v>
      </c>
      <c r="T895" s="287">
        <f t="shared" si="13"/>
        <v>2016</v>
      </c>
      <c r="U895" s="274">
        <f>VLOOKUP(A895,'[1]SB35 Determination Data'!$B$4:$F$542,5,FALSE)</f>
        <v>2014</v>
      </c>
    </row>
    <row r="896" spans="1:21" s="274" customFormat="1" ht="12.75" x14ac:dyDescent="0.2">
      <c r="A896" s="282" t="s">
        <v>580</v>
      </c>
      <c r="B896" s="282" t="s">
        <v>542</v>
      </c>
      <c r="C896" s="282" t="s">
        <v>649</v>
      </c>
      <c r="D896" s="283">
        <v>2017</v>
      </c>
      <c r="E896" s="282" t="s">
        <v>650</v>
      </c>
      <c r="F896" s="284">
        <v>2592</v>
      </c>
      <c r="G896" s="285">
        <v>0</v>
      </c>
      <c r="H896" s="288">
        <v>0</v>
      </c>
      <c r="I896" s="285">
        <v>0</v>
      </c>
      <c r="J896" s="285">
        <v>1745</v>
      </c>
      <c r="K896" s="284">
        <v>0</v>
      </c>
      <c r="L896" s="284">
        <v>0</v>
      </c>
      <c r="M896" s="284">
        <v>0</v>
      </c>
      <c r="N896" s="284">
        <v>1977</v>
      </c>
      <c r="O896" s="284">
        <v>520</v>
      </c>
      <c r="P896" s="284">
        <v>4547</v>
      </c>
      <c r="Q896" s="286">
        <v>1136</v>
      </c>
      <c r="R896" s="274">
        <v>10861</v>
      </c>
      <c r="S896" s="274">
        <v>1656</v>
      </c>
      <c r="T896" s="287">
        <f t="shared" si="13"/>
        <v>2017</v>
      </c>
      <c r="U896" s="274">
        <f>VLOOKUP(A896,'[1]SB35 Determination Data'!$B$4:$F$542,5,FALSE)</f>
        <v>2014</v>
      </c>
    </row>
    <row r="897" spans="1:21" s="274" customFormat="1" ht="12.75" x14ac:dyDescent="0.2">
      <c r="A897" s="282" t="s">
        <v>436</v>
      </c>
      <c r="B897" s="282" t="s">
        <v>436</v>
      </c>
      <c r="C897" s="282" t="s">
        <v>649</v>
      </c>
      <c r="D897" s="283">
        <v>2014</v>
      </c>
      <c r="E897" s="282" t="s">
        <v>650</v>
      </c>
      <c r="F897" s="284">
        <v>83</v>
      </c>
      <c r="G897" s="285">
        <v>0</v>
      </c>
      <c r="H897" s="288">
        <v>0</v>
      </c>
      <c r="I897" s="285">
        <v>0</v>
      </c>
      <c r="J897" s="285">
        <v>59</v>
      </c>
      <c r="K897" s="284">
        <v>0</v>
      </c>
      <c r="L897" s="284">
        <v>0</v>
      </c>
      <c r="M897" s="284">
        <v>0</v>
      </c>
      <c r="N897" s="284">
        <v>66</v>
      </c>
      <c r="O897" s="284">
        <v>2</v>
      </c>
      <c r="P897" s="284">
        <v>155</v>
      </c>
      <c r="Q897" s="286">
        <v>1</v>
      </c>
      <c r="R897" s="274">
        <v>363</v>
      </c>
      <c r="S897" s="274">
        <v>3</v>
      </c>
      <c r="T897" s="287">
        <f t="shared" si="13"/>
        <v>2014</v>
      </c>
      <c r="U897" s="274">
        <f>VLOOKUP(A897,'[1]SB35 Determination Data'!$B$4:$F$542,5,FALSE)</f>
        <v>2014</v>
      </c>
    </row>
    <row r="898" spans="1:21" s="274" customFormat="1" ht="12.75" x14ac:dyDescent="0.2">
      <c r="A898" s="282" t="s">
        <v>436</v>
      </c>
      <c r="B898" s="282" t="s">
        <v>436</v>
      </c>
      <c r="C898" s="282" t="s">
        <v>649</v>
      </c>
      <c r="D898" s="283">
        <v>2015</v>
      </c>
      <c r="E898" s="282" t="s">
        <v>650</v>
      </c>
      <c r="F898" s="284">
        <v>83</v>
      </c>
      <c r="G898" s="285">
        <v>0</v>
      </c>
      <c r="H898" s="288">
        <v>0</v>
      </c>
      <c r="I898" s="285">
        <v>0</v>
      </c>
      <c r="J898" s="285">
        <v>59</v>
      </c>
      <c r="K898" s="284">
        <v>1</v>
      </c>
      <c r="L898" s="284">
        <v>1</v>
      </c>
      <c r="M898" s="284">
        <v>0</v>
      </c>
      <c r="N898" s="289">
        <v>66</v>
      </c>
      <c r="O898" s="284">
        <v>7</v>
      </c>
      <c r="P898" s="284">
        <v>155</v>
      </c>
      <c r="Q898" s="286">
        <v>1</v>
      </c>
      <c r="R898" s="274">
        <v>363</v>
      </c>
      <c r="S898" s="274">
        <v>9</v>
      </c>
      <c r="T898" s="287">
        <f t="shared" si="13"/>
        <v>2015</v>
      </c>
      <c r="U898" s="274">
        <f>VLOOKUP(A898,'[1]SB35 Determination Data'!$B$4:$F$542,5,FALSE)</f>
        <v>2014</v>
      </c>
    </row>
    <row r="899" spans="1:21" s="274" customFormat="1" ht="12.75" x14ac:dyDescent="0.2">
      <c r="A899" s="282" t="s">
        <v>436</v>
      </c>
      <c r="B899" s="282" t="s">
        <v>436</v>
      </c>
      <c r="C899" s="282" t="s">
        <v>649</v>
      </c>
      <c r="D899" s="283">
        <v>2016</v>
      </c>
      <c r="E899" s="282" t="s">
        <v>650</v>
      </c>
      <c r="F899" s="284">
        <v>83</v>
      </c>
      <c r="G899" s="285">
        <v>0</v>
      </c>
      <c r="H899" s="288">
        <v>0</v>
      </c>
      <c r="I899" s="285">
        <v>0</v>
      </c>
      <c r="J899" s="285">
        <v>59</v>
      </c>
      <c r="K899" s="284">
        <v>0</v>
      </c>
      <c r="L899" s="284">
        <v>0</v>
      </c>
      <c r="M899" s="284">
        <v>0</v>
      </c>
      <c r="N899" s="284">
        <v>66</v>
      </c>
      <c r="O899" s="284">
        <v>0</v>
      </c>
      <c r="P899" s="284">
        <v>155</v>
      </c>
      <c r="Q899" s="286">
        <v>5</v>
      </c>
      <c r="R899" s="274">
        <v>363</v>
      </c>
      <c r="S899" s="274">
        <v>5</v>
      </c>
      <c r="T899" s="287">
        <f t="shared" si="13"/>
        <v>2016</v>
      </c>
      <c r="U899" s="274">
        <f>VLOOKUP(A899,'[1]SB35 Determination Data'!$B$4:$F$542,5,FALSE)</f>
        <v>2014</v>
      </c>
    </row>
    <row r="900" spans="1:21" s="274" customFormat="1" ht="12.75" x14ac:dyDescent="0.2">
      <c r="A900" s="282" t="s">
        <v>436</v>
      </c>
      <c r="B900" s="282" t="s">
        <v>436</v>
      </c>
      <c r="C900" s="282" t="s">
        <v>649</v>
      </c>
      <c r="D900" s="283">
        <v>2017</v>
      </c>
      <c r="E900" s="282" t="s">
        <v>650</v>
      </c>
      <c r="F900" s="284">
        <v>83</v>
      </c>
      <c r="G900" s="285">
        <v>7</v>
      </c>
      <c r="H900" s="288">
        <v>7</v>
      </c>
      <c r="I900" s="285">
        <v>0</v>
      </c>
      <c r="J900" s="285">
        <v>59</v>
      </c>
      <c r="K900" s="284">
        <v>2</v>
      </c>
      <c r="L900" s="284">
        <v>2</v>
      </c>
      <c r="M900" s="284">
        <v>0</v>
      </c>
      <c r="N900" s="284">
        <v>66</v>
      </c>
      <c r="O900" s="284">
        <v>72</v>
      </c>
      <c r="P900" s="284">
        <v>155</v>
      </c>
      <c r="Q900" s="286">
        <v>393</v>
      </c>
      <c r="R900" s="274">
        <v>363</v>
      </c>
      <c r="S900" s="274">
        <v>474</v>
      </c>
      <c r="T900" s="287">
        <f t="shared" ref="T900:T963" si="14">IF(D900&gt;U900,D900,U900)</f>
        <v>2017</v>
      </c>
      <c r="U900" s="274">
        <f>VLOOKUP(A900,'[1]SB35 Determination Data'!$B$4:$F$542,5,FALSE)</f>
        <v>2014</v>
      </c>
    </row>
    <row r="901" spans="1:21" s="274" customFormat="1" ht="12.75" x14ac:dyDescent="0.2">
      <c r="A901" s="282" t="s">
        <v>581</v>
      </c>
      <c r="B901" s="282" t="s">
        <v>436</v>
      </c>
      <c r="C901" s="282" t="s">
        <v>649</v>
      </c>
      <c r="D901" s="283">
        <v>2014</v>
      </c>
      <c r="E901" s="282" t="s">
        <v>650</v>
      </c>
      <c r="F901" s="284">
        <v>1240</v>
      </c>
      <c r="G901" s="285">
        <v>0</v>
      </c>
      <c r="H901" s="288">
        <v>0</v>
      </c>
      <c r="I901" s="285">
        <v>0</v>
      </c>
      <c r="J901" s="285">
        <v>879</v>
      </c>
      <c r="K901" s="284">
        <v>0</v>
      </c>
      <c r="L901" s="284">
        <v>0</v>
      </c>
      <c r="M901" s="284">
        <v>0</v>
      </c>
      <c r="N901" s="284">
        <v>979</v>
      </c>
      <c r="O901" s="284">
        <v>180</v>
      </c>
      <c r="P901" s="284">
        <v>2174</v>
      </c>
      <c r="Q901" s="286">
        <v>593</v>
      </c>
      <c r="R901" s="274">
        <v>5272</v>
      </c>
      <c r="S901" s="274">
        <v>773</v>
      </c>
      <c r="T901" s="287">
        <f t="shared" si="14"/>
        <v>2014</v>
      </c>
      <c r="U901" s="274">
        <f>VLOOKUP(A901,'[1]SB35 Determination Data'!$B$4:$F$542,5,FALSE)</f>
        <v>2014</v>
      </c>
    </row>
    <row r="902" spans="1:21" s="274" customFormat="1" ht="12.75" x14ac:dyDescent="0.2">
      <c r="A902" s="282" t="s">
        <v>581</v>
      </c>
      <c r="B902" s="282" t="s">
        <v>436</v>
      </c>
      <c r="C902" s="282" t="s">
        <v>649</v>
      </c>
      <c r="D902" s="283">
        <v>2015</v>
      </c>
      <c r="E902" s="282" t="s">
        <v>650</v>
      </c>
      <c r="F902" s="284">
        <v>1240</v>
      </c>
      <c r="G902" s="285">
        <v>0</v>
      </c>
      <c r="H902" s="288">
        <v>0</v>
      </c>
      <c r="I902" s="285">
        <v>0</v>
      </c>
      <c r="J902" s="285">
        <v>879</v>
      </c>
      <c r="K902" s="284">
        <v>0</v>
      </c>
      <c r="L902" s="284">
        <v>0</v>
      </c>
      <c r="M902" s="284">
        <v>0</v>
      </c>
      <c r="N902" s="289">
        <v>979</v>
      </c>
      <c r="O902" s="284">
        <v>0</v>
      </c>
      <c r="P902" s="284">
        <v>2174</v>
      </c>
      <c r="Q902" s="286">
        <v>513</v>
      </c>
      <c r="R902" s="274">
        <v>5272</v>
      </c>
      <c r="S902" s="274">
        <v>513</v>
      </c>
      <c r="T902" s="287">
        <f t="shared" si="14"/>
        <v>2015</v>
      </c>
      <c r="U902" s="274">
        <f>VLOOKUP(A902,'[1]SB35 Determination Data'!$B$4:$F$542,5,FALSE)</f>
        <v>2014</v>
      </c>
    </row>
    <row r="903" spans="1:21" s="274" customFormat="1" ht="12.75" x14ac:dyDescent="0.2">
      <c r="A903" s="282" t="s">
        <v>581</v>
      </c>
      <c r="B903" s="282" t="s">
        <v>436</v>
      </c>
      <c r="C903" s="282" t="s">
        <v>649</v>
      </c>
      <c r="D903" s="283">
        <v>2016</v>
      </c>
      <c r="E903" s="282" t="s">
        <v>650</v>
      </c>
      <c r="F903" s="284">
        <v>1240</v>
      </c>
      <c r="G903" s="285">
        <v>81</v>
      </c>
      <c r="H903" s="288">
        <v>81</v>
      </c>
      <c r="I903" s="285">
        <v>0</v>
      </c>
      <c r="J903" s="285">
        <v>879</v>
      </c>
      <c r="K903" s="284">
        <v>151</v>
      </c>
      <c r="L903" s="284">
        <v>151</v>
      </c>
      <c r="M903" s="284">
        <v>0</v>
      </c>
      <c r="N903" s="284">
        <v>979</v>
      </c>
      <c r="O903" s="284">
        <v>0</v>
      </c>
      <c r="P903" s="284">
        <v>2174</v>
      </c>
      <c r="Q903" s="286">
        <v>780</v>
      </c>
      <c r="R903" s="274">
        <v>5272</v>
      </c>
      <c r="S903" s="274">
        <v>1012</v>
      </c>
      <c r="T903" s="287">
        <f t="shared" si="14"/>
        <v>2016</v>
      </c>
      <c r="U903" s="274">
        <f>VLOOKUP(A903,'[1]SB35 Determination Data'!$B$4:$F$542,5,FALSE)</f>
        <v>2014</v>
      </c>
    </row>
    <row r="904" spans="1:21" s="274" customFormat="1" ht="12.75" x14ac:dyDescent="0.2">
      <c r="A904" s="282" t="s">
        <v>581</v>
      </c>
      <c r="B904" s="282" t="s">
        <v>436</v>
      </c>
      <c r="C904" s="282" t="s">
        <v>649</v>
      </c>
      <c r="D904" s="283">
        <v>2017</v>
      </c>
      <c r="E904" s="282" t="s">
        <v>650</v>
      </c>
      <c r="F904" s="284">
        <v>1240</v>
      </c>
      <c r="G904" s="285">
        <v>0</v>
      </c>
      <c r="H904" s="288">
        <v>0</v>
      </c>
      <c r="I904" s="285">
        <v>0</v>
      </c>
      <c r="J904" s="285">
        <v>879</v>
      </c>
      <c r="K904" s="284">
        <v>0</v>
      </c>
      <c r="L904" s="284">
        <v>0</v>
      </c>
      <c r="M904" s="284">
        <v>0</v>
      </c>
      <c r="N904" s="284">
        <v>979</v>
      </c>
      <c r="O904" s="284">
        <v>0</v>
      </c>
      <c r="P904" s="284">
        <v>2174</v>
      </c>
      <c r="Q904" s="286">
        <v>1388</v>
      </c>
      <c r="R904" s="274">
        <v>5272</v>
      </c>
      <c r="S904" s="274">
        <v>1388</v>
      </c>
      <c r="T904" s="287">
        <f t="shared" si="14"/>
        <v>2017</v>
      </c>
      <c r="U904" s="274">
        <f>VLOOKUP(A904,'[1]SB35 Determination Data'!$B$4:$F$542,5,FALSE)</f>
        <v>2014</v>
      </c>
    </row>
    <row r="905" spans="1:21" s="274" customFormat="1" ht="12.75" x14ac:dyDescent="0.2">
      <c r="A905" s="282" t="s">
        <v>299</v>
      </c>
      <c r="B905" s="282" t="s">
        <v>120</v>
      </c>
      <c r="C905" s="282" t="s">
        <v>654</v>
      </c>
      <c r="D905" s="283">
        <v>2014</v>
      </c>
      <c r="E905" s="282" t="s">
        <v>650</v>
      </c>
      <c r="F905" s="284">
        <v>84</v>
      </c>
      <c r="G905" s="285">
        <v>0</v>
      </c>
      <c r="H905" s="288">
        <v>0</v>
      </c>
      <c r="I905" s="285">
        <v>0</v>
      </c>
      <c r="J905" s="285">
        <v>47</v>
      </c>
      <c r="K905" s="284">
        <v>0</v>
      </c>
      <c r="L905" s="284">
        <v>0</v>
      </c>
      <c r="M905" s="284">
        <v>0</v>
      </c>
      <c r="N905" s="284">
        <v>54</v>
      </c>
      <c r="O905" s="284">
        <v>14</v>
      </c>
      <c r="P905" s="284">
        <v>42</v>
      </c>
      <c r="Q905" s="286">
        <v>41</v>
      </c>
      <c r="R905" s="274">
        <v>227</v>
      </c>
      <c r="S905" s="274">
        <v>55</v>
      </c>
      <c r="T905" s="287">
        <f t="shared" si="14"/>
        <v>2015</v>
      </c>
      <c r="U905" s="274">
        <f>VLOOKUP(A905,'[1]SB35 Determination Data'!$B$4:$F$542,5,FALSE)</f>
        <v>2015</v>
      </c>
    </row>
    <row r="906" spans="1:21" s="274" customFormat="1" ht="12.75" x14ac:dyDescent="0.2">
      <c r="A906" s="282" t="s">
        <v>299</v>
      </c>
      <c r="B906" s="282" t="s">
        <v>120</v>
      </c>
      <c r="C906" s="282" t="s">
        <v>654</v>
      </c>
      <c r="D906" s="283">
        <v>2015</v>
      </c>
      <c r="E906" s="282" t="s">
        <v>650</v>
      </c>
      <c r="F906" s="284">
        <v>84</v>
      </c>
      <c r="G906" s="285">
        <v>0</v>
      </c>
      <c r="H906" s="288">
        <v>0</v>
      </c>
      <c r="I906" s="285">
        <v>0</v>
      </c>
      <c r="J906" s="285">
        <v>47</v>
      </c>
      <c r="K906" s="284">
        <v>0</v>
      </c>
      <c r="L906" s="284">
        <v>0</v>
      </c>
      <c r="M906" s="284">
        <v>0</v>
      </c>
      <c r="N906" s="284">
        <v>54</v>
      </c>
      <c r="O906" s="284">
        <v>0</v>
      </c>
      <c r="P906" s="284">
        <v>42</v>
      </c>
      <c r="Q906" s="286">
        <v>44</v>
      </c>
      <c r="R906" s="274">
        <v>227</v>
      </c>
      <c r="S906" s="274">
        <v>44</v>
      </c>
      <c r="T906" s="287">
        <f t="shared" si="14"/>
        <v>2015</v>
      </c>
      <c r="U906" s="274">
        <f>VLOOKUP(A906,'[1]SB35 Determination Data'!$B$4:$F$542,5,FALSE)</f>
        <v>2015</v>
      </c>
    </row>
    <row r="907" spans="1:21" s="274" customFormat="1" ht="12.75" x14ac:dyDescent="0.2">
      <c r="A907" s="282" t="s">
        <v>299</v>
      </c>
      <c r="B907" s="282" t="s">
        <v>120</v>
      </c>
      <c r="C907" s="282" t="s">
        <v>654</v>
      </c>
      <c r="D907" s="283">
        <v>2016</v>
      </c>
      <c r="E907" s="282" t="s">
        <v>650</v>
      </c>
      <c r="F907" s="284">
        <v>84</v>
      </c>
      <c r="G907" s="285">
        <v>0</v>
      </c>
      <c r="H907" s="288">
        <v>0</v>
      </c>
      <c r="I907" s="285">
        <v>0</v>
      </c>
      <c r="J907" s="285">
        <v>47</v>
      </c>
      <c r="K907" s="284">
        <v>0</v>
      </c>
      <c r="L907" s="284">
        <v>0</v>
      </c>
      <c r="M907" s="284">
        <v>0</v>
      </c>
      <c r="N907" s="289">
        <v>54</v>
      </c>
      <c r="O907" s="284">
        <v>2</v>
      </c>
      <c r="P907" s="284">
        <v>42</v>
      </c>
      <c r="Q907" s="286">
        <v>53</v>
      </c>
      <c r="R907" s="274">
        <v>227</v>
      </c>
      <c r="S907" s="274">
        <v>55</v>
      </c>
      <c r="T907" s="287">
        <f t="shared" si="14"/>
        <v>2016</v>
      </c>
      <c r="U907" s="274">
        <f>VLOOKUP(A907,'[1]SB35 Determination Data'!$B$4:$F$542,5,FALSE)</f>
        <v>2015</v>
      </c>
    </row>
    <row r="908" spans="1:21" s="274" customFormat="1" ht="12.75" x14ac:dyDescent="0.2">
      <c r="A908" s="282" t="s">
        <v>299</v>
      </c>
      <c r="B908" s="282" t="s">
        <v>120</v>
      </c>
      <c r="C908" s="282" t="s">
        <v>654</v>
      </c>
      <c r="D908" s="283">
        <v>2017</v>
      </c>
      <c r="E908" s="282" t="s">
        <v>650</v>
      </c>
      <c r="F908" s="284">
        <v>84</v>
      </c>
      <c r="G908" s="285">
        <v>0</v>
      </c>
      <c r="H908" s="288">
        <v>0</v>
      </c>
      <c r="I908" s="285">
        <v>0</v>
      </c>
      <c r="J908" s="285">
        <v>47</v>
      </c>
      <c r="K908" s="284">
        <v>0</v>
      </c>
      <c r="L908" s="284">
        <v>0</v>
      </c>
      <c r="M908" s="284">
        <v>0</v>
      </c>
      <c r="N908" s="284">
        <v>54</v>
      </c>
      <c r="O908" s="284">
        <v>7</v>
      </c>
      <c r="P908" s="284">
        <v>42</v>
      </c>
      <c r="Q908" s="286">
        <v>37</v>
      </c>
      <c r="R908" s="274">
        <v>227</v>
      </c>
      <c r="S908" s="274">
        <v>44</v>
      </c>
      <c r="T908" s="287">
        <f t="shared" si="14"/>
        <v>2017</v>
      </c>
      <c r="U908" s="274">
        <f>VLOOKUP(A908,'[1]SB35 Determination Data'!$B$4:$F$542,5,FALSE)</f>
        <v>2015</v>
      </c>
    </row>
    <row r="909" spans="1:21" s="274" customFormat="1" ht="12.75" x14ac:dyDescent="0.2">
      <c r="A909" s="282" t="s">
        <v>388</v>
      </c>
      <c r="B909" s="282" t="s">
        <v>143</v>
      </c>
      <c r="C909" s="282" t="s">
        <v>660</v>
      </c>
      <c r="D909" s="283">
        <v>2014</v>
      </c>
      <c r="E909" s="282" t="s">
        <v>650</v>
      </c>
      <c r="F909" s="284">
        <v>20</v>
      </c>
      <c r="G909" s="285">
        <v>0</v>
      </c>
      <c r="H909" s="288">
        <v>0</v>
      </c>
      <c r="I909" s="285">
        <v>0</v>
      </c>
      <c r="J909" s="285">
        <v>10</v>
      </c>
      <c r="K909" s="284">
        <v>0</v>
      </c>
      <c r="L909" s="284">
        <v>0</v>
      </c>
      <c r="M909" s="284">
        <v>0</v>
      </c>
      <c r="N909" s="284">
        <v>14</v>
      </c>
      <c r="O909" s="284">
        <v>0</v>
      </c>
      <c r="P909" s="284">
        <v>36</v>
      </c>
      <c r="Q909" s="286">
        <v>0</v>
      </c>
      <c r="R909" s="274">
        <v>80</v>
      </c>
      <c r="S909" s="274">
        <v>0</v>
      </c>
      <c r="T909" s="287">
        <f t="shared" si="14"/>
        <v>2014</v>
      </c>
      <c r="U909" s="274">
        <f>VLOOKUP(A909,'[1]SB35 Determination Data'!$B$4:$F$542,5,FALSE)</f>
        <v>2014</v>
      </c>
    </row>
    <row r="910" spans="1:21" s="274" customFormat="1" ht="12.75" x14ac:dyDescent="0.2">
      <c r="A910" s="282" t="s">
        <v>388</v>
      </c>
      <c r="B910" s="282" t="s">
        <v>143</v>
      </c>
      <c r="C910" s="282" t="s">
        <v>660</v>
      </c>
      <c r="D910" s="283">
        <v>2015</v>
      </c>
      <c r="E910" s="282" t="s">
        <v>650</v>
      </c>
      <c r="F910" s="284">
        <v>20</v>
      </c>
      <c r="G910" s="285">
        <v>0</v>
      </c>
      <c r="H910" s="288">
        <v>0</v>
      </c>
      <c r="I910" s="285">
        <v>0</v>
      </c>
      <c r="J910" s="285">
        <v>10</v>
      </c>
      <c r="K910" s="284">
        <v>0</v>
      </c>
      <c r="L910" s="284">
        <v>0</v>
      </c>
      <c r="M910" s="284">
        <v>0</v>
      </c>
      <c r="N910" s="284">
        <v>14</v>
      </c>
      <c r="O910" s="284">
        <v>10</v>
      </c>
      <c r="P910" s="284">
        <v>36</v>
      </c>
      <c r="Q910" s="286">
        <v>0</v>
      </c>
      <c r="R910" s="274">
        <v>80</v>
      </c>
      <c r="S910" s="274">
        <v>10</v>
      </c>
      <c r="T910" s="287">
        <f t="shared" si="14"/>
        <v>2015</v>
      </c>
      <c r="U910" s="274">
        <f>VLOOKUP(A910,'[1]SB35 Determination Data'!$B$4:$F$542,5,FALSE)</f>
        <v>2014</v>
      </c>
    </row>
    <row r="911" spans="1:21" s="274" customFormat="1" ht="12.75" x14ac:dyDescent="0.2">
      <c r="A911" s="282" t="s">
        <v>388</v>
      </c>
      <c r="B911" s="282" t="s">
        <v>143</v>
      </c>
      <c r="C911" s="282" t="s">
        <v>660</v>
      </c>
      <c r="D911" s="283">
        <v>2016</v>
      </c>
      <c r="E911" s="282" t="s">
        <v>650</v>
      </c>
      <c r="F911" s="284">
        <v>20</v>
      </c>
      <c r="G911" s="285">
        <v>0</v>
      </c>
      <c r="H911" s="288">
        <v>0</v>
      </c>
      <c r="I911" s="285">
        <v>0</v>
      </c>
      <c r="J911" s="285">
        <v>10</v>
      </c>
      <c r="K911" s="284">
        <v>39</v>
      </c>
      <c r="L911" s="284">
        <v>39</v>
      </c>
      <c r="M911" s="284">
        <v>0</v>
      </c>
      <c r="N911" s="284">
        <v>14</v>
      </c>
      <c r="O911" s="284">
        <v>5</v>
      </c>
      <c r="P911" s="284">
        <v>36</v>
      </c>
      <c r="Q911" s="286">
        <v>0</v>
      </c>
      <c r="R911" s="274">
        <v>80</v>
      </c>
      <c r="S911" s="274">
        <v>44</v>
      </c>
      <c r="T911" s="287">
        <f t="shared" si="14"/>
        <v>2016</v>
      </c>
      <c r="U911" s="274">
        <f>VLOOKUP(A911,'[1]SB35 Determination Data'!$B$4:$F$542,5,FALSE)</f>
        <v>2014</v>
      </c>
    </row>
    <row r="912" spans="1:21" s="274" customFormat="1" ht="12.75" x14ac:dyDescent="0.2">
      <c r="A912" s="282" t="s">
        <v>388</v>
      </c>
      <c r="B912" s="282" t="s">
        <v>143</v>
      </c>
      <c r="C912" s="282" t="s">
        <v>660</v>
      </c>
      <c r="D912" s="283">
        <v>2017</v>
      </c>
      <c r="E912" s="282" t="s">
        <v>650</v>
      </c>
      <c r="F912" s="284">
        <v>20</v>
      </c>
      <c r="G912" s="285">
        <v>0</v>
      </c>
      <c r="H912" s="288">
        <v>0</v>
      </c>
      <c r="I912" s="285">
        <v>0</v>
      </c>
      <c r="J912" s="285">
        <v>10</v>
      </c>
      <c r="K912" s="284">
        <v>0</v>
      </c>
      <c r="L912" s="284">
        <v>0</v>
      </c>
      <c r="M912" s="284">
        <v>0</v>
      </c>
      <c r="N912" s="284">
        <v>14</v>
      </c>
      <c r="O912" s="284">
        <v>7</v>
      </c>
      <c r="P912" s="284">
        <v>36</v>
      </c>
      <c r="Q912" s="286">
        <v>0</v>
      </c>
      <c r="R912" s="274">
        <v>80</v>
      </c>
      <c r="S912" s="274">
        <v>7</v>
      </c>
      <c r="T912" s="287">
        <f t="shared" si="14"/>
        <v>2017</v>
      </c>
      <c r="U912" s="274">
        <f>VLOOKUP(A912,'[1]SB35 Determination Data'!$B$4:$F$542,5,FALSE)</f>
        <v>2014</v>
      </c>
    </row>
    <row r="913" spans="1:21" s="274" customFormat="1" ht="12.75" x14ac:dyDescent="0.2">
      <c r="A913" s="282" t="s">
        <v>242</v>
      </c>
      <c r="B913" s="282" t="s">
        <v>109</v>
      </c>
      <c r="C913" s="282" t="s">
        <v>717</v>
      </c>
      <c r="D913" s="283">
        <v>2014</v>
      </c>
      <c r="E913" s="282" t="s">
        <v>650</v>
      </c>
      <c r="F913" s="284">
        <v>419</v>
      </c>
      <c r="G913" s="285">
        <v>0</v>
      </c>
      <c r="H913" s="288">
        <v>0</v>
      </c>
      <c r="I913" s="285">
        <v>0</v>
      </c>
      <c r="J913" s="285">
        <v>284</v>
      </c>
      <c r="K913" s="284">
        <v>57</v>
      </c>
      <c r="L913" s="284">
        <v>50</v>
      </c>
      <c r="M913" s="284">
        <v>7</v>
      </c>
      <c r="N913" s="284">
        <v>306</v>
      </c>
      <c r="O913" s="284">
        <v>0</v>
      </c>
      <c r="P913" s="284">
        <v>784</v>
      </c>
      <c r="Q913" s="286">
        <v>14</v>
      </c>
      <c r="R913" s="274">
        <v>1793</v>
      </c>
      <c r="S913" s="274">
        <v>71</v>
      </c>
      <c r="T913" s="287">
        <f t="shared" si="14"/>
        <v>2014</v>
      </c>
      <c r="U913" s="274">
        <f>VLOOKUP(A913,'[1]SB35 Determination Data'!$B$4:$F$542,5,FALSE)</f>
        <v>2014</v>
      </c>
    </row>
    <row r="914" spans="1:21" s="274" customFormat="1" ht="12.75" x14ac:dyDescent="0.2">
      <c r="A914" s="282" t="s">
        <v>242</v>
      </c>
      <c r="B914" s="282" t="s">
        <v>109</v>
      </c>
      <c r="C914" s="282" t="s">
        <v>717</v>
      </c>
      <c r="D914" s="283">
        <v>2015</v>
      </c>
      <c r="E914" s="282" t="s">
        <v>650</v>
      </c>
      <c r="F914" s="284">
        <v>419</v>
      </c>
      <c r="G914" s="285">
        <v>2</v>
      </c>
      <c r="H914" s="288">
        <v>0</v>
      </c>
      <c r="I914" s="285">
        <v>2</v>
      </c>
      <c r="J914" s="285">
        <v>284</v>
      </c>
      <c r="K914" s="284">
        <v>4</v>
      </c>
      <c r="L914" s="284">
        <v>0</v>
      </c>
      <c r="M914" s="284">
        <v>4</v>
      </c>
      <c r="N914" s="284">
        <v>306</v>
      </c>
      <c r="O914" s="284">
        <v>0</v>
      </c>
      <c r="P914" s="284">
        <v>784</v>
      </c>
      <c r="Q914" s="286">
        <v>11</v>
      </c>
      <c r="R914" s="274">
        <v>1793</v>
      </c>
      <c r="S914" s="274">
        <v>17</v>
      </c>
      <c r="T914" s="287">
        <f t="shared" si="14"/>
        <v>2015</v>
      </c>
      <c r="U914" s="274">
        <f>VLOOKUP(A914,'[1]SB35 Determination Data'!$B$4:$F$542,5,FALSE)</f>
        <v>2014</v>
      </c>
    </row>
    <row r="915" spans="1:21" s="274" customFormat="1" ht="12.75" x14ac:dyDescent="0.2">
      <c r="A915" s="282" t="s">
        <v>242</v>
      </c>
      <c r="B915" s="282" t="s">
        <v>109</v>
      </c>
      <c r="C915" s="282" t="s">
        <v>717</v>
      </c>
      <c r="D915" s="283">
        <v>2016</v>
      </c>
      <c r="E915" s="282" t="s">
        <v>650</v>
      </c>
      <c r="F915" s="284">
        <v>419</v>
      </c>
      <c r="G915" s="285">
        <v>8</v>
      </c>
      <c r="H915" s="288">
        <v>0</v>
      </c>
      <c r="I915" s="285">
        <v>8</v>
      </c>
      <c r="J915" s="285">
        <v>284</v>
      </c>
      <c r="K915" s="284">
        <v>6</v>
      </c>
      <c r="L915" s="284">
        <v>0</v>
      </c>
      <c r="M915" s="284">
        <v>6</v>
      </c>
      <c r="N915" s="284">
        <v>306</v>
      </c>
      <c r="O915" s="284">
        <v>0</v>
      </c>
      <c r="P915" s="284">
        <v>784</v>
      </c>
      <c r="Q915" s="286">
        <v>1</v>
      </c>
      <c r="R915" s="274">
        <v>1793</v>
      </c>
      <c r="S915" s="274">
        <v>15</v>
      </c>
      <c r="T915" s="287">
        <f t="shared" si="14"/>
        <v>2016</v>
      </c>
      <c r="U915" s="274">
        <f>VLOOKUP(A915,'[1]SB35 Determination Data'!$B$4:$F$542,5,FALSE)</f>
        <v>2014</v>
      </c>
    </row>
    <row r="916" spans="1:21" s="274" customFormat="1" ht="12.75" x14ac:dyDescent="0.2">
      <c r="A916" s="282" t="s">
        <v>242</v>
      </c>
      <c r="B916" s="282" t="s">
        <v>109</v>
      </c>
      <c r="C916" s="282" t="s">
        <v>717</v>
      </c>
      <c r="D916" s="283">
        <v>2017</v>
      </c>
      <c r="E916" s="282" t="s">
        <v>650</v>
      </c>
      <c r="F916" s="284">
        <v>419</v>
      </c>
      <c r="G916" s="285">
        <v>0</v>
      </c>
      <c r="H916" s="288">
        <v>0</v>
      </c>
      <c r="I916" s="285">
        <v>0</v>
      </c>
      <c r="J916" s="285">
        <v>284</v>
      </c>
      <c r="K916" s="284">
        <v>0</v>
      </c>
      <c r="L916" s="284">
        <v>0</v>
      </c>
      <c r="M916" s="284">
        <v>0</v>
      </c>
      <c r="N916" s="289">
        <v>306</v>
      </c>
      <c r="O916" s="284">
        <v>0</v>
      </c>
      <c r="P916" s="284">
        <v>784</v>
      </c>
      <c r="Q916" s="286">
        <v>3</v>
      </c>
      <c r="R916" s="274">
        <v>1793</v>
      </c>
      <c r="S916" s="274">
        <v>3</v>
      </c>
      <c r="T916" s="287">
        <f t="shared" si="14"/>
        <v>2017</v>
      </c>
      <c r="U916" s="274">
        <f>VLOOKUP(A916,'[1]SB35 Determination Data'!$B$4:$F$542,5,FALSE)</f>
        <v>2014</v>
      </c>
    </row>
    <row r="917" spans="1:21" s="274" customFormat="1" ht="12.75" x14ac:dyDescent="0.2">
      <c r="A917" s="282" t="s">
        <v>582</v>
      </c>
      <c r="B917" s="282" t="s">
        <v>743</v>
      </c>
      <c r="C917" s="282" t="s">
        <v>649</v>
      </c>
      <c r="D917" s="283">
        <v>2014</v>
      </c>
      <c r="E917" s="282" t="s">
        <v>650</v>
      </c>
      <c r="F917" s="284">
        <v>1688</v>
      </c>
      <c r="G917" s="285">
        <v>48</v>
      </c>
      <c r="H917" s="288">
        <v>48</v>
      </c>
      <c r="I917" s="285">
        <v>0</v>
      </c>
      <c r="J917" s="285">
        <v>1160</v>
      </c>
      <c r="K917" s="284">
        <v>67</v>
      </c>
      <c r="L917" s="284">
        <v>67</v>
      </c>
      <c r="M917" s="284">
        <v>0</v>
      </c>
      <c r="N917" s="289">
        <v>1351</v>
      </c>
      <c r="O917" s="284">
        <v>2</v>
      </c>
      <c r="P917" s="284">
        <v>3102</v>
      </c>
      <c r="Q917" s="286">
        <v>39</v>
      </c>
      <c r="R917" s="274">
        <v>7301</v>
      </c>
      <c r="S917" s="274">
        <v>156</v>
      </c>
      <c r="T917" s="287">
        <f t="shared" si="14"/>
        <v>2014</v>
      </c>
      <c r="U917" s="274">
        <f>VLOOKUP(A917,'[1]SB35 Determination Data'!$B$4:$F$542,5,FALSE)</f>
        <v>2014</v>
      </c>
    </row>
    <row r="918" spans="1:21" s="274" customFormat="1" ht="12.75" x14ac:dyDescent="0.2">
      <c r="A918" s="282" t="s">
        <v>582</v>
      </c>
      <c r="B918" s="282" t="s">
        <v>743</v>
      </c>
      <c r="C918" s="282" t="s">
        <v>649</v>
      </c>
      <c r="D918" s="283">
        <v>2015</v>
      </c>
      <c r="E918" s="282" t="s">
        <v>650</v>
      </c>
      <c r="F918" s="284">
        <v>1688</v>
      </c>
      <c r="G918" s="285">
        <v>0</v>
      </c>
      <c r="H918" s="288">
        <v>0</v>
      </c>
      <c r="I918" s="285">
        <v>0</v>
      </c>
      <c r="J918" s="285">
        <v>1160</v>
      </c>
      <c r="K918" s="284">
        <v>0</v>
      </c>
      <c r="L918" s="284">
        <v>0</v>
      </c>
      <c r="M918" s="284">
        <v>0</v>
      </c>
      <c r="N918" s="284">
        <v>1351</v>
      </c>
      <c r="O918" s="284">
        <v>0</v>
      </c>
      <c r="P918" s="284">
        <v>3102</v>
      </c>
      <c r="Q918" s="286">
        <v>5</v>
      </c>
      <c r="R918" s="274">
        <v>7301</v>
      </c>
      <c r="S918" s="274">
        <v>5</v>
      </c>
      <c r="T918" s="287">
        <f t="shared" si="14"/>
        <v>2015</v>
      </c>
      <c r="U918" s="274">
        <f>VLOOKUP(A918,'[1]SB35 Determination Data'!$B$4:$F$542,5,FALSE)</f>
        <v>2014</v>
      </c>
    </row>
    <row r="919" spans="1:21" s="274" customFormat="1" ht="12.75" x14ac:dyDescent="0.2">
      <c r="A919" s="282" t="s">
        <v>582</v>
      </c>
      <c r="B919" s="282" t="s">
        <v>743</v>
      </c>
      <c r="C919" s="282" t="s">
        <v>649</v>
      </c>
      <c r="D919" s="283">
        <v>2016</v>
      </c>
      <c r="E919" s="282" t="s">
        <v>650</v>
      </c>
      <c r="F919" s="284">
        <v>1688</v>
      </c>
      <c r="G919" s="285">
        <v>50</v>
      </c>
      <c r="H919" s="288">
        <v>50</v>
      </c>
      <c r="I919" s="285">
        <v>0</v>
      </c>
      <c r="J919" s="285">
        <v>1160</v>
      </c>
      <c r="K919" s="284">
        <v>207</v>
      </c>
      <c r="L919" s="284">
        <v>118</v>
      </c>
      <c r="M919" s="284">
        <v>89</v>
      </c>
      <c r="N919" s="284">
        <v>1351</v>
      </c>
      <c r="O919" s="284">
        <v>2</v>
      </c>
      <c r="P919" s="284">
        <v>3102</v>
      </c>
      <c r="Q919" s="286">
        <v>80</v>
      </c>
      <c r="R919" s="274">
        <v>7301</v>
      </c>
      <c r="S919" s="274">
        <v>339</v>
      </c>
      <c r="T919" s="287">
        <f t="shared" si="14"/>
        <v>2016</v>
      </c>
      <c r="U919" s="274">
        <f>VLOOKUP(A919,'[1]SB35 Determination Data'!$B$4:$F$542,5,FALSE)</f>
        <v>2014</v>
      </c>
    </row>
    <row r="920" spans="1:21" s="274" customFormat="1" ht="12.75" x14ac:dyDescent="0.2">
      <c r="A920" s="282" t="s">
        <v>582</v>
      </c>
      <c r="B920" s="282" t="s">
        <v>743</v>
      </c>
      <c r="C920" s="282" t="s">
        <v>649</v>
      </c>
      <c r="D920" s="283">
        <v>2017</v>
      </c>
      <c r="E920" s="282" t="s">
        <v>650</v>
      </c>
      <c r="F920" s="284">
        <v>1688</v>
      </c>
      <c r="G920" s="285">
        <v>30</v>
      </c>
      <c r="H920" s="288">
        <v>30</v>
      </c>
      <c r="I920" s="285">
        <v>0</v>
      </c>
      <c r="J920" s="285">
        <v>1160</v>
      </c>
      <c r="K920" s="284">
        <v>234</v>
      </c>
      <c r="L920" s="284">
        <v>234</v>
      </c>
      <c r="M920" s="284">
        <v>0</v>
      </c>
      <c r="N920" s="284">
        <v>1351</v>
      </c>
      <c r="O920" s="284">
        <v>371</v>
      </c>
      <c r="P920" s="284">
        <v>3102</v>
      </c>
      <c r="Q920" s="286">
        <v>138</v>
      </c>
      <c r="R920" s="274">
        <v>7301</v>
      </c>
      <c r="S920" s="274">
        <v>773</v>
      </c>
      <c r="T920" s="287">
        <f t="shared" si="14"/>
        <v>2017</v>
      </c>
      <c r="U920" s="274">
        <f>VLOOKUP(A920,'[1]SB35 Determination Data'!$B$4:$F$542,5,FALSE)</f>
        <v>2014</v>
      </c>
    </row>
    <row r="921" spans="1:21" s="274" customFormat="1" ht="12.75" x14ac:dyDescent="0.2">
      <c r="A921" s="282" t="s">
        <v>584</v>
      </c>
      <c r="B921" s="282" t="s">
        <v>403</v>
      </c>
      <c r="C921" s="282" t="s">
        <v>531</v>
      </c>
      <c r="D921" s="283">
        <v>2015</v>
      </c>
      <c r="E921" s="282" t="s">
        <v>650</v>
      </c>
      <c r="F921" s="284">
        <v>28</v>
      </c>
      <c r="G921" s="285">
        <v>0</v>
      </c>
      <c r="H921" s="288">
        <v>0</v>
      </c>
      <c r="I921" s="285">
        <v>0</v>
      </c>
      <c r="J921" s="285">
        <v>18</v>
      </c>
      <c r="K921" s="284">
        <v>0</v>
      </c>
      <c r="L921" s="284">
        <v>0</v>
      </c>
      <c r="M921" s="284">
        <v>0</v>
      </c>
      <c r="N921" s="284">
        <v>21</v>
      </c>
      <c r="O921" s="284">
        <v>0</v>
      </c>
      <c r="P921" s="284">
        <v>48</v>
      </c>
      <c r="Q921" s="286">
        <v>0</v>
      </c>
      <c r="R921" s="274">
        <v>115</v>
      </c>
      <c r="S921" s="274">
        <v>0</v>
      </c>
      <c r="T921" s="287">
        <f t="shared" si="14"/>
        <v>2016</v>
      </c>
      <c r="U921" s="274">
        <f>VLOOKUP(A921,'[1]SB35 Determination Data'!$B$4:$F$542,5,FALSE)</f>
        <v>2016</v>
      </c>
    </row>
    <row r="922" spans="1:21" s="274" customFormat="1" ht="12.75" x14ac:dyDescent="0.2">
      <c r="A922" s="282" t="s">
        <v>584</v>
      </c>
      <c r="B922" s="282" t="s">
        <v>403</v>
      </c>
      <c r="C922" s="282" t="s">
        <v>531</v>
      </c>
      <c r="D922" s="283">
        <v>2016</v>
      </c>
      <c r="E922" s="282" t="s">
        <v>650</v>
      </c>
      <c r="F922" s="284">
        <v>28</v>
      </c>
      <c r="G922" s="285">
        <v>0</v>
      </c>
      <c r="H922" s="288">
        <v>0</v>
      </c>
      <c r="I922" s="285">
        <v>0</v>
      </c>
      <c r="J922" s="285">
        <v>18</v>
      </c>
      <c r="K922" s="284">
        <v>0</v>
      </c>
      <c r="L922" s="284">
        <v>0</v>
      </c>
      <c r="M922" s="284">
        <v>0</v>
      </c>
      <c r="N922" s="289">
        <v>21</v>
      </c>
      <c r="O922" s="284">
        <v>0</v>
      </c>
      <c r="P922" s="284">
        <v>48</v>
      </c>
      <c r="Q922" s="286">
        <v>4</v>
      </c>
      <c r="R922" s="274">
        <v>115</v>
      </c>
      <c r="S922" s="274">
        <v>4</v>
      </c>
      <c r="T922" s="287">
        <f t="shared" si="14"/>
        <v>2016</v>
      </c>
      <c r="U922" s="274">
        <f>VLOOKUP(A922,'[1]SB35 Determination Data'!$B$4:$F$542,5,FALSE)</f>
        <v>2016</v>
      </c>
    </row>
    <row r="923" spans="1:21" s="274" customFormat="1" ht="12.75" x14ac:dyDescent="0.2">
      <c r="A923" s="282" t="s">
        <v>584</v>
      </c>
      <c r="B923" s="282" t="s">
        <v>403</v>
      </c>
      <c r="C923" s="282" t="s">
        <v>531</v>
      </c>
      <c r="D923" s="283">
        <v>2017</v>
      </c>
      <c r="E923" s="282" t="s">
        <v>650</v>
      </c>
      <c r="F923" s="284">
        <v>28</v>
      </c>
      <c r="G923" s="285">
        <v>0</v>
      </c>
      <c r="H923" s="288">
        <v>0</v>
      </c>
      <c r="I923" s="285">
        <v>0</v>
      </c>
      <c r="J923" s="285">
        <v>18</v>
      </c>
      <c r="K923" s="284">
        <v>0</v>
      </c>
      <c r="L923" s="284">
        <v>0</v>
      </c>
      <c r="M923" s="284">
        <v>0</v>
      </c>
      <c r="N923" s="284">
        <v>21</v>
      </c>
      <c r="O923" s="284">
        <v>0</v>
      </c>
      <c r="P923" s="284">
        <v>48</v>
      </c>
      <c r="Q923" s="286">
        <v>1</v>
      </c>
      <c r="R923" s="274">
        <v>115</v>
      </c>
      <c r="S923" s="274">
        <v>1</v>
      </c>
      <c r="T923" s="287">
        <f t="shared" si="14"/>
        <v>2017</v>
      </c>
      <c r="U923" s="274">
        <f>VLOOKUP(A923,'[1]SB35 Determination Data'!$B$4:$F$542,5,FALSE)</f>
        <v>2016</v>
      </c>
    </row>
    <row r="924" spans="1:21" s="274" customFormat="1" ht="12.75" x14ac:dyDescent="0.2">
      <c r="A924" s="282" t="s">
        <v>585</v>
      </c>
      <c r="B924" s="282" t="s">
        <v>595</v>
      </c>
      <c r="C924" s="282" t="s">
        <v>654</v>
      </c>
      <c r="D924" s="283">
        <v>2015</v>
      </c>
      <c r="E924" s="282" t="s">
        <v>650</v>
      </c>
      <c r="F924" s="284">
        <v>121</v>
      </c>
      <c r="G924" s="285">
        <v>0</v>
      </c>
      <c r="H924" s="288">
        <v>0</v>
      </c>
      <c r="I924" s="285">
        <v>0</v>
      </c>
      <c r="J924" s="285">
        <v>68</v>
      </c>
      <c r="K924" s="284">
        <v>0</v>
      </c>
      <c r="L924" s="284">
        <v>0</v>
      </c>
      <c r="M924" s="284">
        <v>0</v>
      </c>
      <c r="N924" s="284">
        <v>70</v>
      </c>
      <c r="O924" s="284">
        <v>1</v>
      </c>
      <c r="P924" s="285">
        <v>154</v>
      </c>
      <c r="Q924" s="286">
        <v>7</v>
      </c>
      <c r="R924" s="274">
        <v>413</v>
      </c>
      <c r="S924" s="274">
        <v>8</v>
      </c>
      <c r="T924" s="287">
        <f t="shared" si="14"/>
        <v>2015</v>
      </c>
      <c r="U924" s="274">
        <f>VLOOKUP(A924,'[1]SB35 Determination Data'!$B$4:$F$542,5,FALSE)</f>
        <v>2015</v>
      </c>
    </row>
    <row r="925" spans="1:21" s="274" customFormat="1" ht="12.75" x14ac:dyDescent="0.2">
      <c r="A925" s="282" t="s">
        <v>585</v>
      </c>
      <c r="B925" s="282" t="s">
        <v>595</v>
      </c>
      <c r="C925" s="282" t="s">
        <v>654</v>
      </c>
      <c r="D925" s="283">
        <v>2016</v>
      </c>
      <c r="E925" s="282" t="s">
        <v>650</v>
      </c>
      <c r="F925" s="284">
        <v>121</v>
      </c>
      <c r="G925" s="285">
        <v>0</v>
      </c>
      <c r="H925" s="288">
        <v>0</v>
      </c>
      <c r="I925" s="285">
        <v>0</v>
      </c>
      <c r="J925" s="285">
        <v>68</v>
      </c>
      <c r="K925" s="284">
        <v>0</v>
      </c>
      <c r="L925" s="284">
        <v>0</v>
      </c>
      <c r="M925" s="284">
        <v>0</v>
      </c>
      <c r="N925" s="284">
        <v>70</v>
      </c>
      <c r="O925" s="284">
        <v>1</v>
      </c>
      <c r="P925" s="284">
        <v>154</v>
      </c>
      <c r="Q925" s="286">
        <v>12</v>
      </c>
      <c r="R925" s="274">
        <v>413</v>
      </c>
      <c r="S925" s="274">
        <v>13</v>
      </c>
      <c r="T925" s="287">
        <f t="shared" si="14"/>
        <v>2016</v>
      </c>
      <c r="U925" s="274">
        <f>VLOOKUP(A925,'[1]SB35 Determination Data'!$B$4:$F$542,5,FALSE)</f>
        <v>2015</v>
      </c>
    </row>
    <row r="926" spans="1:21" s="274" customFormat="1" ht="12.75" x14ac:dyDescent="0.2">
      <c r="A926" s="282" t="s">
        <v>585</v>
      </c>
      <c r="B926" s="282" t="s">
        <v>595</v>
      </c>
      <c r="C926" s="282" t="s">
        <v>654</v>
      </c>
      <c r="D926" s="283">
        <v>2017</v>
      </c>
      <c r="E926" s="282" t="s">
        <v>650</v>
      </c>
      <c r="F926" s="284">
        <v>121</v>
      </c>
      <c r="G926" s="285">
        <v>0</v>
      </c>
      <c r="H926" s="288">
        <v>0</v>
      </c>
      <c r="I926" s="285">
        <v>0</v>
      </c>
      <c r="J926" s="285">
        <v>68</v>
      </c>
      <c r="K926" s="284">
        <v>0</v>
      </c>
      <c r="L926" s="284">
        <v>0</v>
      </c>
      <c r="M926" s="284">
        <v>0</v>
      </c>
      <c r="N926" s="289">
        <v>70</v>
      </c>
      <c r="O926" s="284">
        <v>4</v>
      </c>
      <c r="P926" s="284">
        <v>154</v>
      </c>
      <c r="Q926" s="286">
        <v>5</v>
      </c>
      <c r="R926" s="274">
        <v>413</v>
      </c>
      <c r="S926" s="274">
        <v>9</v>
      </c>
      <c r="T926" s="287">
        <f t="shared" si="14"/>
        <v>2017</v>
      </c>
      <c r="U926" s="274">
        <f>VLOOKUP(A926,'[1]SB35 Determination Data'!$B$4:$F$542,5,FALSE)</f>
        <v>2015</v>
      </c>
    </row>
    <row r="927" spans="1:21" s="274" customFormat="1" ht="12.75" x14ac:dyDescent="0.2">
      <c r="A927" s="282" t="s">
        <v>586</v>
      </c>
      <c r="B927" s="282" t="s">
        <v>481</v>
      </c>
      <c r="C927" s="282" t="s">
        <v>649</v>
      </c>
      <c r="D927" s="283">
        <v>2014</v>
      </c>
      <c r="E927" s="282" t="s">
        <v>650</v>
      </c>
      <c r="F927" s="284">
        <v>98</v>
      </c>
      <c r="G927" s="285">
        <v>0</v>
      </c>
      <c r="H927" s="288">
        <v>0</v>
      </c>
      <c r="I927" s="285">
        <v>0</v>
      </c>
      <c r="J927" s="285">
        <v>67</v>
      </c>
      <c r="K927" s="284">
        <v>0</v>
      </c>
      <c r="L927" s="284">
        <v>0</v>
      </c>
      <c r="M927" s="284">
        <v>0</v>
      </c>
      <c r="N927" s="284">
        <v>76</v>
      </c>
      <c r="O927" s="284">
        <v>0</v>
      </c>
      <c r="P927" s="284">
        <v>172</v>
      </c>
      <c r="Q927" s="286">
        <v>220</v>
      </c>
      <c r="R927" s="274">
        <v>413</v>
      </c>
      <c r="S927" s="274">
        <v>220</v>
      </c>
      <c r="T927" s="287">
        <f t="shared" si="14"/>
        <v>2014</v>
      </c>
      <c r="U927" s="274">
        <f>VLOOKUP(A927,'[1]SB35 Determination Data'!$B$4:$F$542,5,FALSE)</f>
        <v>2014</v>
      </c>
    </row>
    <row r="928" spans="1:21" s="274" customFormat="1" ht="12.75" x14ac:dyDescent="0.2">
      <c r="A928" s="282" t="s">
        <v>586</v>
      </c>
      <c r="B928" s="282" t="s">
        <v>481</v>
      </c>
      <c r="C928" s="282" t="s">
        <v>649</v>
      </c>
      <c r="D928" s="283">
        <v>2015</v>
      </c>
      <c r="E928" s="282" t="s">
        <v>650</v>
      </c>
      <c r="F928" s="284">
        <v>98</v>
      </c>
      <c r="G928" s="285">
        <v>38</v>
      </c>
      <c r="H928" s="288">
        <v>38</v>
      </c>
      <c r="I928" s="285">
        <v>0</v>
      </c>
      <c r="J928" s="285">
        <v>67</v>
      </c>
      <c r="K928" s="284">
        <v>36</v>
      </c>
      <c r="L928" s="284">
        <v>36</v>
      </c>
      <c r="M928" s="284">
        <v>0</v>
      </c>
      <c r="N928" s="284">
        <v>76</v>
      </c>
      <c r="O928" s="284">
        <v>0</v>
      </c>
      <c r="P928" s="284">
        <v>172</v>
      </c>
      <c r="Q928" s="286">
        <v>0</v>
      </c>
      <c r="R928" s="274">
        <v>413</v>
      </c>
      <c r="S928" s="274">
        <v>74</v>
      </c>
      <c r="T928" s="287">
        <f t="shared" si="14"/>
        <v>2015</v>
      </c>
      <c r="U928" s="274">
        <f>VLOOKUP(A928,'[1]SB35 Determination Data'!$B$4:$F$542,5,FALSE)</f>
        <v>2014</v>
      </c>
    </row>
    <row r="929" spans="1:21" s="274" customFormat="1" ht="12.75" x14ac:dyDescent="0.2">
      <c r="A929" s="282" t="s">
        <v>586</v>
      </c>
      <c r="B929" s="282" t="s">
        <v>481</v>
      </c>
      <c r="C929" s="282" t="s">
        <v>649</v>
      </c>
      <c r="D929" s="283">
        <v>2016</v>
      </c>
      <c r="E929" s="282" t="s">
        <v>650</v>
      </c>
      <c r="F929" s="284">
        <v>98</v>
      </c>
      <c r="G929" s="285">
        <v>0</v>
      </c>
      <c r="H929" s="288">
        <v>0</v>
      </c>
      <c r="I929" s="285">
        <v>0</v>
      </c>
      <c r="J929" s="285">
        <v>67</v>
      </c>
      <c r="K929" s="284">
        <v>0</v>
      </c>
      <c r="L929" s="284">
        <v>0</v>
      </c>
      <c r="M929" s="284">
        <v>0</v>
      </c>
      <c r="N929" s="284">
        <v>76</v>
      </c>
      <c r="O929" s="284">
        <v>0</v>
      </c>
      <c r="P929" s="284">
        <v>172</v>
      </c>
      <c r="Q929" s="286">
        <v>80</v>
      </c>
      <c r="R929" s="274">
        <v>413</v>
      </c>
      <c r="S929" s="274">
        <v>80</v>
      </c>
      <c r="T929" s="287">
        <f t="shared" si="14"/>
        <v>2016</v>
      </c>
      <c r="U929" s="274">
        <f>VLOOKUP(A929,'[1]SB35 Determination Data'!$B$4:$F$542,5,FALSE)</f>
        <v>2014</v>
      </c>
    </row>
    <row r="930" spans="1:21" s="274" customFormat="1" ht="12.75" x14ac:dyDescent="0.2">
      <c r="A930" s="282" t="s">
        <v>586</v>
      </c>
      <c r="B930" s="282" t="s">
        <v>481</v>
      </c>
      <c r="C930" s="282" t="s">
        <v>649</v>
      </c>
      <c r="D930" s="283">
        <v>2017</v>
      </c>
      <c r="E930" s="282" t="s">
        <v>650</v>
      </c>
      <c r="F930" s="284">
        <v>98</v>
      </c>
      <c r="G930" s="285">
        <v>0</v>
      </c>
      <c r="H930" s="288">
        <v>0</v>
      </c>
      <c r="I930" s="285">
        <v>0</v>
      </c>
      <c r="J930" s="285">
        <v>67</v>
      </c>
      <c r="K930" s="284">
        <v>0</v>
      </c>
      <c r="L930" s="284">
        <v>0</v>
      </c>
      <c r="M930" s="284">
        <v>0</v>
      </c>
      <c r="N930" s="284">
        <v>76</v>
      </c>
      <c r="O930" s="284">
        <v>0</v>
      </c>
      <c r="P930" s="284">
        <v>172</v>
      </c>
      <c r="Q930" s="286">
        <v>95</v>
      </c>
      <c r="R930" s="274">
        <v>413</v>
      </c>
      <c r="S930" s="274">
        <v>95</v>
      </c>
      <c r="T930" s="287">
        <f t="shared" si="14"/>
        <v>2017</v>
      </c>
      <c r="U930" s="274">
        <f>VLOOKUP(A930,'[1]SB35 Determination Data'!$B$4:$F$542,5,FALSE)</f>
        <v>2014</v>
      </c>
    </row>
    <row r="931" spans="1:21" s="274" customFormat="1" ht="12.75" x14ac:dyDescent="0.2">
      <c r="A931" s="282" t="s">
        <v>587</v>
      </c>
      <c r="B931" s="282" t="s">
        <v>481</v>
      </c>
      <c r="C931" s="282" t="s">
        <v>649</v>
      </c>
      <c r="D931" s="283">
        <v>2014</v>
      </c>
      <c r="E931" s="282" t="s">
        <v>650</v>
      </c>
      <c r="F931" s="284">
        <v>63</v>
      </c>
      <c r="G931" s="285">
        <v>0</v>
      </c>
      <c r="H931" s="288">
        <v>0</v>
      </c>
      <c r="I931" s="285">
        <v>0</v>
      </c>
      <c r="J931" s="285">
        <v>43</v>
      </c>
      <c r="K931" s="284">
        <v>0</v>
      </c>
      <c r="L931" s="284">
        <v>0</v>
      </c>
      <c r="M931" s="284">
        <v>0</v>
      </c>
      <c r="N931" s="289">
        <v>50</v>
      </c>
      <c r="O931" s="284">
        <v>0</v>
      </c>
      <c r="P931" s="284">
        <v>116</v>
      </c>
      <c r="Q931" s="286">
        <v>188</v>
      </c>
      <c r="R931" s="274">
        <v>272</v>
      </c>
      <c r="S931" s="274">
        <v>188</v>
      </c>
      <c r="T931" s="287">
        <f t="shared" si="14"/>
        <v>2014</v>
      </c>
      <c r="U931" s="274">
        <f>VLOOKUP(A931,'[1]SB35 Determination Data'!$B$4:$F$542,5,FALSE)</f>
        <v>2014</v>
      </c>
    </row>
    <row r="932" spans="1:21" s="274" customFormat="1" ht="12.75" x14ac:dyDescent="0.2">
      <c r="A932" s="282" t="s">
        <v>587</v>
      </c>
      <c r="B932" s="282" t="s">
        <v>481</v>
      </c>
      <c r="C932" s="282" t="s">
        <v>649</v>
      </c>
      <c r="D932" s="283">
        <v>2015</v>
      </c>
      <c r="E932" s="282" t="s">
        <v>650</v>
      </c>
      <c r="F932" s="284">
        <v>63</v>
      </c>
      <c r="G932" s="285">
        <v>0</v>
      </c>
      <c r="H932" s="288">
        <v>0</v>
      </c>
      <c r="I932" s="285">
        <v>0</v>
      </c>
      <c r="J932" s="285">
        <v>43</v>
      </c>
      <c r="K932" s="284">
        <v>0</v>
      </c>
      <c r="L932" s="284">
        <v>0</v>
      </c>
      <c r="M932" s="284">
        <v>0</v>
      </c>
      <c r="N932" s="284">
        <v>50</v>
      </c>
      <c r="O932" s="284">
        <v>0</v>
      </c>
      <c r="P932" s="284">
        <v>116</v>
      </c>
      <c r="Q932" s="286">
        <v>188</v>
      </c>
      <c r="R932" s="274">
        <v>272</v>
      </c>
      <c r="S932" s="274">
        <v>188</v>
      </c>
      <c r="T932" s="287">
        <f t="shared" si="14"/>
        <v>2015</v>
      </c>
      <c r="U932" s="274">
        <f>VLOOKUP(A932,'[1]SB35 Determination Data'!$B$4:$F$542,5,FALSE)</f>
        <v>2014</v>
      </c>
    </row>
    <row r="933" spans="1:21" s="274" customFormat="1" ht="12.75" x14ac:dyDescent="0.2">
      <c r="A933" s="282" t="s">
        <v>587</v>
      </c>
      <c r="B933" s="282" t="s">
        <v>481</v>
      </c>
      <c r="C933" s="282" t="s">
        <v>649</v>
      </c>
      <c r="D933" s="283">
        <v>2016</v>
      </c>
      <c r="E933" s="282" t="s">
        <v>650</v>
      </c>
      <c r="F933" s="284">
        <v>63</v>
      </c>
      <c r="G933" s="285">
        <v>0</v>
      </c>
      <c r="H933" s="288">
        <v>0</v>
      </c>
      <c r="I933" s="285">
        <v>0</v>
      </c>
      <c r="J933" s="285">
        <v>43</v>
      </c>
      <c r="K933" s="284">
        <v>0</v>
      </c>
      <c r="L933" s="284">
        <v>0</v>
      </c>
      <c r="M933" s="284">
        <v>0</v>
      </c>
      <c r="N933" s="284">
        <v>50</v>
      </c>
      <c r="O933" s="284">
        <v>0</v>
      </c>
      <c r="P933" s="284">
        <v>116</v>
      </c>
      <c r="Q933" s="286">
        <v>0</v>
      </c>
      <c r="R933" s="274">
        <v>272</v>
      </c>
      <c r="S933" s="274">
        <v>0</v>
      </c>
      <c r="T933" s="287">
        <f t="shared" si="14"/>
        <v>2016</v>
      </c>
      <c r="U933" s="274">
        <f>VLOOKUP(A933,'[1]SB35 Determination Data'!$B$4:$F$542,5,FALSE)</f>
        <v>2014</v>
      </c>
    </row>
    <row r="934" spans="1:21" s="274" customFormat="1" ht="12.75" x14ac:dyDescent="0.2">
      <c r="A934" s="282" t="s">
        <v>587</v>
      </c>
      <c r="B934" s="282" t="s">
        <v>481</v>
      </c>
      <c r="C934" s="282" t="s">
        <v>649</v>
      </c>
      <c r="D934" s="283">
        <v>2017</v>
      </c>
      <c r="E934" s="282" t="s">
        <v>650</v>
      </c>
      <c r="F934" s="284">
        <v>63</v>
      </c>
      <c r="G934" s="285">
        <v>0</v>
      </c>
      <c r="H934" s="288">
        <v>0</v>
      </c>
      <c r="I934" s="285">
        <v>0</v>
      </c>
      <c r="J934" s="285">
        <v>43</v>
      </c>
      <c r="K934" s="284">
        <v>0</v>
      </c>
      <c r="L934" s="284">
        <v>0</v>
      </c>
      <c r="M934" s="284">
        <v>0</v>
      </c>
      <c r="N934" s="284">
        <v>50</v>
      </c>
      <c r="O934" s="284">
        <v>0</v>
      </c>
      <c r="P934" s="284">
        <v>116</v>
      </c>
      <c r="Q934" s="286">
        <v>394</v>
      </c>
      <c r="R934" s="274">
        <v>272</v>
      </c>
      <c r="S934" s="274">
        <v>394</v>
      </c>
      <c r="T934" s="287">
        <f t="shared" si="14"/>
        <v>2017</v>
      </c>
      <c r="U934" s="274">
        <f>VLOOKUP(A934,'[1]SB35 Determination Data'!$B$4:$F$542,5,FALSE)</f>
        <v>2014</v>
      </c>
    </row>
    <row r="935" spans="1:21" s="274" customFormat="1" ht="12.75" x14ac:dyDescent="0.2">
      <c r="A935" s="282" t="s">
        <v>488</v>
      </c>
      <c r="B935" s="282" t="s">
        <v>262</v>
      </c>
      <c r="C935" s="282" t="s">
        <v>649</v>
      </c>
      <c r="D935" s="283">
        <v>2014</v>
      </c>
      <c r="E935" s="282" t="s">
        <v>650</v>
      </c>
      <c r="F935" s="284">
        <v>1395</v>
      </c>
      <c r="G935" s="285">
        <v>0</v>
      </c>
      <c r="H935" s="288">
        <v>0</v>
      </c>
      <c r="I935" s="285">
        <v>0</v>
      </c>
      <c r="J935" s="285">
        <v>827</v>
      </c>
      <c r="K935" s="284">
        <v>0</v>
      </c>
      <c r="L935" s="284">
        <v>0</v>
      </c>
      <c r="M935" s="284">
        <v>0</v>
      </c>
      <c r="N935" s="284">
        <v>898</v>
      </c>
      <c r="O935" s="284">
        <v>0</v>
      </c>
      <c r="P935" s="284">
        <v>2332</v>
      </c>
      <c r="Q935" s="286">
        <v>42</v>
      </c>
      <c r="R935" s="274">
        <v>5452</v>
      </c>
      <c r="S935" s="274">
        <v>42</v>
      </c>
      <c r="T935" s="287">
        <f t="shared" si="14"/>
        <v>2014</v>
      </c>
      <c r="U935" s="274">
        <f>VLOOKUP(A935,'[1]SB35 Determination Data'!$B$4:$F$542,5,FALSE)</f>
        <v>2014</v>
      </c>
    </row>
    <row r="936" spans="1:21" s="274" customFormat="1" ht="12.75" x14ac:dyDescent="0.2">
      <c r="A936" s="282" t="s">
        <v>488</v>
      </c>
      <c r="B936" s="282" t="s">
        <v>262</v>
      </c>
      <c r="C936" s="282" t="s">
        <v>649</v>
      </c>
      <c r="D936" s="283">
        <v>2015</v>
      </c>
      <c r="E936" s="282" t="s">
        <v>650</v>
      </c>
      <c r="F936" s="284">
        <v>1395</v>
      </c>
      <c r="G936" s="285">
        <v>0</v>
      </c>
      <c r="H936" s="288">
        <v>0</v>
      </c>
      <c r="I936" s="285">
        <v>0</v>
      </c>
      <c r="J936" s="285">
        <v>827</v>
      </c>
      <c r="K936" s="284">
        <v>0</v>
      </c>
      <c r="L936" s="284">
        <v>0</v>
      </c>
      <c r="M936" s="284">
        <v>0</v>
      </c>
      <c r="N936" s="284">
        <v>898</v>
      </c>
      <c r="O936" s="284">
        <v>0</v>
      </c>
      <c r="P936" s="284">
        <v>2332</v>
      </c>
      <c r="Q936" s="286">
        <v>95</v>
      </c>
      <c r="R936" s="274">
        <v>5452</v>
      </c>
      <c r="S936" s="274">
        <v>95</v>
      </c>
      <c r="T936" s="287">
        <f t="shared" si="14"/>
        <v>2015</v>
      </c>
      <c r="U936" s="274">
        <f>VLOOKUP(A936,'[1]SB35 Determination Data'!$B$4:$F$542,5,FALSE)</f>
        <v>2014</v>
      </c>
    </row>
    <row r="937" spans="1:21" s="274" customFormat="1" ht="12.75" x14ac:dyDescent="0.2">
      <c r="A937" s="282" t="s">
        <v>488</v>
      </c>
      <c r="B937" s="282" t="s">
        <v>262</v>
      </c>
      <c r="C937" s="282" t="s">
        <v>649</v>
      </c>
      <c r="D937" s="283">
        <v>2017</v>
      </c>
      <c r="E937" s="282" t="s">
        <v>650</v>
      </c>
      <c r="F937" s="284">
        <v>1395</v>
      </c>
      <c r="G937" s="285">
        <v>91</v>
      </c>
      <c r="H937" s="288">
        <v>91</v>
      </c>
      <c r="I937" s="285">
        <v>0</v>
      </c>
      <c r="J937" s="285">
        <v>827</v>
      </c>
      <c r="K937" s="284">
        <v>70</v>
      </c>
      <c r="L937" s="284">
        <v>70</v>
      </c>
      <c r="M937" s="284">
        <v>0</v>
      </c>
      <c r="N937" s="284">
        <v>898</v>
      </c>
      <c r="O937" s="284">
        <v>86</v>
      </c>
      <c r="P937" s="284">
        <v>2332</v>
      </c>
      <c r="Q937" s="286">
        <v>0</v>
      </c>
      <c r="R937" s="274">
        <v>5452</v>
      </c>
      <c r="S937" s="274">
        <v>247</v>
      </c>
      <c r="T937" s="287">
        <f t="shared" si="14"/>
        <v>2017</v>
      </c>
      <c r="U937" s="274">
        <f>VLOOKUP(A937,'[1]SB35 Determination Data'!$B$4:$F$542,5,FALSE)</f>
        <v>2014</v>
      </c>
    </row>
    <row r="938" spans="1:21" s="274" customFormat="1" ht="12.75" x14ac:dyDescent="0.2">
      <c r="A938" s="282" t="s">
        <v>588</v>
      </c>
      <c r="B938" s="282" t="s">
        <v>614</v>
      </c>
      <c r="C938" s="282" t="s">
        <v>654</v>
      </c>
      <c r="D938" s="283">
        <v>2015</v>
      </c>
      <c r="E938" s="282" t="s">
        <v>650</v>
      </c>
      <c r="F938" s="284">
        <v>691</v>
      </c>
      <c r="G938" s="285">
        <v>43</v>
      </c>
      <c r="H938" s="288">
        <v>43</v>
      </c>
      <c r="I938" s="285">
        <v>0</v>
      </c>
      <c r="J938" s="285">
        <v>432</v>
      </c>
      <c r="K938" s="284">
        <v>58</v>
      </c>
      <c r="L938" s="284">
        <v>58</v>
      </c>
      <c r="M938" s="284">
        <v>0</v>
      </c>
      <c r="N938" s="289">
        <v>278</v>
      </c>
      <c r="O938" s="284">
        <v>11</v>
      </c>
      <c r="P938" s="284">
        <v>587</v>
      </c>
      <c r="Q938" s="286">
        <v>174</v>
      </c>
      <c r="R938" s="274">
        <v>1988</v>
      </c>
      <c r="S938" s="274">
        <v>286</v>
      </c>
      <c r="T938" s="287">
        <f t="shared" si="14"/>
        <v>2015</v>
      </c>
      <c r="U938" s="274">
        <f>VLOOKUP(A938,'[1]SB35 Determination Data'!$B$4:$F$542,5,FALSE)</f>
        <v>2015</v>
      </c>
    </row>
    <row r="939" spans="1:21" s="274" customFormat="1" ht="12.75" x14ac:dyDescent="0.2">
      <c r="A939" s="282" t="s">
        <v>588</v>
      </c>
      <c r="B939" s="282" t="s">
        <v>614</v>
      </c>
      <c r="C939" s="282" t="s">
        <v>654</v>
      </c>
      <c r="D939" s="283">
        <v>2016</v>
      </c>
      <c r="E939" s="282" t="s">
        <v>650</v>
      </c>
      <c r="F939" s="284">
        <v>691</v>
      </c>
      <c r="G939" s="285">
        <v>0</v>
      </c>
      <c r="H939" s="288">
        <v>0</v>
      </c>
      <c r="I939" s="285">
        <v>0</v>
      </c>
      <c r="J939" s="285">
        <v>432</v>
      </c>
      <c r="K939" s="284">
        <v>0</v>
      </c>
      <c r="L939" s="284">
        <v>0</v>
      </c>
      <c r="M939" s="284">
        <v>0</v>
      </c>
      <c r="N939" s="284">
        <v>278</v>
      </c>
      <c r="O939" s="284">
        <v>3</v>
      </c>
      <c r="P939" s="284">
        <v>587</v>
      </c>
      <c r="Q939" s="286">
        <v>15</v>
      </c>
      <c r="R939" s="274">
        <v>1988</v>
      </c>
      <c r="S939" s="274">
        <v>18</v>
      </c>
      <c r="T939" s="287">
        <f t="shared" si="14"/>
        <v>2016</v>
      </c>
      <c r="U939" s="274">
        <f>VLOOKUP(A939,'[1]SB35 Determination Data'!$B$4:$F$542,5,FALSE)</f>
        <v>2015</v>
      </c>
    </row>
    <row r="940" spans="1:21" s="274" customFormat="1" ht="12.75" x14ac:dyDescent="0.2">
      <c r="A940" s="282" t="s">
        <v>588</v>
      </c>
      <c r="B940" s="282" t="s">
        <v>614</v>
      </c>
      <c r="C940" s="282" t="s">
        <v>654</v>
      </c>
      <c r="D940" s="283">
        <v>2017</v>
      </c>
      <c r="E940" s="282" t="s">
        <v>650</v>
      </c>
      <c r="F940" s="284">
        <v>691</v>
      </c>
      <c r="G940" s="285">
        <v>0</v>
      </c>
      <c r="H940" s="288">
        <v>0</v>
      </c>
      <c r="I940" s="285">
        <v>0</v>
      </c>
      <c r="J940" s="285">
        <v>432</v>
      </c>
      <c r="K940" s="284">
        <v>0</v>
      </c>
      <c r="L940" s="284">
        <v>0</v>
      </c>
      <c r="M940" s="284">
        <v>0</v>
      </c>
      <c r="N940" s="284">
        <v>278</v>
      </c>
      <c r="O940" s="284">
        <v>28</v>
      </c>
      <c r="P940" s="284">
        <v>587</v>
      </c>
      <c r="Q940" s="286">
        <v>61</v>
      </c>
      <c r="R940" s="274">
        <v>1988</v>
      </c>
      <c r="S940" s="274">
        <v>89</v>
      </c>
      <c r="T940" s="287">
        <f t="shared" si="14"/>
        <v>2017</v>
      </c>
      <c r="U940" s="274">
        <f>VLOOKUP(A940,'[1]SB35 Determination Data'!$B$4:$F$542,5,FALSE)</f>
        <v>2015</v>
      </c>
    </row>
    <row r="941" spans="1:21" s="274" customFormat="1" ht="12.75" x14ac:dyDescent="0.2">
      <c r="A941" s="282" t="s">
        <v>244</v>
      </c>
      <c r="B941" s="282" t="s">
        <v>109</v>
      </c>
      <c r="C941" s="282" t="s">
        <v>717</v>
      </c>
      <c r="D941" s="283">
        <v>2014</v>
      </c>
      <c r="E941" s="282" t="s">
        <v>650</v>
      </c>
      <c r="F941" s="284">
        <v>141</v>
      </c>
      <c r="G941" s="285">
        <v>0</v>
      </c>
      <c r="H941" s="288">
        <v>0</v>
      </c>
      <c r="I941" s="285">
        <v>0</v>
      </c>
      <c r="J941" s="285">
        <v>100</v>
      </c>
      <c r="K941" s="284">
        <v>1</v>
      </c>
      <c r="L941" s="284">
        <v>1</v>
      </c>
      <c r="M941" s="284">
        <v>0</v>
      </c>
      <c r="N941" s="284">
        <v>93</v>
      </c>
      <c r="O941" s="284">
        <v>4</v>
      </c>
      <c r="P941" s="284">
        <v>303</v>
      </c>
      <c r="Q941" s="286">
        <v>9</v>
      </c>
      <c r="R941" s="274">
        <v>637</v>
      </c>
      <c r="S941" s="274">
        <v>14</v>
      </c>
      <c r="T941" s="287">
        <f t="shared" si="14"/>
        <v>2014</v>
      </c>
      <c r="U941" s="274">
        <f>VLOOKUP(A941,'[1]SB35 Determination Data'!$B$4:$F$542,5,FALSE)</f>
        <v>2014</v>
      </c>
    </row>
    <row r="942" spans="1:21" s="274" customFormat="1" ht="12.75" x14ac:dyDescent="0.2">
      <c r="A942" s="282" t="s">
        <v>244</v>
      </c>
      <c r="B942" s="282" t="s">
        <v>109</v>
      </c>
      <c r="C942" s="282" t="s">
        <v>717</v>
      </c>
      <c r="D942" s="283">
        <v>2016</v>
      </c>
      <c r="E942" s="282" t="s">
        <v>650</v>
      </c>
      <c r="F942" s="284">
        <v>141</v>
      </c>
      <c r="G942" s="285">
        <v>0</v>
      </c>
      <c r="H942" s="288">
        <v>0</v>
      </c>
      <c r="I942" s="285">
        <v>0</v>
      </c>
      <c r="J942" s="285">
        <v>100</v>
      </c>
      <c r="K942" s="284">
        <v>7</v>
      </c>
      <c r="L942" s="284">
        <v>7</v>
      </c>
      <c r="M942" s="284">
        <v>0</v>
      </c>
      <c r="N942" s="284">
        <v>93</v>
      </c>
      <c r="O942" s="284">
        <v>3</v>
      </c>
      <c r="P942" s="284">
        <v>303</v>
      </c>
      <c r="Q942" s="286">
        <v>17</v>
      </c>
      <c r="R942" s="274">
        <v>637</v>
      </c>
      <c r="S942" s="274">
        <v>27</v>
      </c>
      <c r="T942" s="287">
        <f t="shared" si="14"/>
        <v>2016</v>
      </c>
      <c r="U942" s="274">
        <f>VLOOKUP(A942,'[1]SB35 Determination Data'!$B$4:$F$542,5,FALSE)</f>
        <v>2014</v>
      </c>
    </row>
    <row r="943" spans="1:21" s="274" customFormat="1" ht="12.75" x14ac:dyDescent="0.2">
      <c r="A943" s="282" t="s">
        <v>244</v>
      </c>
      <c r="B943" s="282" t="s">
        <v>109</v>
      </c>
      <c r="C943" s="282" t="s">
        <v>717</v>
      </c>
      <c r="D943" s="283">
        <v>2017</v>
      </c>
      <c r="E943" s="282" t="s">
        <v>650</v>
      </c>
      <c r="F943" s="284">
        <v>141</v>
      </c>
      <c r="G943" s="285">
        <v>0</v>
      </c>
      <c r="H943" s="288">
        <v>0</v>
      </c>
      <c r="I943" s="285">
        <v>0</v>
      </c>
      <c r="J943" s="285">
        <v>100</v>
      </c>
      <c r="K943" s="284">
        <v>2</v>
      </c>
      <c r="L943" s="284">
        <v>2</v>
      </c>
      <c r="M943" s="284">
        <v>0</v>
      </c>
      <c r="N943" s="289">
        <v>93</v>
      </c>
      <c r="O943" s="284">
        <v>1</v>
      </c>
      <c r="P943" s="284">
        <v>303</v>
      </c>
      <c r="Q943" s="286">
        <v>16</v>
      </c>
      <c r="R943" s="274">
        <v>637</v>
      </c>
      <c r="S943" s="274">
        <v>19</v>
      </c>
      <c r="T943" s="287">
        <f t="shared" si="14"/>
        <v>2017</v>
      </c>
      <c r="U943" s="274">
        <f>VLOOKUP(A943,'[1]SB35 Determination Data'!$B$4:$F$542,5,FALSE)</f>
        <v>2014</v>
      </c>
    </row>
    <row r="944" spans="1:21" s="274" customFormat="1" ht="12.75" x14ac:dyDescent="0.2">
      <c r="A944" s="282" t="s">
        <v>490</v>
      </c>
      <c r="B944" s="282" t="s">
        <v>262</v>
      </c>
      <c r="C944" s="282" t="s">
        <v>649</v>
      </c>
      <c r="D944" s="283">
        <v>2014</v>
      </c>
      <c r="E944" s="282" t="s">
        <v>650</v>
      </c>
      <c r="F944" s="284">
        <v>26</v>
      </c>
      <c r="G944" s="285">
        <v>0</v>
      </c>
      <c r="H944" s="288">
        <v>0</v>
      </c>
      <c r="I944" s="285">
        <v>0</v>
      </c>
      <c r="J944" s="285">
        <v>16</v>
      </c>
      <c r="K944" s="284">
        <v>0</v>
      </c>
      <c r="L944" s="284">
        <v>0</v>
      </c>
      <c r="M944" s="284">
        <v>0</v>
      </c>
      <c r="N944" s="284">
        <v>17</v>
      </c>
      <c r="O944" s="284">
        <v>0</v>
      </c>
      <c r="P944" s="284">
        <v>46</v>
      </c>
      <c r="Q944" s="286">
        <v>5</v>
      </c>
      <c r="R944" s="274">
        <v>105</v>
      </c>
      <c r="S944" s="274">
        <v>5</v>
      </c>
      <c r="T944" s="287">
        <f t="shared" si="14"/>
        <v>2014</v>
      </c>
      <c r="U944" s="274">
        <f>VLOOKUP(A944,'[1]SB35 Determination Data'!$B$4:$F$542,5,FALSE)</f>
        <v>2014</v>
      </c>
    </row>
    <row r="945" spans="1:21" s="274" customFormat="1" ht="12.75" x14ac:dyDescent="0.2">
      <c r="A945" s="282" t="s">
        <v>490</v>
      </c>
      <c r="B945" s="282" t="s">
        <v>262</v>
      </c>
      <c r="C945" s="282" t="s">
        <v>649</v>
      </c>
      <c r="D945" s="283">
        <v>2015</v>
      </c>
      <c r="E945" s="282" t="s">
        <v>650</v>
      </c>
      <c r="F945" s="284">
        <v>26</v>
      </c>
      <c r="G945" s="285">
        <v>0</v>
      </c>
      <c r="H945" s="288">
        <v>0</v>
      </c>
      <c r="I945" s="285">
        <v>0</v>
      </c>
      <c r="J945" s="285">
        <v>16</v>
      </c>
      <c r="K945" s="284">
        <v>0</v>
      </c>
      <c r="L945" s="284">
        <v>0</v>
      </c>
      <c r="M945" s="284">
        <v>0</v>
      </c>
      <c r="N945" s="284">
        <v>17</v>
      </c>
      <c r="O945" s="284">
        <v>0</v>
      </c>
      <c r="P945" s="284">
        <v>46</v>
      </c>
      <c r="Q945" s="286">
        <v>4</v>
      </c>
      <c r="R945" s="274">
        <v>105</v>
      </c>
      <c r="S945" s="274">
        <v>4</v>
      </c>
      <c r="T945" s="287">
        <f t="shared" si="14"/>
        <v>2015</v>
      </c>
      <c r="U945" s="274">
        <f>VLOOKUP(A945,'[1]SB35 Determination Data'!$B$4:$F$542,5,FALSE)</f>
        <v>2014</v>
      </c>
    </row>
    <row r="946" spans="1:21" s="274" customFormat="1" ht="12.75" x14ac:dyDescent="0.2">
      <c r="A946" s="282" t="s">
        <v>490</v>
      </c>
      <c r="B946" s="282" t="s">
        <v>262</v>
      </c>
      <c r="C946" s="282" t="s">
        <v>649</v>
      </c>
      <c r="D946" s="283">
        <v>2016</v>
      </c>
      <c r="E946" s="282" t="s">
        <v>650</v>
      </c>
      <c r="F946" s="284">
        <v>26</v>
      </c>
      <c r="G946" s="285">
        <v>0</v>
      </c>
      <c r="H946" s="288">
        <v>0</v>
      </c>
      <c r="I946" s="285">
        <v>0</v>
      </c>
      <c r="J946" s="285">
        <v>16</v>
      </c>
      <c r="K946" s="284">
        <v>0</v>
      </c>
      <c r="L946" s="284">
        <v>0</v>
      </c>
      <c r="M946" s="284">
        <v>0</v>
      </c>
      <c r="N946" s="284">
        <v>17</v>
      </c>
      <c r="O946" s="284">
        <v>0</v>
      </c>
      <c r="P946" s="284">
        <v>46</v>
      </c>
      <c r="Q946" s="286">
        <v>1</v>
      </c>
      <c r="R946" s="274">
        <v>105</v>
      </c>
      <c r="S946" s="274">
        <v>1</v>
      </c>
      <c r="T946" s="287">
        <f t="shared" si="14"/>
        <v>2016</v>
      </c>
      <c r="U946" s="274">
        <f>VLOOKUP(A946,'[1]SB35 Determination Data'!$B$4:$F$542,5,FALSE)</f>
        <v>2014</v>
      </c>
    </row>
    <row r="947" spans="1:21" s="274" customFormat="1" ht="12.75" x14ac:dyDescent="0.2">
      <c r="A947" s="282" t="s">
        <v>490</v>
      </c>
      <c r="B947" s="282" t="s">
        <v>262</v>
      </c>
      <c r="C947" s="282" t="s">
        <v>649</v>
      </c>
      <c r="D947" s="283">
        <v>2017</v>
      </c>
      <c r="E947" s="282" t="s">
        <v>650</v>
      </c>
      <c r="F947" s="284">
        <v>26</v>
      </c>
      <c r="G947" s="285">
        <v>0</v>
      </c>
      <c r="H947" s="288">
        <v>0</v>
      </c>
      <c r="I947" s="285">
        <v>0</v>
      </c>
      <c r="J947" s="285">
        <v>16</v>
      </c>
      <c r="K947" s="284">
        <v>0</v>
      </c>
      <c r="L947" s="284">
        <v>0</v>
      </c>
      <c r="M947" s="284">
        <v>0</v>
      </c>
      <c r="N947" s="284">
        <v>17</v>
      </c>
      <c r="O947" s="284">
        <v>0</v>
      </c>
      <c r="P947" s="284">
        <v>46</v>
      </c>
      <c r="Q947" s="286">
        <v>1</v>
      </c>
      <c r="R947" s="274">
        <v>105</v>
      </c>
      <c r="S947" s="274">
        <v>1</v>
      </c>
      <c r="T947" s="287">
        <f t="shared" si="14"/>
        <v>2017</v>
      </c>
      <c r="U947" s="274">
        <f>VLOOKUP(A947,'[1]SB35 Determination Data'!$B$4:$F$542,5,FALSE)</f>
        <v>2014</v>
      </c>
    </row>
    <row r="948" spans="1:21" s="274" customFormat="1" ht="12.75" x14ac:dyDescent="0.2">
      <c r="A948" s="282" t="s">
        <v>367</v>
      </c>
      <c r="B948" s="282" t="s">
        <v>125</v>
      </c>
      <c r="C948" s="282" t="s">
        <v>531</v>
      </c>
      <c r="D948" s="283">
        <v>2015</v>
      </c>
      <c r="E948" s="282" t="s">
        <v>650</v>
      </c>
      <c r="F948" s="284">
        <v>110</v>
      </c>
      <c r="G948" s="285">
        <v>53</v>
      </c>
      <c r="H948" s="288">
        <v>43</v>
      </c>
      <c r="I948" s="285">
        <v>10</v>
      </c>
      <c r="J948" s="285">
        <v>82</v>
      </c>
      <c r="K948" s="284">
        <v>2</v>
      </c>
      <c r="L948" s="284">
        <v>0</v>
      </c>
      <c r="M948" s="284">
        <v>2</v>
      </c>
      <c r="N948" s="289">
        <v>77</v>
      </c>
      <c r="O948" s="284">
        <v>0</v>
      </c>
      <c r="P948" s="284">
        <v>319</v>
      </c>
      <c r="Q948" s="286">
        <v>0</v>
      </c>
      <c r="R948" s="274">
        <v>588</v>
      </c>
      <c r="S948" s="274">
        <v>55</v>
      </c>
      <c r="T948" s="287">
        <f t="shared" si="14"/>
        <v>2016</v>
      </c>
      <c r="U948" s="274">
        <f>VLOOKUP(A948,'[1]SB35 Determination Data'!$B$4:$F$542,5,FALSE)</f>
        <v>2016</v>
      </c>
    </row>
    <row r="949" spans="1:21" s="274" customFormat="1" ht="12.75" x14ac:dyDescent="0.2">
      <c r="A949" s="282" t="s">
        <v>367</v>
      </c>
      <c r="B949" s="282" t="s">
        <v>125</v>
      </c>
      <c r="C949" s="282" t="s">
        <v>531</v>
      </c>
      <c r="D949" s="283">
        <v>2016</v>
      </c>
      <c r="E949" s="282" t="s">
        <v>650</v>
      </c>
      <c r="F949" s="284">
        <v>110</v>
      </c>
      <c r="G949" s="285">
        <v>56</v>
      </c>
      <c r="H949" s="288">
        <v>48</v>
      </c>
      <c r="I949" s="285">
        <v>8</v>
      </c>
      <c r="J949" s="285">
        <v>82</v>
      </c>
      <c r="K949" s="284">
        <v>4</v>
      </c>
      <c r="L949" s="284">
        <v>2</v>
      </c>
      <c r="M949" s="284">
        <v>2</v>
      </c>
      <c r="N949" s="284">
        <v>77</v>
      </c>
      <c r="O949" s="284">
        <v>3</v>
      </c>
      <c r="P949" s="284">
        <v>319</v>
      </c>
      <c r="Q949" s="286">
        <v>0</v>
      </c>
      <c r="R949" s="274">
        <v>588</v>
      </c>
      <c r="S949" s="274">
        <v>63</v>
      </c>
      <c r="T949" s="287">
        <f t="shared" si="14"/>
        <v>2016</v>
      </c>
      <c r="U949" s="274">
        <f>VLOOKUP(A949,'[1]SB35 Determination Data'!$B$4:$F$542,5,FALSE)</f>
        <v>2016</v>
      </c>
    </row>
    <row r="950" spans="1:21" s="274" customFormat="1" ht="12.75" x14ac:dyDescent="0.2">
      <c r="A950" s="282" t="s">
        <v>367</v>
      </c>
      <c r="B950" s="282" t="s">
        <v>125</v>
      </c>
      <c r="C950" s="282" t="s">
        <v>531</v>
      </c>
      <c r="D950" s="283">
        <v>2017</v>
      </c>
      <c r="E950" s="282" t="s">
        <v>650</v>
      </c>
      <c r="F950" s="284">
        <v>110</v>
      </c>
      <c r="G950" s="285">
        <v>7</v>
      </c>
      <c r="H950" s="288">
        <v>4</v>
      </c>
      <c r="I950" s="285">
        <v>3</v>
      </c>
      <c r="J950" s="285">
        <v>82</v>
      </c>
      <c r="K950" s="284">
        <v>27</v>
      </c>
      <c r="L950" s="284">
        <v>17</v>
      </c>
      <c r="M950" s="284">
        <v>10</v>
      </c>
      <c r="N950" s="284">
        <v>77</v>
      </c>
      <c r="O950" s="284">
        <v>0</v>
      </c>
      <c r="P950" s="284">
        <v>319</v>
      </c>
      <c r="Q950" s="286">
        <v>0</v>
      </c>
      <c r="R950" s="274">
        <v>588</v>
      </c>
      <c r="S950" s="274">
        <v>34</v>
      </c>
      <c r="T950" s="287">
        <f t="shared" si="14"/>
        <v>2017</v>
      </c>
      <c r="U950" s="274">
        <f>VLOOKUP(A950,'[1]SB35 Determination Data'!$B$4:$F$542,5,FALSE)</f>
        <v>2016</v>
      </c>
    </row>
    <row r="951" spans="1:21" s="274" customFormat="1" ht="12.75" x14ac:dyDescent="0.2">
      <c r="A951" s="282" t="s">
        <v>491</v>
      </c>
      <c r="B951" s="282" t="s">
        <v>262</v>
      </c>
      <c r="C951" s="282" t="s">
        <v>649</v>
      </c>
      <c r="D951" s="283">
        <v>2014</v>
      </c>
      <c r="E951" s="282" t="s">
        <v>650</v>
      </c>
      <c r="F951" s="284">
        <v>340</v>
      </c>
      <c r="G951" s="285">
        <v>30</v>
      </c>
      <c r="H951" s="288">
        <v>30</v>
      </c>
      <c r="I951" s="285">
        <v>0</v>
      </c>
      <c r="J951" s="285">
        <v>207</v>
      </c>
      <c r="K951" s="284">
        <v>4</v>
      </c>
      <c r="L951" s="284">
        <v>4</v>
      </c>
      <c r="M951" s="284">
        <v>0</v>
      </c>
      <c r="N951" s="289">
        <v>224</v>
      </c>
      <c r="O951" s="284">
        <v>17</v>
      </c>
      <c r="P951" s="284">
        <v>561</v>
      </c>
      <c r="Q951" s="286">
        <v>487</v>
      </c>
      <c r="R951" s="274">
        <v>1332</v>
      </c>
      <c r="S951" s="274">
        <v>538</v>
      </c>
      <c r="T951" s="287">
        <f t="shared" si="14"/>
        <v>2014</v>
      </c>
      <c r="U951" s="274">
        <f>VLOOKUP(A951,'[1]SB35 Determination Data'!$B$4:$F$542,5,FALSE)</f>
        <v>2014</v>
      </c>
    </row>
    <row r="952" spans="1:21" s="274" customFormat="1" ht="12.75" x14ac:dyDescent="0.2">
      <c r="A952" s="282" t="s">
        <v>491</v>
      </c>
      <c r="B952" s="282" t="s">
        <v>262</v>
      </c>
      <c r="C952" s="282" t="s">
        <v>649</v>
      </c>
      <c r="D952" s="283">
        <v>2015</v>
      </c>
      <c r="E952" s="282" t="s">
        <v>650</v>
      </c>
      <c r="F952" s="284">
        <v>340</v>
      </c>
      <c r="G952" s="285">
        <v>104</v>
      </c>
      <c r="H952" s="288">
        <v>104</v>
      </c>
      <c r="I952" s="285">
        <v>0</v>
      </c>
      <c r="J952" s="285">
        <v>207</v>
      </c>
      <c r="K952" s="284">
        <v>0</v>
      </c>
      <c r="L952" s="284">
        <v>0</v>
      </c>
      <c r="M952" s="284">
        <v>0</v>
      </c>
      <c r="N952" s="284">
        <v>224</v>
      </c>
      <c r="O952" s="284">
        <v>10</v>
      </c>
      <c r="P952" s="284">
        <v>561</v>
      </c>
      <c r="Q952" s="286">
        <v>508</v>
      </c>
      <c r="R952" s="274">
        <v>1332</v>
      </c>
      <c r="S952" s="274">
        <v>622</v>
      </c>
      <c r="T952" s="287">
        <f t="shared" si="14"/>
        <v>2015</v>
      </c>
      <c r="U952" s="274">
        <f>VLOOKUP(A952,'[1]SB35 Determination Data'!$B$4:$F$542,5,FALSE)</f>
        <v>2014</v>
      </c>
    </row>
    <row r="953" spans="1:21" s="274" customFormat="1" ht="12.75" x14ac:dyDescent="0.2">
      <c r="A953" s="282" t="s">
        <v>491</v>
      </c>
      <c r="B953" s="282" t="s">
        <v>262</v>
      </c>
      <c r="C953" s="282" t="s">
        <v>649</v>
      </c>
      <c r="D953" s="283">
        <v>2016</v>
      </c>
      <c r="E953" s="282" t="s">
        <v>650</v>
      </c>
      <c r="F953" s="284">
        <v>340</v>
      </c>
      <c r="G953" s="285">
        <v>1</v>
      </c>
      <c r="H953" s="288">
        <v>1</v>
      </c>
      <c r="I953" s="285">
        <v>0</v>
      </c>
      <c r="J953" s="285">
        <v>207</v>
      </c>
      <c r="K953" s="284">
        <v>34</v>
      </c>
      <c r="L953" s="284">
        <v>34</v>
      </c>
      <c r="M953" s="284">
        <v>0</v>
      </c>
      <c r="N953" s="284">
        <v>224</v>
      </c>
      <c r="O953" s="284">
        <v>18</v>
      </c>
      <c r="P953" s="284">
        <v>561</v>
      </c>
      <c r="Q953" s="286">
        <v>357</v>
      </c>
      <c r="R953" s="274">
        <v>1332</v>
      </c>
      <c r="S953" s="274">
        <v>410</v>
      </c>
      <c r="T953" s="287">
        <f t="shared" si="14"/>
        <v>2016</v>
      </c>
      <c r="U953" s="274">
        <f>VLOOKUP(A953,'[1]SB35 Determination Data'!$B$4:$F$542,5,FALSE)</f>
        <v>2014</v>
      </c>
    </row>
    <row r="954" spans="1:21" s="274" customFormat="1" ht="12.75" x14ac:dyDescent="0.2">
      <c r="A954" s="282" t="s">
        <v>491</v>
      </c>
      <c r="B954" s="282" t="s">
        <v>262</v>
      </c>
      <c r="C954" s="282" t="s">
        <v>649</v>
      </c>
      <c r="D954" s="283">
        <v>2017</v>
      </c>
      <c r="E954" s="282" t="s">
        <v>650</v>
      </c>
      <c r="F954" s="284">
        <v>340</v>
      </c>
      <c r="G954" s="285">
        <v>9</v>
      </c>
      <c r="H954" s="288">
        <v>9</v>
      </c>
      <c r="I954" s="285">
        <v>0</v>
      </c>
      <c r="J954" s="285">
        <v>207</v>
      </c>
      <c r="K954" s="284">
        <v>0</v>
      </c>
      <c r="L954" s="284">
        <v>0</v>
      </c>
      <c r="M954" s="284">
        <v>0</v>
      </c>
      <c r="N954" s="284">
        <v>224</v>
      </c>
      <c r="O954" s="284">
        <v>0</v>
      </c>
      <c r="P954" s="284">
        <v>561</v>
      </c>
      <c r="Q954" s="286">
        <v>213</v>
      </c>
      <c r="R954" s="274">
        <v>1332</v>
      </c>
      <c r="S954" s="274">
        <v>222</v>
      </c>
      <c r="T954" s="287">
        <f t="shared" si="14"/>
        <v>2017</v>
      </c>
      <c r="U954" s="274">
        <f>VLOOKUP(A954,'[1]SB35 Determination Data'!$B$4:$F$542,5,FALSE)</f>
        <v>2014</v>
      </c>
    </row>
    <row r="955" spans="1:21" s="274" customFormat="1" ht="12.75" x14ac:dyDescent="0.2">
      <c r="A955" s="282" t="s">
        <v>590</v>
      </c>
      <c r="B955" s="282" t="s">
        <v>583</v>
      </c>
      <c r="C955" s="282" t="s">
        <v>660</v>
      </c>
      <c r="D955" s="283">
        <v>2014</v>
      </c>
      <c r="E955" s="282" t="s">
        <v>650</v>
      </c>
      <c r="F955" s="284">
        <v>123</v>
      </c>
      <c r="G955" s="285">
        <v>56</v>
      </c>
      <c r="H955" s="288">
        <v>56</v>
      </c>
      <c r="I955" s="285">
        <v>0</v>
      </c>
      <c r="J955" s="285">
        <v>77</v>
      </c>
      <c r="K955" s="284">
        <v>24</v>
      </c>
      <c r="L955" s="284">
        <v>24</v>
      </c>
      <c r="M955" s="284">
        <v>0</v>
      </c>
      <c r="N955" s="284">
        <v>87</v>
      </c>
      <c r="O955" s="284">
        <v>2</v>
      </c>
      <c r="P955" s="284">
        <v>206</v>
      </c>
      <c r="Q955" s="286">
        <v>54</v>
      </c>
      <c r="R955" s="274">
        <v>493</v>
      </c>
      <c r="S955" s="274">
        <v>136</v>
      </c>
      <c r="T955" s="287">
        <f t="shared" si="14"/>
        <v>2014</v>
      </c>
      <c r="U955" s="274">
        <f>VLOOKUP(A955,'[1]SB35 Determination Data'!$B$4:$F$542,5,FALSE)</f>
        <v>2014</v>
      </c>
    </row>
    <row r="956" spans="1:21" s="274" customFormat="1" ht="12.75" x14ac:dyDescent="0.2">
      <c r="A956" s="282" t="s">
        <v>590</v>
      </c>
      <c r="B956" s="282" t="s">
        <v>583</v>
      </c>
      <c r="C956" s="282" t="s">
        <v>660</v>
      </c>
      <c r="D956" s="283">
        <v>2015</v>
      </c>
      <c r="E956" s="282" t="s">
        <v>650</v>
      </c>
      <c r="F956" s="284">
        <v>123</v>
      </c>
      <c r="G956" s="285">
        <v>49</v>
      </c>
      <c r="H956" s="288">
        <v>49</v>
      </c>
      <c r="I956" s="285">
        <v>0</v>
      </c>
      <c r="J956" s="285">
        <v>77</v>
      </c>
      <c r="K956" s="284">
        <v>20</v>
      </c>
      <c r="L956" s="284">
        <v>20</v>
      </c>
      <c r="M956" s="284">
        <v>0</v>
      </c>
      <c r="N956" s="289">
        <v>87</v>
      </c>
      <c r="O956" s="284">
        <v>23</v>
      </c>
      <c r="P956" s="284">
        <v>206</v>
      </c>
      <c r="Q956" s="286">
        <v>61</v>
      </c>
      <c r="R956" s="274">
        <v>493</v>
      </c>
      <c r="S956" s="274">
        <v>153</v>
      </c>
      <c r="T956" s="287">
        <f t="shared" si="14"/>
        <v>2015</v>
      </c>
      <c r="U956" s="274">
        <f>VLOOKUP(A956,'[1]SB35 Determination Data'!$B$4:$F$542,5,FALSE)</f>
        <v>2014</v>
      </c>
    </row>
    <row r="957" spans="1:21" s="274" customFormat="1" ht="12.75" x14ac:dyDescent="0.2">
      <c r="A957" s="282" t="s">
        <v>590</v>
      </c>
      <c r="B957" s="282" t="s">
        <v>583</v>
      </c>
      <c r="C957" s="282" t="s">
        <v>660</v>
      </c>
      <c r="D957" s="283">
        <v>2016</v>
      </c>
      <c r="E957" s="282" t="s">
        <v>650</v>
      </c>
      <c r="F957" s="284">
        <v>123</v>
      </c>
      <c r="G957" s="285">
        <v>0</v>
      </c>
      <c r="H957" s="288">
        <v>0</v>
      </c>
      <c r="I957" s="285">
        <v>0</v>
      </c>
      <c r="J957" s="285">
        <v>77</v>
      </c>
      <c r="K957" s="284">
        <v>0</v>
      </c>
      <c r="L957" s="284">
        <v>0</v>
      </c>
      <c r="M957" s="284">
        <v>0</v>
      </c>
      <c r="N957" s="284">
        <v>87</v>
      </c>
      <c r="O957" s="284">
        <v>21</v>
      </c>
      <c r="P957" s="284">
        <v>206</v>
      </c>
      <c r="Q957" s="286">
        <v>44</v>
      </c>
      <c r="R957" s="274">
        <v>493</v>
      </c>
      <c r="S957" s="274">
        <v>65</v>
      </c>
      <c r="T957" s="287">
        <f t="shared" si="14"/>
        <v>2016</v>
      </c>
      <c r="U957" s="274">
        <f>VLOOKUP(A957,'[1]SB35 Determination Data'!$B$4:$F$542,5,FALSE)</f>
        <v>2014</v>
      </c>
    </row>
    <row r="958" spans="1:21" s="274" customFormat="1" ht="12.75" x14ac:dyDescent="0.2">
      <c r="A958" s="282" t="s">
        <v>590</v>
      </c>
      <c r="B958" s="282" t="s">
        <v>583</v>
      </c>
      <c r="C958" s="282" t="s">
        <v>660</v>
      </c>
      <c r="D958" s="283">
        <v>2017</v>
      </c>
      <c r="E958" s="282" t="s">
        <v>650</v>
      </c>
      <c r="F958" s="284">
        <v>123</v>
      </c>
      <c r="G958" s="285">
        <v>52</v>
      </c>
      <c r="H958" s="288">
        <v>52</v>
      </c>
      <c r="I958" s="285">
        <v>0</v>
      </c>
      <c r="J958" s="285">
        <v>77</v>
      </c>
      <c r="K958" s="284">
        <v>23</v>
      </c>
      <c r="L958" s="284">
        <v>23</v>
      </c>
      <c r="M958" s="284">
        <v>0</v>
      </c>
      <c r="N958" s="284">
        <v>87</v>
      </c>
      <c r="O958" s="284">
        <v>150</v>
      </c>
      <c r="P958" s="284">
        <v>206</v>
      </c>
      <c r="Q958" s="286">
        <v>17</v>
      </c>
      <c r="R958" s="274">
        <v>493</v>
      </c>
      <c r="S958" s="274">
        <v>242</v>
      </c>
      <c r="T958" s="287">
        <f t="shared" si="14"/>
        <v>2017</v>
      </c>
      <c r="U958" s="274">
        <f>VLOOKUP(A958,'[1]SB35 Determination Data'!$B$4:$F$542,5,FALSE)</f>
        <v>2014</v>
      </c>
    </row>
    <row r="959" spans="1:21" s="274" customFormat="1" ht="12.75" x14ac:dyDescent="0.2">
      <c r="A959" s="282" t="s">
        <v>592</v>
      </c>
      <c r="B959" s="282" t="s">
        <v>481</v>
      </c>
      <c r="C959" s="282" t="s">
        <v>649</v>
      </c>
      <c r="D959" s="283">
        <v>2014</v>
      </c>
      <c r="E959" s="282" t="s">
        <v>650</v>
      </c>
      <c r="F959" s="284">
        <v>1026</v>
      </c>
      <c r="G959" s="285">
        <v>359</v>
      </c>
      <c r="H959" s="288">
        <v>359</v>
      </c>
      <c r="I959" s="285">
        <v>0</v>
      </c>
      <c r="J959" s="285">
        <v>681</v>
      </c>
      <c r="K959" s="284">
        <v>0</v>
      </c>
      <c r="L959" s="284">
        <v>0</v>
      </c>
      <c r="M959" s="284">
        <v>0</v>
      </c>
      <c r="N959" s="289">
        <v>759</v>
      </c>
      <c r="O959" s="284">
        <v>222</v>
      </c>
      <c r="P959" s="284">
        <v>1814</v>
      </c>
      <c r="Q959" s="286">
        <v>0</v>
      </c>
      <c r="R959" s="274">
        <v>4280</v>
      </c>
      <c r="S959" s="274">
        <v>581</v>
      </c>
      <c r="T959" s="287">
        <f t="shared" si="14"/>
        <v>2014</v>
      </c>
      <c r="U959" s="274">
        <f>VLOOKUP(A959,'[1]SB35 Determination Data'!$B$4:$F$542,5,FALSE)</f>
        <v>2014</v>
      </c>
    </row>
    <row r="960" spans="1:21" s="274" customFormat="1" ht="12.75" x14ac:dyDescent="0.2">
      <c r="A960" s="282" t="s">
        <v>592</v>
      </c>
      <c r="B960" s="282" t="s">
        <v>481</v>
      </c>
      <c r="C960" s="282" t="s">
        <v>649</v>
      </c>
      <c r="D960" s="283">
        <v>2015</v>
      </c>
      <c r="E960" s="282" t="s">
        <v>650</v>
      </c>
      <c r="F960" s="284">
        <v>1026</v>
      </c>
      <c r="G960" s="285">
        <v>0</v>
      </c>
      <c r="H960" s="288">
        <v>0</v>
      </c>
      <c r="I960" s="285">
        <v>0</v>
      </c>
      <c r="J960" s="285">
        <v>681</v>
      </c>
      <c r="K960" s="284">
        <v>0</v>
      </c>
      <c r="L960" s="284">
        <v>0</v>
      </c>
      <c r="M960" s="284">
        <v>0</v>
      </c>
      <c r="N960" s="284">
        <v>759</v>
      </c>
      <c r="O960" s="284">
        <v>0</v>
      </c>
      <c r="P960" s="284">
        <v>1814</v>
      </c>
      <c r="Q960" s="286">
        <v>222</v>
      </c>
      <c r="R960" s="274">
        <v>4280</v>
      </c>
      <c r="S960" s="274">
        <v>222</v>
      </c>
      <c r="T960" s="287">
        <f t="shared" si="14"/>
        <v>2015</v>
      </c>
      <c r="U960" s="274">
        <f>VLOOKUP(A960,'[1]SB35 Determination Data'!$B$4:$F$542,5,FALSE)</f>
        <v>2014</v>
      </c>
    </row>
    <row r="961" spans="1:21" s="274" customFormat="1" ht="12.75" x14ac:dyDescent="0.2">
      <c r="A961" s="282" t="s">
        <v>592</v>
      </c>
      <c r="B961" s="282" t="s">
        <v>481</v>
      </c>
      <c r="C961" s="282" t="s">
        <v>649</v>
      </c>
      <c r="D961" s="283">
        <v>2016</v>
      </c>
      <c r="E961" s="282" t="s">
        <v>650</v>
      </c>
      <c r="F961" s="284">
        <v>1026</v>
      </c>
      <c r="G961" s="285">
        <v>0</v>
      </c>
      <c r="H961" s="288">
        <v>0</v>
      </c>
      <c r="I961" s="285">
        <v>0</v>
      </c>
      <c r="J961" s="285">
        <v>681</v>
      </c>
      <c r="K961" s="284">
        <v>0</v>
      </c>
      <c r="L961" s="284">
        <v>0</v>
      </c>
      <c r="M961" s="284">
        <v>0</v>
      </c>
      <c r="N961" s="284">
        <v>759</v>
      </c>
      <c r="O961" s="284">
        <v>0</v>
      </c>
      <c r="P961" s="284">
        <v>1814</v>
      </c>
      <c r="Q961" s="286">
        <v>701</v>
      </c>
      <c r="R961" s="274">
        <v>4280</v>
      </c>
      <c r="S961" s="274">
        <v>701</v>
      </c>
      <c r="T961" s="287">
        <f t="shared" si="14"/>
        <v>2016</v>
      </c>
      <c r="U961" s="274">
        <f>VLOOKUP(A961,'[1]SB35 Determination Data'!$B$4:$F$542,5,FALSE)</f>
        <v>2014</v>
      </c>
    </row>
    <row r="962" spans="1:21" s="274" customFormat="1" ht="12.75" x14ac:dyDescent="0.2">
      <c r="A962" s="282" t="s">
        <v>592</v>
      </c>
      <c r="B962" s="282" t="s">
        <v>481</v>
      </c>
      <c r="C962" s="282" t="s">
        <v>649</v>
      </c>
      <c r="D962" s="283">
        <v>2017</v>
      </c>
      <c r="E962" s="282" t="s">
        <v>650</v>
      </c>
      <c r="F962" s="284">
        <v>1026</v>
      </c>
      <c r="G962" s="285">
        <v>0</v>
      </c>
      <c r="H962" s="288">
        <v>0</v>
      </c>
      <c r="I962" s="285">
        <v>0</v>
      </c>
      <c r="J962" s="285">
        <v>681</v>
      </c>
      <c r="K962" s="284">
        <v>0</v>
      </c>
      <c r="L962" s="284">
        <v>0</v>
      </c>
      <c r="M962" s="284">
        <v>0</v>
      </c>
      <c r="N962" s="284">
        <v>759</v>
      </c>
      <c r="O962" s="284">
        <v>0</v>
      </c>
      <c r="P962" s="284">
        <v>1814</v>
      </c>
      <c r="Q962" s="286">
        <v>0</v>
      </c>
      <c r="R962" s="274">
        <v>4280</v>
      </c>
      <c r="S962" s="274">
        <v>0</v>
      </c>
      <c r="T962" s="287">
        <f t="shared" si="14"/>
        <v>2017</v>
      </c>
      <c r="U962" s="274">
        <f>VLOOKUP(A962,'[1]SB35 Determination Data'!$B$4:$F$542,5,FALSE)</f>
        <v>2014</v>
      </c>
    </row>
    <row r="963" spans="1:21" s="274" customFormat="1" ht="12.75" x14ac:dyDescent="0.2">
      <c r="A963" s="282" t="s">
        <v>593</v>
      </c>
      <c r="B963" s="282" t="s">
        <v>669</v>
      </c>
      <c r="C963" s="282" t="s">
        <v>654</v>
      </c>
      <c r="D963" s="283">
        <v>2015</v>
      </c>
      <c r="E963" s="282" t="s">
        <v>650</v>
      </c>
      <c r="F963" s="284">
        <v>199</v>
      </c>
      <c r="G963" s="285">
        <v>0</v>
      </c>
      <c r="H963" s="288">
        <v>0</v>
      </c>
      <c r="I963" s="285">
        <v>0</v>
      </c>
      <c r="J963" s="285">
        <v>103</v>
      </c>
      <c r="K963" s="284">
        <v>0</v>
      </c>
      <c r="L963" s="284">
        <v>0</v>
      </c>
      <c r="M963" s="284">
        <v>0</v>
      </c>
      <c r="N963" s="284">
        <v>121</v>
      </c>
      <c r="O963" s="284">
        <v>7</v>
      </c>
      <c r="P963" s="284">
        <v>322</v>
      </c>
      <c r="Q963" s="286">
        <v>235</v>
      </c>
      <c r="R963" s="274">
        <v>745</v>
      </c>
      <c r="S963" s="274">
        <v>242</v>
      </c>
      <c r="T963" s="287">
        <f t="shared" si="14"/>
        <v>2015</v>
      </c>
      <c r="U963" s="274">
        <f>VLOOKUP(A963,'[1]SB35 Determination Data'!$B$4:$F$542,5,FALSE)</f>
        <v>2015</v>
      </c>
    </row>
    <row r="964" spans="1:21" s="274" customFormat="1" ht="12.75" x14ac:dyDescent="0.2">
      <c r="A964" s="282" t="s">
        <v>593</v>
      </c>
      <c r="B964" s="282" t="s">
        <v>669</v>
      </c>
      <c r="C964" s="282" t="s">
        <v>654</v>
      </c>
      <c r="D964" s="283">
        <v>2016</v>
      </c>
      <c r="E964" s="282" t="s">
        <v>650</v>
      </c>
      <c r="F964" s="284">
        <v>199</v>
      </c>
      <c r="G964" s="285">
        <v>0</v>
      </c>
      <c r="H964" s="288">
        <v>0</v>
      </c>
      <c r="I964" s="285">
        <v>0</v>
      </c>
      <c r="J964" s="285">
        <v>103</v>
      </c>
      <c r="K964" s="284">
        <v>0</v>
      </c>
      <c r="L964" s="284">
        <v>0</v>
      </c>
      <c r="M964" s="284">
        <v>0</v>
      </c>
      <c r="N964" s="289">
        <v>121</v>
      </c>
      <c r="O964" s="284">
        <v>8</v>
      </c>
      <c r="P964" s="284">
        <v>322</v>
      </c>
      <c r="Q964" s="286">
        <v>206</v>
      </c>
      <c r="R964" s="274">
        <v>745</v>
      </c>
      <c r="S964" s="274">
        <v>214</v>
      </c>
      <c r="T964" s="287">
        <f t="shared" ref="T964:T1027" si="15">IF(D964&gt;U964,D964,U964)</f>
        <v>2016</v>
      </c>
      <c r="U964" s="274">
        <f>VLOOKUP(A964,'[1]SB35 Determination Data'!$B$4:$F$542,5,FALSE)</f>
        <v>2015</v>
      </c>
    </row>
    <row r="965" spans="1:21" s="274" customFormat="1" ht="12.75" x14ac:dyDescent="0.2">
      <c r="A965" s="282" t="s">
        <v>593</v>
      </c>
      <c r="B965" s="282" t="s">
        <v>669</v>
      </c>
      <c r="C965" s="282" t="s">
        <v>654</v>
      </c>
      <c r="D965" s="283">
        <v>2017</v>
      </c>
      <c r="E965" s="282" t="s">
        <v>650</v>
      </c>
      <c r="F965" s="284">
        <v>199</v>
      </c>
      <c r="G965" s="285">
        <v>9</v>
      </c>
      <c r="H965" s="288">
        <v>9</v>
      </c>
      <c r="I965" s="285">
        <v>0</v>
      </c>
      <c r="J965" s="285">
        <v>103</v>
      </c>
      <c r="K965" s="284">
        <v>14</v>
      </c>
      <c r="L965" s="284">
        <v>14</v>
      </c>
      <c r="M965" s="284">
        <v>0</v>
      </c>
      <c r="N965" s="284">
        <v>121</v>
      </c>
      <c r="O965" s="284">
        <v>9</v>
      </c>
      <c r="P965" s="284">
        <v>322</v>
      </c>
      <c r="Q965" s="286">
        <v>150</v>
      </c>
      <c r="R965" s="274">
        <v>745</v>
      </c>
      <c r="S965" s="274">
        <v>182</v>
      </c>
      <c r="T965" s="287">
        <f t="shared" si="15"/>
        <v>2017</v>
      </c>
      <c r="U965" s="274">
        <f>VLOOKUP(A965,'[1]SB35 Determination Data'!$B$4:$F$542,5,FALSE)</f>
        <v>2015</v>
      </c>
    </row>
    <row r="966" spans="1:21" s="274" customFormat="1" ht="12.75" x14ac:dyDescent="0.2">
      <c r="A966" s="282" t="s">
        <v>187</v>
      </c>
      <c r="B966" s="282" t="s">
        <v>40</v>
      </c>
      <c r="C966" s="282" t="s">
        <v>654</v>
      </c>
      <c r="D966" s="283">
        <v>2016</v>
      </c>
      <c r="E966" s="282" t="s">
        <v>650</v>
      </c>
      <c r="F966" s="284">
        <v>24</v>
      </c>
      <c r="G966" s="285">
        <v>2</v>
      </c>
      <c r="H966" s="288">
        <v>2</v>
      </c>
      <c r="I966" s="285">
        <v>0</v>
      </c>
      <c r="J966" s="285">
        <v>14</v>
      </c>
      <c r="K966" s="284">
        <v>0</v>
      </c>
      <c r="L966" s="284">
        <v>0</v>
      </c>
      <c r="M966" s="284">
        <v>0</v>
      </c>
      <c r="N966" s="284">
        <v>15</v>
      </c>
      <c r="O966" s="284">
        <v>0</v>
      </c>
      <c r="P966" s="284">
        <v>7</v>
      </c>
      <c r="Q966" s="286">
        <v>3</v>
      </c>
      <c r="R966" s="274">
        <v>60</v>
      </c>
      <c r="S966" s="274">
        <v>5</v>
      </c>
      <c r="T966" s="287">
        <f t="shared" si="15"/>
        <v>2016</v>
      </c>
      <c r="U966" s="274">
        <f>VLOOKUP(A966,'[1]SB35 Determination Data'!$B$4:$F$542,5,FALSE)</f>
        <v>2015</v>
      </c>
    </row>
    <row r="967" spans="1:21" s="274" customFormat="1" ht="12.75" x14ac:dyDescent="0.2">
      <c r="A967" s="282" t="s">
        <v>187</v>
      </c>
      <c r="B967" s="282" t="s">
        <v>40</v>
      </c>
      <c r="C967" s="282" t="s">
        <v>654</v>
      </c>
      <c r="D967" s="283">
        <v>2017</v>
      </c>
      <c r="E967" s="282" t="s">
        <v>650</v>
      </c>
      <c r="F967" s="284">
        <v>24</v>
      </c>
      <c r="G967" s="285">
        <v>1</v>
      </c>
      <c r="H967" s="288">
        <v>1</v>
      </c>
      <c r="I967" s="285">
        <v>0</v>
      </c>
      <c r="J967" s="285">
        <v>14</v>
      </c>
      <c r="K967" s="284">
        <v>2</v>
      </c>
      <c r="L967" s="284">
        <v>0</v>
      </c>
      <c r="M967" s="284">
        <v>2</v>
      </c>
      <c r="N967" s="284">
        <v>15</v>
      </c>
      <c r="O967" s="284">
        <v>3</v>
      </c>
      <c r="P967" s="284">
        <v>7</v>
      </c>
      <c r="Q967" s="286">
        <v>1</v>
      </c>
      <c r="R967" s="274">
        <v>60</v>
      </c>
      <c r="S967" s="274">
        <v>7</v>
      </c>
      <c r="T967" s="287">
        <f t="shared" si="15"/>
        <v>2017</v>
      </c>
      <c r="U967" s="274">
        <f>VLOOKUP(A967,'[1]SB35 Determination Data'!$B$4:$F$542,5,FALSE)</f>
        <v>2015</v>
      </c>
    </row>
    <row r="968" spans="1:21" s="274" customFormat="1" ht="12.75" x14ac:dyDescent="0.2">
      <c r="A968" s="282" t="s">
        <v>303</v>
      </c>
      <c r="B968" s="282" t="s">
        <v>120</v>
      </c>
      <c r="C968" s="282" t="s">
        <v>654</v>
      </c>
      <c r="D968" s="283">
        <v>2015</v>
      </c>
      <c r="E968" s="282" t="s">
        <v>650</v>
      </c>
      <c r="F968" s="284">
        <v>80</v>
      </c>
      <c r="G968" s="285">
        <v>0</v>
      </c>
      <c r="H968" s="288">
        <v>0</v>
      </c>
      <c r="I968" s="285">
        <v>0</v>
      </c>
      <c r="J968" s="285">
        <v>48</v>
      </c>
      <c r="K968" s="284">
        <v>0</v>
      </c>
      <c r="L968" s="284">
        <v>0</v>
      </c>
      <c r="M968" s="284">
        <v>0</v>
      </c>
      <c r="N968" s="284">
        <v>43</v>
      </c>
      <c r="O968" s="284">
        <v>0</v>
      </c>
      <c r="P968" s="284">
        <v>126</v>
      </c>
      <c r="Q968" s="286">
        <v>0</v>
      </c>
      <c r="R968" s="274">
        <v>297</v>
      </c>
      <c r="S968" s="274">
        <v>0</v>
      </c>
      <c r="T968" s="287">
        <f t="shared" si="15"/>
        <v>2015</v>
      </c>
      <c r="U968" s="274">
        <f>VLOOKUP(A968,'[1]SB35 Determination Data'!$B$4:$F$542,5,FALSE)</f>
        <v>2015</v>
      </c>
    </row>
    <row r="969" spans="1:21" s="274" customFormat="1" ht="12.75" x14ac:dyDescent="0.2">
      <c r="A969" s="282" t="s">
        <v>303</v>
      </c>
      <c r="B969" s="282" t="s">
        <v>120</v>
      </c>
      <c r="C969" s="282" t="s">
        <v>654</v>
      </c>
      <c r="D969" s="283">
        <v>2016</v>
      </c>
      <c r="E969" s="282" t="s">
        <v>650</v>
      </c>
      <c r="F969" s="284">
        <v>80</v>
      </c>
      <c r="G969" s="285">
        <v>0</v>
      </c>
      <c r="H969" s="288">
        <v>0</v>
      </c>
      <c r="I969" s="285">
        <v>0</v>
      </c>
      <c r="J969" s="285">
        <v>48</v>
      </c>
      <c r="K969" s="284">
        <v>0</v>
      </c>
      <c r="L969" s="284">
        <v>0</v>
      </c>
      <c r="M969" s="284">
        <v>0</v>
      </c>
      <c r="N969" s="289">
        <v>43</v>
      </c>
      <c r="O969" s="284">
        <v>1</v>
      </c>
      <c r="P969" s="284">
        <v>126</v>
      </c>
      <c r="Q969" s="286">
        <v>2</v>
      </c>
      <c r="R969" s="274">
        <v>297</v>
      </c>
      <c r="S969" s="274">
        <v>3</v>
      </c>
      <c r="T969" s="287">
        <f t="shared" si="15"/>
        <v>2016</v>
      </c>
      <c r="U969" s="274">
        <f>VLOOKUP(A969,'[1]SB35 Determination Data'!$B$4:$F$542,5,FALSE)</f>
        <v>2015</v>
      </c>
    </row>
    <row r="970" spans="1:21" s="274" customFormat="1" ht="12.75" x14ac:dyDescent="0.2">
      <c r="A970" s="282" t="s">
        <v>303</v>
      </c>
      <c r="B970" s="282" t="s">
        <v>120</v>
      </c>
      <c r="C970" s="282" t="s">
        <v>654</v>
      </c>
      <c r="D970" s="283">
        <v>2017</v>
      </c>
      <c r="E970" s="282" t="s">
        <v>650</v>
      </c>
      <c r="F970" s="284">
        <v>80</v>
      </c>
      <c r="G970" s="285">
        <v>0</v>
      </c>
      <c r="H970" s="288">
        <v>0</v>
      </c>
      <c r="I970" s="285">
        <v>0</v>
      </c>
      <c r="J970" s="285">
        <v>48</v>
      </c>
      <c r="K970" s="284">
        <v>0</v>
      </c>
      <c r="L970" s="284">
        <v>0</v>
      </c>
      <c r="M970" s="284">
        <v>0</v>
      </c>
      <c r="N970" s="284">
        <v>43</v>
      </c>
      <c r="O970" s="284">
        <v>0</v>
      </c>
      <c r="P970" s="284">
        <v>126</v>
      </c>
      <c r="Q970" s="286">
        <v>2</v>
      </c>
      <c r="R970" s="274">
        <v>297</v>
      </c>
      <c r="S970" s="274">
        <v>2</v>
      </c>
      <c r="T970" s="287">
        <f t="shared" si="15"/>
        <v>2017</v>
      </c>
      <c r="U970" s="274">
        <f>VLOOKUP(A970,'[1]SB35 Determination Data'!$B$4:$F$542,5,FALSE)</f>
        <v>2015</v>
      </c>
    </row>
    <row r="971" spans="1:21" s="274" customFormat="1" ht="12.75" x14ac:dyDescent="0.2">
      <c r="A971" s="282" t="s">
        <v>596</v>
      </c>
      <c r="B971" s="282" t="s">
        <v>583</v>
      </c>
      <c r="C971" s="282" t="s">
        <v>660</v>
      </c>
      <c r="D971" s="283">
        <v>2014</v>
      </c>
      <c r="E971" s="282" t="s">
        <v>650</v>
      </c>
      <c r="F971" s="284">
        <v>38</v>
      </c>
      <c r="G971" s="285">
        <v>0</v>
      </c>
      <c r="H971" s="288">
        <v>0</v>
      </c>
      <c r="I971" s="285">
        <v>0</v>
      </c>
      <c r="J971" s="285">
        <v>24</v>
      </c>
      <c r="K971" s="284">
        <v>12</v>
      </c>
      <c r="L971" s="284">
        <v>12</v>
      </c>
      <c r="M971" s="284">
        <v>0</v>
      </c>
      <c r="N971" s="284">
        <v>27</v>
      </c>
      <c r="O971" s="284">
        <v>0</v>
      </c>
      <c r="P971" s="284">
        <v>64</v>
      </c>
      <c r="Q971" s="286">
        <v>91</v>
      </c>
      <c r="R971" s="274">
        <v>153</v>
      </c>
      <c r="S971" s="274">
        <v>103</v>
      </c>
      <c r="T971" s="287">
        <f t="shared" si="15"/>
        <v>2014</v>
      </c>
      <c r="U971" s="274">
        <f>VLOOKUP(A971,'[1]SB35 Determination Data'!$B$4:$F$542,5,FALSE)</f>
        <v>2014</v>
      </c>
    </row>
    <row r="972" spans="1:21" s="274" customFormat="1" ht="12.75" x14ac:dyDescent="0.2">
      <c r="A972" s="282" t="s">
        <v>596</v>
      </c>
      <c r="B972" s="282" t="s">
        <v>583</v>
      </c>
      <c r="C972" s="282" t="s">
        <v>660</v>
      </c>
      <c r="D972" s="283">
        <v>2015</v>
      </c>
      <c r="E972" s="282" t="s">
        <v>650</v>
      </c>
      <c r="F972" s="284">
        <v>38</v>
      </c>
      <c r="G972" s="285">
        <v>0</v>
      </c>
      <c r="H972" s="288">
        <v>0</v>
      </c>
      <c r="I972" s="285">
        <v>0</v>
      </c>
      <c r="J972" s="285">
        <v>24</v>
      </c>
      <c r="K972" s="284">
        <v>0</v>
      </c>
      <c r="L972" s="284">
        <v>0</v>
      </c>
      <c r="M972" s="284">
        <v>0</v>
      </c>
      <c r="N972" s="284">
        <v>27</v>
      </c>
      <c r="O972" s="284">
        <v>0</v>
      </c>
      <c r="P972" s="284">
        <v>64</v>
      </c>
      <c r="Q972" s="286">
        <v>55</v>
      </c>
      <c r="R972" s="274">
        <v>153</v>
      </c>
      <c r="S972" s="274">
        <v>55</v>
      </c>
      <c r="T972" s="287">
        <f t="shared" si="15"/>
        <v>2015</v>
      </c>
      <c r="U972" s="274">
        <f>VLOOKUP(A972,'[1]SB35 Determination Data'!$B$4:$F$542,5,FALSE)</f>
        <v>2014</v>
      </c>
    </row>
    <row r="973" spans="1:21" s="274" customFormat="1" ht="12.75" x14ac:dyDescent="0.2">
      <c r="A973" s="282" t="s">
        <v>596</v>
      </c>
      <c r="B973" s="282" t="s">
        <v>583</v>
      </c>
      <c r="C973" s="282" t="s">
        <v>660</v>
      </c>
      <c r="D973" s="283">
        <v>2016</v>
      </c>
      <c r="E973" s="282" t="s">
        <v>650</v>
      </c>
      <c r="F973" s="284">
        <v>38</v>
      </c>
      <c r="G973" s="285">
        <v>0</v>
      </c>
      <c r="H973" s="288">
        <v>0</v>
      </c>
      <c r="I973" s="285">
        <v>0</v>
      </c>
      <c r="J973" s="285">
        <v>24</v>
      </c>
      <c r="K973" s="284">
        <v>0</v>
      </c>
      <c r="L973" s="284">
        <v>0</v>
      </c>
      <c r="M973" s="284">
        <v>0</v>
      </c>
      <c r="N973" s="289">
        <v>27</v>
      </c>
      <c r="O973" s="284">
        <v>0</v>
      </c>
      <c r="P973" s="284">
        <v>64</v>
      </c>
      <c r="Q973" s="286">
        <v>65</v>
      </c>
      <c r="R973" s="274">
        <v>153</v>
      </c>
      <c r="S973" s="274">
        <v>65</v>
      </c>
      <c r="T973" s="287">
        <f t="shared" si="15"/>
        <v>2016</v>
      </c>
      <c r="U973" s="274">
        <f>VLOOKUP(A973,'[1]SB35 Determination Data'!$B$4:$F$542,5,FALSE)</f>
        <v>2014</v>
      </c>
    </row>
    <row r="974" spans="1:21" s="274" customFormat="1" ht="12.75" x14ac:dyDescent="0.2">
      <c r="A974" s="282" t="s">
        <v>596</v>
      </c>
      <c r="B974" s="282" t="s">
        <v>583</v>
      </c>
      <c r="C974" s="282" t="s">
        <v>660</v>
      </c>
      <c r="D974" s="283">
        <v>2017</v>
      </c>
      <c r="E974" s="282" t="s">
        <v>650</v>
      </c>
      <c r="F974" s="284">
        <v>38</v>
      </c>
      <c r="G974" s="285">
        <v>0</v>
      </c>
      <c r="H974" s="288">
        <v>0</v>
      </c>
      <c r="I974" s="285">
        <v>0</v>
      </c>
      <c r="J974" s="285">
        <v>24</v>
      </c>
      <c r="K974" s="284">
        <v>0</v>
      </c>
      <c r="L974" s="284">
        <v>0</v>
      </c>
      <c r="M974" s="284">
        <v>0</v>
      </c>
      <c r="N974" s="284">
        <v>27</v>
      </c>
      <c r="O974" s="284">
        <v>0</v>
      </c>
      <c r="P974" s="284">
        <v>64</v>
      </c>
      <c r="Q974" s="286">
        <v>32</v>
      </c>
      <c r="R974" s="274">
        <v>153</v>
      </c>
      <c r="S974" s="274">
        <v>32</v>
      </c>
      <c r="T974" s="287">
        <f t="shared" si="15"/>
        <v>2017</v>
      </c>
      <c r="U974" s="274">
        <f>VLOOKUP(A974,'[1]SB35 Determination Data'!$B$4:$F$542,5,FALSE)</f>
        <v>2014</v>
      </c>
    </row>
    <row r="975" spans="1:21" s="274" customFormat="1" ht="12.75" x14ac:dyDescent="0.2">
      <c r="A975" s="282" t="s">
        <v>306</v>
      </c>
      <c r="B975" s="282" t="s">
        <v>120</v>
      </c>
      <c r="C975" s="282" t="s">
        <v>654</v>
      </c>
      <c r="D975" s="283">
        <v>2014</v>
      </c>
      <c r="E975" s="282" t="s">
        <v>650</v>
      </c>
      <c r="F975" s="284">
        <v>392</v>
      </c>
      <c r="G975" s="285">
        <v>0</v>
      </c>
      <c r="H975" s="288">
        <v>0</v>
      </c>
      <c r="I975" s="285">
        <v>0</v>
      </c>
      <c r="J975" s="285">
        <v>254</v>
      </c>
      <c r="K975" s="284">
        <v>0</v>
      </c>
      <c r="L975" s="284">
        <v>0</v>
      </c>
      <c r="M975" s="284">
        <v>0</v>
      </c>
      <c r="N975" s="284">
        <v>316</v>
      </c>
      <c r="O975" s="284">
        <v>216</v>
      </c>
      <c r="P975" s="284">
        <v>1063</v>
      </c>
      <c r="Q975" s="286">
        <v>0</v>
      </c>
      <c r="R975" s="274">
        <v>2025</v>
      </c>
      <c r="S975" s="274">
        <v>216</v>
      </c>
      <c r="T975" s="287">
        <f t="shared" si="15"/>
        <v>2015</v>
      </c>
      <c r="U975" s="274">
        <f>VLOOKUP(A975,'[1]SB35 Determination Data'!$B$4:$F$542,5,FALSE)</f>
        <v>2015</v>
      </c>
    </row>
    <row r="976" spans="1:21" s="274" customFormat="1" ht="12.75" x14ac:dyDescent="0.2">
      <c r="A976" s="282" t="s">
        <v>306</v>
      </c>
      <c r="B976" s="282" t="s">
        <v>120</v>
      </c>
      <c r="C976" s="282" t="s">
        <v>654</v>
      </c>
      <c r="D976" s="283">
        <v>2015</v>
      </c>
      <c r="E976" s="282" t="s">
        <v>650</v>
      </c>
      <c r="F976" s="284">
        <v>392</v>
      </c>
      <c r="G976" s="285">
        <v>0</v>
      </c>
      <c r="H976" s="288">
        <v>0</v>
      </c>
      <c r="I976" s="285">
        <v>0</v>
      </c>
      <c r="J976" s="285">
        <v>254</v>
      </c>
      <c r="K976" s="284">
        <v>2</v>
      </c>
      <c r="L976" s="284">
        <v>2</v>
      </c>
      <c r="M976" s="284">
        <v>0</v>
      </c>
      <c r="N976" s="284">
        <v>316</v>
      </c>
      <c r="O976" s="284">
        <v>150</v>
      </c>
      <c r="P976" s="284">
        <v>1063</v>
      </c>
      <c r="Q976" s="286">
        <v>252</v>
      </c>
      <c r="R976" s="274">
        <v>2025</v>
      </c>
      <c r="S976" s="274">
        <v>404</v>
      </c>
      <c r="T976" s="287">
        <f t="shared" si="15"/>
        <v>2015</v>
      </c>
      <c r="U976" s="274">
        <f>VLOOKUP(A976,'[1]SB35 Determination Data'!$B$4:$F$542,5,FALSE)</f>
        <v>2015</v>
      </c>
    </row>
    <row r="977" spans="1:21" s="274" customFormat="1" ht="12.75" x14ac:dyDescent="0.2">
      <c r="A977" s="282" t="s">
        <v>306</v>
      </c>
      <c r="B977" s="282" t="s">
        <v>120</v>
      </c>
      <c r="C977" s="282" t="s">
        <v>654</v>
      </c>
      <c r="D977" s="283">
        <v>2016</v>
      </c>
      <c r="E977" s="282" t="s">
        <v>650</v>
      </c>
      <c r="F977" s="284">
        <v>392</v>
      </c>
      <c r="G977" s="285">
        <v>23</v>
      </c>
      <c r="H977" s="288">
        <v>23</v>
      </c>
      <c r="I977" s="285">
        <v>0</v>
      </c>
      <c r="J977" s="285">
        <v>254</v>
      </c>
      <c r="K977" s="284">
        <v>209</v>
      </c>
      <c r="L977" s="284">
        <v>209</v>
      </c>
      <c r="M977" s="284">
        <v>0</v>
      </c>
      <c r="N977" s="284">
        <v>316</v>
      </c>
      <c r="O977" s="284">
        <v>0</v>
      </c>
      <c r="P977" s="284">
        <v>1063</v>
      </c>
      <c r="Q977" s="286">
        <v>171</v>
      </c>
      <c r="R977" s="274">
        <v>2025</v>
      </c>
      <c r="S977" s="274">
        <v>403</v>
      </c>
      <c r="T977" s="287">
        <f t="shared" si="15"/>
        <v>2016</v>
      </c>
      <c r="U977" s="274">
        <f>VLOOKUP(A977,'[1]SB35 Determination Data'!$B$4:$F$542,5,FALSE)</f>
        <v>2015</v>
      </c>
    </row>
    <row r="978" spans="1:21" s="274" customFormat="1" ht="12.75" x14ac:dyDescent="0.2">
      <c r="A978" s="282" t="s">
        <v>306</v>
      </c>
      <c r="B978" s="282" t="s">
        <v>120</v>
      </c>
      <c r="C978" s="282" t="s">
        <v>654</v>
      </c>
      <c r="D978" s="283">
        <v>2017</v>
      </c>
      <c r="E978" s="282" t="s">
        <v>650</v>
      </c>
      <c r="F978" s="284">
        <v>392</v>
      </c>
      <c r="G978" s="285">
        <v>0</v>
      </c>
      <c r="H978" s="288">
        <v>0</v>
      </c>
      <c r="I978" s="285">
        <v>0</v>
      </c>
      <c r="J978" s="285">
        <v>254</v>
      </c>
      <c r="K978" s="284">
        <v>6</v>
      </c>
      <c r="L978" s="284">
        <v>6</v>
      </c>
      <c r="M978" s="284">
        <v>0</v>
      </c>
      <c r="N978" s="289">
        <v>316</v>
      </c>
      <c r="O978" s="284">
        <v>0</v>
      </c>
      <c r="P978" s="284">
        <v>1063</v>
      </c>
      <c r="Q978" s="286">
        <v>147</v>
      </c>
      <c r="R978" s="274">
        <v>2025</v>
      </c>
      <c r="S978" s="274">
        <v>153</v>
      </c>
      <c r="T978" s="287">
        <f t="shared" si="15"/>
        <v>2017</v>
      </c>
      <c r="U978" s="274">
        <f>VLOOKUP(A978,'[1]SB35 Determination Data'!$B$4:$F$542,5,FALSE)</f>
        <v>2015</v>
      </c>
    </row>
    <row r="979" spans="1:21" s="274" customFormat="1" ht="12.75" x14ac:dyDescent="0.2">
      <c r="A979" s="282" t="s">
        <v>597</v>
      </c>
      <c r="B979" s="282" t="s">
        <v>436</v>
      </c>
      <c r="C979" s="282" t="s">
        <v>649</v>
      </c>
      <c r="D979" s="283">
        <v>2014</v>
      </c>
      <c r="E979" s="282" t="s">
        <v>650</v>
      </c>
      <c r="F979" s="284">
        <v>112</v>
      </c>
      <c r="G979" s="285">
        <v>0</v>
      </c>
      <c r="H979" s="288">
        <v>0</v>
      </c>
      <c r="I979" s="285">
        <v>0</v>
      </c>
      <c r="J979" s="285">
        <v>81</v>
      </c>
      <c r="K979" s="284">
        <v>0</v>
      </c>
      <c r="L979" s="284">
        <v>0</v>
      </c>
      <c r="M979" s="284">
        <v>0</v>
      </c>
      <c r="N979" s="284">
        <v>90</v>
      </c>
      <c r="O979" s="284">
        <v>11</v>
      </c>
      <c r="P979" s="284">
        <v>209</v>
      </c>
      <c r="Q979" s="286">
        <v>35</v>
      </c>
      <c r="R979" s="274">
        <v>492</v>
      </c>
      <c r="S979" s="274">
        <v>46</v>
      </c>
      <c r="T979" s="287">
        <f t="shared" si="15"/>
        <v>2014</v>
      </c>
      <c r="U979" s="274">
        <f>VLOOKUP(A979,'[1]SB35 Determination Data'!$B$4:$F$542,5,FALSE)</f>
        <v>2014</v>
      </c>
    </row>
    <row r="980" spans="1:21" s="274" customFormat="1" ht="12.75" x14ac:dyDescent="0.2">
      <c r="A980" s="282" t="s">
        <v>597</v>
      </c>
      <c r="B980" s="282" t="s">
        <v>436</v>
      </c>
      <c r="C980" s="282" t="s">
        <v>649</v>
      </c>
      <c r="D980" s="283">
        <v>2015</v>
      </c>
      <c r="E980" s="282" t="s">
        <v>650</v>
      </c>
      <c r="F980" s="284">
        <v>112</v>
      </c>
      <c r="G980" s="285">
        <v>0</v>
      </c>
      <c r="H980" s="288">
        <v>0</v>
      </c>
      <c r="I980" s="285">
        <v>0</v>
      </c>
      <c r="J980" s="285">
        <v>81</v>
      </c>
      <c r="K980" s="284">
        <v>0</v>
      </c>
      <c r="L980" s="284">
        <v>0</v>
      </c>
      <c r="M980" s="284">
        <v>0</v>
      </c>
      <c r="N980" s="284">
        <v>90</v>
      </c>
      <c r="O980" s="284">
        <v>10</v>
      </c>
      <c r="P980" s="284">
        <v>209</v>
      </c>
      <c r="Q980" s="286">
        <v>45</v>
      </c>
      <c r="R980" s="274">
        <v>492</v>
      </c>
      <c r="S980" s="274">
        <v>55</v>
      </c>
      <c r="T980" s="287">
        <f t="shared" si="15"/>
        <v>2015</v>
      </c>
      <c r="U980" s="274">
        <f>VLOOKUP(A980,'[1]SB35 Determination Data'!$B$4:$F$542,5,FALSE)</f>
        <v>2014</v>
      </c>
    </row>
    <row r="981" spans="1:21" s="274" customFormat="1" ht="12.75" x14ac:dyDescent="0.2">
      <c r="A981" s="282" t="s">
        <v>597</v>
      </c>
      <c r="B981" s="282" t="s">
        <v>436</v>
      </c>
      <c r="C981" s="282" t="s">
        <v>649</v>
      </c>
      <c r="D981" s="283">
        <v>2016</v>
      </c>
      <c r="E981" s="282" t="s">
        <v>650</v>
      </c>
      <c r="F981" s="284">
        <v>112</v>
      </c>
      <c r="G981" s="285">
        <v>0</v>
      </c>
      <c r="H981" s="288">
        <v>0</v>
      </c>
      <c r="I981" s="285">
        <v>0</v>
      </c>
      <c r="J981" s="285">
        <v>81</v>
      </c>
      <c r="K981" s="284">
        <v>0</v>
      </c>
      <c r="L981" s="284">
        <v>0</v>
      </c>
      <c r="M981" s="284">
        <v>0</v>
      </c>
      <c r="N981" s="284">
        <v>90</v>
      </c>
      <c r="O981" s="284">
        <v>10</v>
      </c>
      <c r="P981" s="284">
        <v>209</v>
      </c>
      <c r="Q981" s="286">
        <v>23</v>
      </c>
      <c r="R981" s="274">
        <v>492</v>
      </c>
      <c r="S981" s="274">
        <v>33</v>
      </c>
      <c r="T981" s="287">
        <f t="shared" si="15"/>
        <v>2016</v>
      </c>
      <c r="U981" s="274">
        <f>VLOOKUP(A981,'[1]SB35 Determination Data'!$B$4:$F$542,5,FALSE)</f>
        <v>2014</v>
      </c>
    </row>
    <row r="982" spans="1:21" s="274" customFormat="1" ht="12.75" x14ac:dyDescent="0.2">
      <c r="A982" s="282" t="s">
        <v>597</v>
      </c>
      <c r="B982" s="282" t="s">
        <v>436</v>
      </c>
      <c r="C982" s="282" t="s">
        <v>649</v>
      </c>
      <c r="D982" s="283">
        <v>2017</v>
      </c>
      <c r="E982" s="282" t="s">
        <v>650</v>
      </c>
      <c r="F982" s="284">
        <v>112</v>
      </c>
      <c r="G982" s="285">
        <v>0</v>
      </c>
      <c r="H982" s="288">
        <v>0</v>
      </c>
      <c r="I982" s="285">
        <v>0</v>
      </c>
      <c r="J982" s="285">
        <v>81</v>
      </c>
      <c r="K982" s="284">
        <v>0</v>
      </c>
      <c r="L982" s="284">
        <v>0</v>
      </c>
      <c r="M982" s="284">
        <v>0</v>
      </c>
      <c r="N982" s="284">
        <v>90</v>
      </c>
      <c r="O982" s="284">
        <v>0</v>
      </c>
      <c r="P982" s="284">
        <v>209</v>
      </c>
      <c r="Q982" s="286">
        <v>9</v>
      </c>
      <c r="R982" s="274">
        <v>492</v>
      </c>
      <c r="S982" s="274">
        <v>9</v>
      </c>
      <c r="T982" s="287">
        <f t="shared" si="15"/>
        <v>2017</v>
      </c>
      <c r="U982" s="274">
        <f>VLOOKUP(A982,'[1]SB35 Determination Data'!$B$4:$F$542,5,FALSE)</f>
        <v>2014</v>
      </c>
    </row>
    <row r="983" spans="1:21" s="274" customFormat="1" ht="12.75" x14ac:dyDescent="0.2">
      <c r="A983" s="282" t="s">
        <v>598</v>
      </c>
      <c r="B983" s="282" t="s">
        <v>451</v>
      </c>
      <c r="C983" s="282" t="s">
        <v>685</v>
      </c>
      <c r="D983" s="283">
        <v>2013</v>
      </c>
      <c r="E983" s="282" t="s">
        <v>650</v>
      </c>
      <c r="F983" s="284">
        <v>1365</v>
      </c>
      <c r="G983" s="285">
        <v>0</v>
      </c>
      <c r="H983" s="288">
        <v>0</v>
      </c>
      <c r="I983" s="285">
        <v>0</v>
      </c>
      <c r="J983" s="285">
        <v>957</v>
      </c>
      <c r="K983" s="284">
        <v>18</v>
      </c>
      <c r="L983" s="284">
        <v>4</v>
      </c>
      <c r="M983" s="284">
        <v>14</v>
      </c>
      <c r="N983" s="284">
        <v>936</v>
      </c>
      <c r="O983" s="284">
        <v>2</v>
      </c>
      <c r="P983" s="284">
        <v>1773</v>
      </c>
      <c r="Q983" s="286">
        <v>241</v>
      </c>
      <c r="R983" s="274">
        <v>5031</v>
      </c>
      <c r="S983" s="274">
        <v>261</v>
      </c>
      <c r="T983" s="287">
        <f t="shared" si="15"/>
        <v>2014</v>
      </c>
      <c r="U983" s="274">
        <f>VLOOKUP(A983,'[1]SB35 Determination Data'!$B$4:$F$542,5,FALSE)</f>
        <v>2014</v>
      </c>
    </row>
    <row r="984" spans="1:21" s="274" customFormat="1" ht="12.75" x14ac:dyDescent="0.2">
      <c r="A984" s="282" t="s">
        <v>598</v>
      </c>
      <c r="B984" s="282" t="s">
        <v>451</v>
      </c>
      <c r="C984" s="282" t="s">
        <v>685</v>
      </c>
      <c r="D984" s="283">
        <v>2014</v>
      </c>
      <c r="E984" s="282" t="s">
        <v>650</v>
      </c>
      <c r="F984" s="284">
        <v>1365</v>
      </c>
      <c r="G984" s="285">
        <v>0</v>
      </c>
      <c r="H984" s="288">
        <v>0</v>
      </c>
      <c r="I984" s="285">
        <v>0</v>
      </c>
      <c r="J984" s="285">
        <v>957</v>
      </c>
      <c r="K984" s="284">
        <v>17</v>
      </c>
      <c r="L984" s="284">
        <v>2</v>
      </c>
      <c r="M984" s="284">
        <v>15</v>
      </c>
      <c r="N984" s="284">
        <v>936</v>
      </c>
      <c r="O984" s="284">
        <v>0</v>
      </c>
      <c r="P984" s="284">
        <v>1773</v>
      </c>
      <c r="Q984" s="286">
        <v>326</v>
      </c>
      <c r="R984" s="274">
        <v>5031</v>
      </c>
      <c r="S984" s="274">
        <v>343</v>
      </c>
      <c r="T984" s="287">
        <f t="shared" si="15"/>
        <v>2014</v>
      </c>
      <c r="U984" s="274">
        <f>VLOOKUP(A984,'[1]SB35 Determination Data'!$B$4:$F$542,5,FALSE)</f>
        <v>2014</v>
      </c>
    </row>
    <row r="985" spans="1:21" s="274" customFormat="1" ht="12.75" x14ac:dyDescent="0.2">
      <c r="A985" s="282" t="s">
        <v>598</v>
      </c>
      <c r="B985" s="282" t="s">
        <v>451</v>
      </c>
      <c r="C985" s="282" t="s">
        <v>685</v>
      </c>
      <c r="D985" s="283">
        <v>2015</v>
      </c>
      <c r="E985" s="282" t="s">
        <v>650</v>
      </c>
      <c r="F985" s="284">
        <v>1365</v>
      </c>
      <c r="G985" s="285">
        <v>0</v>
      </c>
      <c r="H985" s="288">
        <v>0</v>
      </c>
      <c r="I985" s="285">
        <v>0</v>
      </c>
      <c r="J985" s="285">
        <v>957</v>
      </c>
      <c r="K985" s="284">
        <v>16</v>
      </c>
      <c r="L985" s="284">
        <v>1</v>
      </c>
      <c r="M985" s="284">
        <v>15</v>
      </c>
      <c r="N985" s="284">
        <v>936</v>
      </c>
      <c r="O985" s="284">
        <v>0</v>
      </c>
      <c r="P985" s="284">
        <v>1773</v>
      </c>
      <c r="Q985" s="286">
        <v>282</v>
      </c>
      <c r="R985" s="274">
        <v>5031</v>
      </c>
      <c r="S985" s="274">
        <v>298</v>
      </c>
      <c r="T985" s="287">
        <f t="shared" si="15"/>
        <v>2015</v>
      </c>
      <c r="U985" s="274">
        <f>VLOOKUP(A985,'[1]SB35 Determination Data'!$B$4:$F$542,5,FALSE)</f>
        <v>2014</v>
      </c>
    </row>
    <row r="986" spans="1:21" s="274" customFormat="1" ht="12.75" x14ac:dyDescent="0.2">
      <c r="A986" s="282" t="s">
        <v>598</v>
      </c>
      <c r="B986" s="282" t="s">
        <v>451</v>
      </c>
      <c r="C986" s="282" t="s">
        <v>685</v>
      </c>
      <c r="D986" s="283">
        <v>2016</v>
      </c>
      <c r="E986" s="282" t="s">
        <v>650</v>
      </c>
      <c r="F986" s="284">
        <v>1365</v>
      </c>
      <c r="G986" s="285">
        <v>36</v>
      </c>
      <c r="H986" s="288">
        <v>36</v>
      </c>
      <c r="I986" s="285">
        <v>0</v>
      </c>
      <c r="J986" s="285">
        <v>957</v>
      </c>
      <c r="K986" s="284">
        <v>31</v>
      </c>
      <c r="L986" s="284">
        <v>31</v>
      </c>
      <c r="M986" s="284">
        <v>0</v>
      </c>
      <c r="N986" s="284">
        <v>936</v>
      </c>
      <c r="O986" s="284">
        <v>15</v>
      </c>
      <c r="P986" s="284">
        <v>1773</v>
      </c>
      <c r="Q986" s="286">
        <v>334</v>
      </c>
      <c r="R986" s="274">
        <v>5031</v>
      </c>
      <c r="S986" s="274">
        <v>416</v>
      </c>
      <c r="T986" s="287">
        <f t="shared" si="15"/>
        <v>2016</v>
      </c>
      <c r="U986" s="274">
        <f>VLOOKUP(A986,'[1]SB35 Determination Data'!$B$4:$F$542,5,FALSE)</f>
        <v>2014</v>
      </c>
    </row>
    <row r="987" spans="1:21" s="274" customFormat="1" ht="12.75" x14ac:dyDescent="0.2">
      <c r="A987" s="282" t="s">
        <v>598</v>
      </c>
      <c r="B987" s="282" t="s">
        <v>451</v>
      </c>
      <c r="C987" s="282" t="s">
        <v>685</v>
      </c>
      <c r="D987" s="283">
        <v>2017</v>
      </c>
      <c r="E987" s="282" t="s">
        <v>650</v>
      </c>
      <c r="F987" s="284">
        <v>1365</v>
      </c>
      <c r="G987" s="285">
        <v>0</v>
      </c>
      <c r="H987" s="288">
        <v>0</v>
      </c>
      <c r="I987" s="285">
        <v>0</v>
      </c>
      <c r="J987" s="285">
        <v>957</v>
      </c>
      <c r="K987" s="284">
        <v>3</v>
      </c>
      <c r="L987" s="284">
        <v>3</v>
      </c>
      <c r="M987" s="284">
        <v>0</v>
      </c>
      <c r="N987" s="284">
        <v>936</v>
      </c>
      <c r="O987" s="284">
        <v>50</v>
      </c>
      <c r="P987" s="284">
        <v>1773</v>
      </c>
      <c r="Q987" s="286">
        <v>283</v>
      </c>
      <c r="R987" s="274">
        <v>5031</v>
      </c>
      <c r="S987" s="274">
        <v>336</v>
      </c>
      <c r="T987" s="287">
        <f t="shared" si="15"/>
        <v>2017</v>
      </c>
      <c r="U987" s="274">
        <f>VLOOKUP(A987,'[1]SB35 Determination Data'!$B$4:$F$542,5,FALSE)</f>
        <v>2014</v>
      </c>
    </row>
    <row r="988" spans="1:21" s="274" customFormat="1" ht="12.75" x14ac:dyDescent="0.2">
      <c r="A988" s="282" t="s">
        <v>343</v>
      </c>
      <c r="B988" s="282" t="s">
        <v>123</v>
      </c>
      <c r="C988" s="282" t="s">
        <v>685</v>
      </c>
      <c r="D988" s="283">
        <v>2013</v>
      </c>
      <c r="E988" s="282" t="s">
        <v>650</v>
      </c>
      <c r="F988" s="284">
        <v>78</v>
      </c>
      <c r="G988" s="285">
        <v>0</v>
      </c>
      <c r="H988" s="288">
        <v>0</v>
      </c>
      <c r="I988" s="285">
        <v>0</v>
      </c>
      <c r="J988" s="285">
        <v>55</v>
      </c>
      <c r="K988" s="284">
        <v>0</v>
      </c>
      <c r="L988" s="284">
        <v>0</v>
      </c>
      <c r="M988" s="284">
        <v>0</v>
      </c>
      <c r="N988" s="284">
        <v>69</v>
      </c>
      <c r="O988" s="284">
        <v>5</v>
      </c>
      <c r="P988" s="284">
        <v>170</v>
      </c>
      <c r="Q988" s="286">
        <v>47</v>
      </c>
      <c r="R988" s="274">
        <v>372</v>
      </c>
      <c r="S988" s="274">
        <v>52</v>
      </c>
      <c r="T988" s="287">
        <f t="shared" si="15"/>
        <v>2014</v>
      </c>
      <c r="U988" s="274">
        <f>VLOOKUP(A988,'[1]SB35 Determination Data'!$B$4:$F$542,5,FALSE)</f>
        <v>2014</v>
      </c>
    </row>
    <row r="989" spans="1:21" s="274" customFormat="1" ht="12.75" x14ac:dyDescent="0.2">
      <c r="A989" s="282" t="s">
        <v>343</v>
      </c>
      <c r="B989" s="282" t="s">
        <v>123</v>
      </c>
      <c r="C989" s="282" t="s">
        <v>685</v>
      </c>
      <c r="D989" s="283">
        <v>2014</v>
      </c>
      <c r="E989" s="282" t="s">
        <v>650</v>
      </c>
      <c r="F989" s="284">
        <v>78</v>
      </c>
      <c r="G989" s="285">
        <v>0</v>
      </c>
      <c r="H989" s="288">
        <v>0</v>
      </c>
      <c r="I989" s="285">
        <v>0</v>
      </c>
      <c r="J989" s="285">
        <v>55</v>
      </c>
      <c r="K989" s="284">
        <v>0</v>
      </c>
      <c r="L989" s="284">
        <v>0</v>
      </c>
      <c r="M989" s="284">
        <v>0</v>
      </c>
      <c r="N989" s="289">
        <v>69</v>
      </c>
      <c r="O989" s="284">
        <v>9</v>
      </c>
      <c r="P989" s="284">
        <v>170</v>
      </c>
      <c r="Q989" s="286">
        <v>1</v>
      </c>
      <c r="R989" s="274">
        <v>372</v>
      </c>
      <c r="S989" s="274">
        <v>10</v>
      </c>
      <c r="T989" s="287">
        <f t="shared" si="15"/>
        <v>2014</v>
      </c>
      <c r="U989" s="274">
        <f>VLOOKUP(A989,'[1]SB35 Determination Data'!$B$4:$F$542,5,FALSE)</f>
        <v>2014</v>
      </c>
    </row>
    <row r="990" spans="1:21" s="274" customFormat="1" ht="12.75" x14ac:dyDescent="0.2">
      <c r="A990" s="282" t="s">
        <v>343</v>
      </c>
      <c r="B990" s="282" t="s">
        <v>123</v>
      </c>
      <c r="C990" s="282" t="s">
        <v>685</v>
      </c>
      <c r="D990" s="283">
        <v>2015</v>
      </c>
      <c r="E990" s="282" t="s">
        <v>650</v>
      </c>
      <c r="F990" s="284">
        <v>78</v>
      </c>
      <c r="G990" s="285">
        <v>0</v>
      </c>
      <c r="H990" s="288">
        <v>0</v>
      </c>
      <c r="I990" s="285">
        <v>0</v>
      </c>
      <c r="J990" s="285">
        <v>55</v>
      </c>
      <c r="K990" s="284">
        <v>0</v>
      </c>
      <c r="L990" s="284">
        <v>0</v>
      </c>
      <c r="M990" s="284">
        <v>0</v>
      </c>
      <c r="N990" s="284">
        <v>69</v>
      </c>
      <c r="O990" s="284">
        <v>4</v>
      </c>
      <c r="P990" s="284">
        <v>170</v>
      </c>
      <c r="Q990" s="286">
        <v>20</v>
      </c>
      <c r="R990" s="274">
        <v>372</v>
      </c>
      <c r="S990" s="274">
        <v>24</v>
      </c>
      <c r="T990" s="287">
        <f t="shared" si="15"/>
        <v>2015</v>
      </c>
      <c r="U990" s="274">
        <f>VLOOKUP(A990,'[1]SB35 Determination Data'!$B$4:$F$542,5,FALSE)</f>
        <v>2014</v>
      </c>
    </row>
    <row r="991" spans="1:21" s="274" customFormat="1" ht="12.75" x14ac:dyDescent="0.2">
      <c r="A991" s="282" t="s">
        <v>343</v>
      </c>
      <c r="B991" s="282" t="s">
        <v>123</v>
      </c>
      <c r="C991" s="282" t="s">
        <v>685</v>
      </c>
      <c r="D991" s="283">
        <v>2016</v>
      </c>
      <c r="E991" s="282" t="s">
        <v>650</v>
      </c>
      <c r="F991" s="284">
        <v>78</v>
      </c>
      <c r="G991" s="285">
        <v>0</v>
      </c>
      <c r="H991" s="288">
        <v>0</v>
      </c>
      <c r="I991" s="285">
        <v>0</v>
      </c>
      <c r="J991" s="285">
        <v>55</v>
      </c>
      <c r="K991" s="284">
        <v>0</v>
      </c>
      <c r="L991" s="284">
        <v>0</v>
      </c>
      <c r="M991" s="284">
        <v>0</v>
      </c>
      <c r="N991" s="284">
        <v>69</v>
      </c>
      <c r="O991" s="284">
        <v>15</v>
      </c>
      <c r="P991" s="284">
        <v>170</v>
      </c>
      <c r="Q991" s="286">
        <v>53</v>
      </c>
      <c r="R991" s="274">
        <v>372</v>
      </c>
      <c r="S991" s="274">
        <v>68</v>
      </c>
      <c r="T991" s="287">
        <f t="shared" si="15"/>
        <v>2016</v>
      </c>
      <c r="U991" s="274">
        <f>VLOOKUP(A991,'[1]SB35 Determination Data'!$B$4:$F$542,5,FALSE)</f>
        <v>2014</v>
      </c>
    </row>
    <row r="992" spans="1:21" s="274" customFormat="1" ht="12.75" x14ac:dyDescent="0.2">
      <c r="A992" s="282" t="s">
        <v>343</v>
      </c>
      <c r="B992" s="282" t="s">
        <v>123</v>
      </c>
      <c r="C992" s="282" t="s">
        <v>685</v>
      </c>
      <c r="D992" s="283">
        <v>2017</v>
      </c>
      <c r="E992" s="282" t="s">
        <v>650</v>
      </c>
      <c r="F992" s="284">
        <v>78</v>
      </c>
      <c r="G992" s="285">
        <v>0</v>
      </c>
      <c r="H992" s="288">
        <v>0</v>
      </c>
      <c r="I992" s="285">
        <v>0</v>
      </c>
      <c r="J992" s="285">
        <v>55</v>
      </c>
      <c r="K992" s="284">
        <v>0</v>
      </c>
      <c r="L992" s="284">
        <v>0</v>
      </c>
      <c r="M992" s="284">
        <v>0</v>
      </c>
      <c r="N992" s="284">
        <v>69</v>
      </c>
      <c r="O992" s="284">
        <v>18</v>
      </c>
      <c r="P992" s="284">
        <v>170</v>
      </c>
      <c r="Q992" s="286">
        <v>1</v>
      </c>
      <c r="R992" s="274">
        <v>372</v>
      </c>
      <c r="S992" s="274">
        <v>19</v>
      </c>
      <c r="T992" s="287">
        <f t="shared" si="15"/>
        <v>2017</v>
      </c>
      <c r="U992" s="274">
        <f>VLOOKUP(A992,'[1]SB35 Determination Data'!$B$4:$F$542,5,FALSE)</f>
        <v>2014</v>
      </c>
    </row>
    <row r="993" spans="1:21" s="274" customFormat="1" ht="12.75" x14ac:dyDescent="0.2">
      <c r="A993" s="282" t="s">
        <v>309</v>
      </c>
      <c r="B993" s="282" t="s">
        <v>120</v>
      </c>
      <c r="C993" s="282" t="s">
        <v>654</v>
      </c>
      <c r="D993" s="283">
        <v>2014</v>
      </c>
      <c r="E993" s="282" t="s">
        <v>650</v>
      </c>
      <c r="F993" s="284">
        <v>118</v>
      </c>
      <c r="G993" s="285">
        <v>0</v>
      </c>
      <c r="H993" s="288">
        <v>0</v>
      </c>
      <c r="I993" s="285">
        <v>0</v>
      </c>
      <c r="J993" s="285">
        <v>69</v>
      </c>
      <c r="K993" s="284">
        <v>0</v>
      </c>
      <c r="L993" s="284">
        <v>0</v>
      </c>
      <c r="M993" s="284">
        <v>0</v>
      </c>
      <c r="N993" s="284">
        <v>84</v>
      </c>
      <c r="O993" s="284">
        <v>0</v>
      </c>
      <c r="P993" s="284">
        <v>177</v>
      </c>
      <c r="Q993" s="286">
        <v>4</v>
      </c>
      <c r="R993" s="274">
        <v>448</v>
      </c>
      <c r="S993" s="274">
        <v>4</v>
      </c>
      <c r="T993" s="287">
        <f t="shared" si="15"/>
        <v>2015</v>
      </c>
      <c r="U993" s="274">
        <f>VLOOKUP(A993,'[1]SB35 Determination Data'!$B$4:$F$542,5,FALSE)</f>
        <v>2015</v>
      </c>
    </row>
    <row r="994" spans="1:21" s="274" customFormat="1" ht="12.75" x14ac:dyDescent="0.2">
      <c r="A994" s="282" t="s">
        <v>309</v>
      </c>
      <c r="B994" s="282" t="s">
        <v>120</v>
      </c>
      <c r="C994" s="282" t="s">
        <v>654</v>
      </c>
      <c r="D994" s="283">
        <v>2015</v>
      </c>
      <c r="E994" s="282" t="s">
        <v>650</v>
      </c>
      <c r="F994" s="284">
        <v>118</v>
      </c>
      <c r="G994" s="285">
        <v>0</v>
      </c>
      <c r="H994" s="288">
        <v>0</v>
      </c>
      <c r="I994" s="285">
        <v>0</v>
      </c>
      <c r="J994" s="285">
        <v>69</v>
      </c>
      <c r="K994" s="284">
        <v>0</v>
      </c>
      <c r="L994" s="284">
        <v>0</v>
      </c>
      <c r="M994" s="284">
        <v>0</v>
      </c>
      <c r="N994" s="289">
        <v>84</v>
      </c>
      <c r="O994" s="284">
        <v>2</v>
      </c>
      <c r="P994" s="284">
        <v>177</v>
      </c>
      <c r="Q994" s="286">
        <v>6</v>
      </c>
      <c r="R994" s="274">
        <v>448</v>
      </c>
      <c r="S994" s="274">
        <v>8</v>
      </c>
      <c r="T994" s="287">
        <f t="shared" si="15"/>
        <v>2015</v>
      </c>
      <c r="U994" s="274">
        <f>VLOOKUP(A994,'[1]SB35 Determination Data'!$B$4:$F$542,5,FALSE)</f>
        <v>2015</v>
      </c>
    </row>
    <row r="995" spans="1:21" s="274" customFormat="1" ht="12.75" x14ac:dyDescent="0.2">
      <c r="A995" s="282" t="s">
        <v>309</v>
      </c>
      <c r="B995" s="282" t="s">
        <v>120</v>
      </c>
      <c r="C995" s="282" t="s">
        <v>654</v>
      </c>
      <c r="D995" s="283">
        <v>2016</v>
      </c>
      <c r="E995" s="282" t="s">
        <v>650</v>
      </c>
      <c r="F995" s="284">
        <v>118</v>
      </c>
      <c r="G995" s="285">
        <v>0</v>
      </c>
      <c r="H995" s="288">
        <v>0</v>
      </c>
      <c r="I995" s="285">
        <v>0</v>
      </c>
      <c r="J995" s="285">
        <v>69</v>
      </c>
      <c r="K995" s="284">
        <v>0</v>
      </c>
      <c r="L995" s="284">
        <v>0</v>
      </c>
      <c r="M995" s="284">
        <v>0</v>
      </c>
      <c r="N995" s="284">
        <v>84</v>
      </c>
      <c r="O995" s="284">
        <v>0</v>
      </c>
      <c r="P995" s="284">
        <v>177</v>
      </c>
      <c r="Q995" s="286">
        <v>6</v>
      </c>
      <c r="R995" s="274">
        <v>448</v>
      </c>
      <c r="S995" s="274">
        <v>6</v>
      </c>
      <c r="T995" s="287">
        <f t="shared" si="15"/>
        <v>2016</v>
      </c>
      <c r="U995" s="274">
        <f>VLOOKUP(A995,'[1]SB35 Determination Data'!$B$4:$F$542,5,FALSE)</f>
        <v>2015</v>
      </c>
    </row>
    <row r="996" spans="1:21" s="274" customFormat="1" ht="12.75" x14ac:dyDescent="0.2">
      <c r="A996" s="282" t="s">
        <v>309</v>
      </c>
      <c r="B996" s="282" t="s">
        <v>120</v>
      </c>
      <c r="C996" s="282" t="s">
        <v>654</v>
      </c>
      <c r="D996" s="283">
        <v>2017</v>
      </c>
      <c r="E996" s="282" t="s">
        <v>650</v>
      </c>
      <c r="F996" s="284">
        <v>118</v>
      </c>
      <c r="G996" s="285">
        <v>0</v>
      </c>
      <c r="H996" s="288">
        <v>0</v>
      </c>
      <c r="I996" s="285">
        <v>0</v>
      </c>
      <c r="J996" s="285">
        <v>69</v>
      </c>
      <c r="K996" s="284">
        <v>0</v>
      </c>
      <c r="L996" s="284">
        <v>0</v>
      </c>
      <c r="M996" s="284">
        <v>0</v>
      </c>
      <c r="N996" s="284">
        <v>84</v>
      </c>
      <c r="O996" s="284">
        <v>2</v>
      </c>
      <c r="P996" s="284">
        <v>177</v>
      </c>
      <c r="Q996" s="286">
        <v>5</v>
      </c>
      <c r="R996" s="274">
        <v>448</v>
      </c>
      <c r="S996" s="274">
        <v>7</v>
      </c>
      <c r="T996" s="287">
        <f t="shared" si="15"/>
        <v>2017</v>
      </c>
      <c r="U996" s="274">
        <f>VLOOKUP(A996,'[1]SB35 Determination Data'!$B$4:$F$542,5,FALSE)</f>
        <v>2015</v>
      </c>
    </row>
    <row r="997" spans="1:21" s="274" customFormat="1" ht="12.75" x14ac:dyDescent="0.2">
      <c r="A997" s="282" t="s">
        <v>190</v>
      </c>
      <c r="B997" s="282" t="s">
        <v>40</v>
      </c>
      <c r="C997" s="282" t="s">
        <v>654</v>
      </c>
      <c r="D997" s="283">
        <v>2014</v>
      </c>
      <c r="E997" s="282" t="s">
        <v>650</v>
      </c>
      <c r="F997" s="284">
        <v>716</v>
      </c>
      <c r="G997" s="285">
        <v>38</v>
      </c>
      <c r="H997" s="288">
        <v>38</v>
      </c>
      <c r="I997" s="285">
        <v>0</v>
      </c>
      <c r="J997" s="285">
        <v>391</v>
      </c>
      <c r="K997" s="284">
        <v>0</v>
      </c>
      <c r="L997" s="284">
        <v>0</v>
      </c>
      <c r="M997" s="284">
        <v>0</v>
      </c>
      <c r="N997" s="284">
        <v>407</v>
      </c>
      <c r="O997" s="284">
        <v>2</v>
      </c>
      <c r="P997" s="284">
        <v>553</v>
      </c>
      <c r="Q997" s="286">
        <v>283</v>
      </c>
      <c r="R997" s="274">
        <v>2067</v>
      </c>
      <c r="S997" s="274">
        <v>323</v>
      </c>
      <c r="T997" s="287">
        <f t="shared" si="15"/>
        <v>2015</v>
      </c>
      <c r="U997" s="274">
        <f>VLOOKUP(A997,'[1]SB35 Determination Data'!$B$4:$F$542,5,FALSE)</f>
        <v>2015</v>
      </c>
    </row>
    <row r="998" spans="1:21" s="274" customFormat="1" ht="12.75" x14ac:dyDescent="0.2">
      <c r="A998" s="282" t="s">
        <v>190</v>
      </c>
      <c r="B998" s="282" t="s">
        <v>40</v>
      </c>
      <c r="C998" s="282" t="s">
        <v>654</v>
      </c>
      <c r="D998" s="283">
        <v>2015</v>
      </c>
      <c r="E998" s="282" t="s">
        <v>650</v>
      </c>
      <c r="F998" s="284">
        <v>716</v>
      </c>
      <c r="G998" s="285">
        <v>54</v>
      </c>
      <c r="H998" s="288">
        <v>54</v>
      </c>
      <c r="I998" s="285">
        <v>0</v>
      </c>
      <c r="J998" s="285">
        <v>391</v>
      </c>
      <c r="K998" s="284">
        <v>16</v>
      </c>
      <c r="L998" s="284">
        <v>16</v>
      </c>
      <c r="M998" s="284">
        <v>0</v>
      </c>
      <c r="N998" s="289">
        <v>407</v>
      </c>
      <c r="O998" s="284">
        <v>2</v>
      </c>
      <c r="P998" s="284">
        <v>553</v>
      </c>
      <c r="Q998" s="286">
        <v>819</v>
      </c>
      <c r="R998" s="274">
        <v>2067</v>
      </c>
      <c r="S998" s="274">
        <v>891</v>
      </c>
      <c r="T998" s="287">
        <f t="shared" si="15"/>
        <v>2015</v>
      </c>
      <c r="U998" s="274">
        <f>VLOOKUP(A998,'[1]SB35 Determination Data'!$B$4:$F$542,5,FALSE)</f>
        <v>2015</v>
      </c>
    </row>
    <row r="999" spans="1:21" s="274" customFormat="1" ht="12.75" x14ac:dyDescent="0.2">
      <c r="A999" s="282" t="s">
        <v>190</v>
      </c>
      <c r="B999" s="282" t="s">
        <v>40</v>
      </c>
      <c r="C999" s="282" t="s">
        <v>654</v>
      </c>
      <c r="D999" s="283">
        <v>2016</v>
      </c>
      <c r="E999" s="282" t="s">
        <v>650</v>
      </c>
      <c r="F999" s="284">
        <v>716</v>
      </c>
      <c r="G999" s="285">
        <v>128</v>
      </c>
      <c r="H999" s="288">
        <v>128</v>
      </c>
      <c r="I999" s="285">
        <v>0</v>
      </c>
      <c r="J999" s="285">
        <v>391</v>
      </c>
      <c r="K999" s="284">
        <v>21</v>
      </c>
      <c r="L999" s="284">
        <v>21</v>
      </c>
      <c r="M999" s="284">
        <v>0</v>
      </c>
      <c r="N999" s="284">
        <v>407</v>
      </c>
      <c r="O999" s="284">
        <v>10</v>
      </c>
      <c r="P999" s="284">
        <v>553</v>
      </c>
      <c r="Q999" s="286">
        <v>228</v>
      </c>
      <c r="R999" s="274">
        <v>2067</v>
      </c>
      <c r="S999" s="274">
        <v>387</v>
      </c>
      <c r="T999" s="287">
        <f t="shared" si="15"/>
        <v>2016</v>
      </c>
      <c r="U999" s="274">
        <f>VLOOKUP(A999,'[1]SB35 Determination Data'!$B$4:$F$542,5,FALSE)</f>
        <v>2015</v>
      </c>
    </row>
    <row r="1000" spans="1:21" s="274" customFormat="1" ht="12.75" x14ac:dyDescent="0.2">
      <c r="A1000" s="282" t="s">
        <v>190</v>
      </c>
      <c r="B1000" s="282" t="s">
        <v>40</v>
      </c>
      <c r="C1000" s="282" t="s">
        <v>654</v>
      </c>
      <c r="D1000" s="283">
        <v>2017</v>
      </c>
      <c r="E1000" s="282" t="s">
        <v>650</v>
      </c>
      <c r="F1000" s="284">
        <v>716</v>
      </c>
      <c r="G1000" s="285">
        <v>0</v>
      </c>
      <c r="H1000" s="288">
        <v>0</v>
      </c>
      <c r="I1000" s="285">
        <v>0</v>
      </c>
      <c r="J1000" s="285">
        <v>391</v>
      </c>
      <c r="K1000" s="284">
        <v>7</v>
      </c>
      <c r="L1000" s="284">
        <v>6</v>
      </c>
      <c r="M1000" s="284">
        <v>1</v>
      </c>
      <c r="N1000" s="284">
        <v>407</v>
      </c>
      <c r="O1000" s="284">
        <v>6</v>
      </c>
      <c r="P1000" s="284">
        <v>553</v>
      </c>
      <c r="Q1000" s="286">
        <v>102</v>
      </c>
      <c r="R1000" s="274">
        <v>2067</v>
      </c>
      <c r="S1000" s="274">
        <v>115</v>
      </c>
      <c r="T1000" s="287">
        <f t="shared" si="15"/>
        <v>2017</v>
      </c>
      <c r="U1000" s="274">
        <f>VLOOKUP(A1000,'[1]SB35 Determination Data'!$B$4:$F$542,5,FALSE)</f>
        <v>2015</v>
      </c>
    </row>
    <row r="1001" spans="1:21" s="274" customFormat="1" ht="12.75" x14ac:dyDescent="0.2">
      <c r="A1001" s="282" t="s">
        <v>599</v>
      </c>
      <c r="B1001" s="282" t="s">
        <v>467</v>
      </c>
      <c r="C1001" s="282" t="s">
        <v>660</v>
      </c>
      <c r="D1001" s="283">
        <v>2016</v>
      </c>
      <c r="E1001" s="282" t="s">
        <v>650</v>
      </c>
      <c r="F1001" s="284">
        <v>12</v>
      </c>
      <c r="G1001" s="285">
        <v>0</v>
      </c>
      <c r="H1001" s="288">
        <v>0</v>
      </c>
      <c r="I1001" s="285">
        <v>0</v>
      </c>
      <c r="J1001" s="285">
        <v>8</v>
      </c>
      <c r="K1001" s="284">
        <v>0</v>
      </c>
      <c r="L1001" s="284">
        <v>0</v>
      </c>
      <c r="M1001" s="284">
        <v>0</v>
      </c>
      <c r="N1001" s="284">
        <v>12</v>
      </c>
      <c r="O1001" s="284">
        <v>4</v>
      </c>
      <c r="P1001" s="284">
        <v>25</v>
      </c>
      <c r="Q1001" s="286">
        <v>34</v>
      </c>
      <c r="R1001" s="274">
        <v>57</v>
      </c>
      <c r="S1001" s="274">
        <v>38</v>
      </c>
      <c r="T1001" s="287">
        <f t="shared" si="15"/>
        <v>2016</v>
      </c>
      <c r="U1001" s="274">
        <f>VLOOKUP(A1001,'[1]SB35 Determination Data'!$B$4:$F$542,5,FALSE)</f>
        <v>2014</v>
      </c>
    </row>
    <row r="1002" spans="1:21" s="274" customFormat="1" ht="12.75" x14ac:dyDescent="0.2">
      <c r="A1002" s="282" t="s">
        <v>599</v>
      </c>
      <c r="B1002" s="282" t="s">
        <v>467</v>
      </c>
      <c r="C1002" s="282" t="s">
        <v>660</v>
      </c>
      <c r="D1002" s="283">
        <v>2017</v>
      </c>
      <c r="E1002" s="282" t="s">
        <v>650</v>
      </c>
      <c r="F1002" s="284">
        <v>12</v>
      </c>
      <c r="G1002" s="285">
        <v>0</v>
      </c>
      <c r="H1002" s="288">
        <v>0</v>
      </c>
      <c r="I1002" s="285">
        <v>0</v>
      </c>
      <c r="J1002" s="285">
        <v>8</v>
      </c>
      <c r="K1002" s="284">
        <v>0</v>
      </c>
      <c r="L1002" s="284">
        <v>0</v>
      </c>
      <c r="M1002" s="284">
        <v>0</v>
      </c>
      <c r="N1002" s="284">
        <v>12</v>
      </c>
      <c r="O1002" s="284">
        <v>15</v>
      </c>
      <c r="P1002" s="284">
        <v>25</v>
      </c>
      <c r="Q1002" s="286">
        <v>25</v>
      </c>
      <c r="R1002" s="274">
        <v>57</v>
      </c>
      <c r="S1002" s="274">
        <v>40</v>
      </c>
      <c r="T1002" s="287">
        <f t="shared" si="15"/>
        <v>2017</v>
      </c>
      <c r="U1002" s="274">
        <f>VLOOKUP(A1002,'[1]SB35 Determination Data'!$B$4:$F$542,5,FALSE)</f>
        <v>2014</v>
      </c>
    </row>
    <row r="1003" spans="1:21" s="274" customFormat="1" ht="12.75" x14ac:dyDescent="0.2">
      <c r="A1003" s="282" t="s">
        <v>223</v>
      </c>
      <c r="B1003" s="282" t="s">
        <v>90</v>
      </c>
      <c r="C1003" s="282" t="s">
        <v>660</v>
      </c>
      <c r="D1003" s="283">
        <v>2017</v>
      </c>
      <c r="E1003" s="282" t="s">
        <v>650</v>
      </c>
      <c r="F1003" s="284">
        <v>1</v>
      </c>
      <c r="G1003" s="285">
        <v>0</v>
      </c>
      <c r="H1003" s="288">
        <v>0</v>
      </c>
      <c r="I1003" s="285">
        <v>0</v>
      </c>
      <c r="J1003" s="285">
        <v>1</v>
      </c>
      <c r="K1003" s="284">
        <v>0</v>
      </c>
      <c r="L1003" s="284">
        <v>0</v>
      </c>
      <c r="M1003" s="284">
        <v>0</v>
      </c>
      <c r="N1003" s="284">
        <v>1</v>
      </c>
      <c r="O1003" s="284">
        <v>0</v>
      </c>
      <c r="P1003" s="284">
        <v>1</v>
      </c>
      <c r="Q1003" s="286">
        <v>18</v>
      </c>
      <c r="R1003" s="274">
        <v>4</v>
      </c>
      <c r="S1003" s="274">
        <v>18</v>
      </c>
      <c r="T1003" s="287">
        <f t="shared" si="15"/>
        <v>2017</v>
      </c>
      <c r="U1003" s="274">
        <f>VLOOKUP(A1003,'[1]SB35 Determination Data'!$B$4:$F$542,5,FALSE)</f>
        <v>2014</v>
      </c>
    </row>
    <row r="1004" spans="1:21" s="274" customFormat="1" ht="12.75" x14ac:dyDescent="0.2">
      <c r="A1004" s="282" t="s">
        <v>600</v>
      </c>
      <c r="B1004" s="282" t="s">
        <v>334</v>
      </c>
      <c r="C1004" s="282" t="s">
        <v>660</v>
      </c>
      <c r="D1004" s="283">
        <v>2014</v>
      </c>
      <c r="E1004" s="282" t="s">
        <v>650</v>
      </c>
      <c r="F1004" s="284">
        <v>1</v>
      </c>
      <c r="G1004" s="285">
        <v>0</v>
      </c>
      <c r="H1004" s="288">
        <v>0</v>
      </c>
      <c r="I1004" s="285">
        <v>0</v>
      </c>
      <c r="J1004" s="285">
        <v>1</v>
      </c>
      <c r="K1004" s="284">
        <v>0</v>
      </c>
      <c r="L1004" s="284">
        <v>0</v>
      </c>
      <c r="M1004" s="284">
        <v>0</v>
      </c>
      <c r="N1004" s="284">
        <v>1</v>
      </c>
      <c r="O1004" s="284">
        <v>1</v>
      </c>
      <c r="P1004" s="284">
        <v>1</v>
      </c>
      <c r="Q1004" s="286">
        <v>0</v>
      </c>
      <c r="R1004" s="274">
        <v>4</v>
      </c>
      <c r="S1004" s="274">
        <v>1</v>
      </c>
      <c r="T1004" s="287">
        <f t="shared" si="15"/>
        <v>2014</v>
      </c>
      <c r="U1004" s="274">
        <f>VLOOKUP(A1004,'[1]SB35 Determination Data'!$B$4:$F$542,5,FALSE)</f>
        <v>2014</v>
      </c>
    </row>
    <row r="1005" spans="1:21" s="274" customFormat="1" ht="12.75" x14ac:dyDescent="0.2">
      <c r="A1005" s="282" t="s">
        <v>600</v>
      </c>
      <c r="B1005" s="282" t="s">
        <v>334</v>
      </c>
      <c r="C1005" s="282" t="s">
        <v>660</v>
      </c>
      <c r="D1005" s="283">
        <v>2015</v>
      </c>
      <c r="E1005" s="282" t="s">
        <v>650</v>
      </c>
      <c r="F1005" s="284">
        <v>1</v>
      </c>
      <c r="G1005" s="285">
        <v>0</v>
      </c>
      <c r="H1005" s="288">
        <v>0</v>
      </c>
      <c r="I1005" s="285">
        <v>0</v>
      </c>
      <c r="J1005" s="285">
        <v>1</v>
      </c>
      <c r="K1005" s="284">
        <v>0</v>
      </c>
      <c r="L1005" s="284">
        <v>0</v>
      </c>
      <c r="M1005" s="284">
        <v>0</v>
      </c>
      <c r="N1005" s="284">
        <v>1</v>
      </c>
      <c r="O1005" s="284">
        <v>1</v>
      </c>
      <c r="P1005" s="284">
        <v>1</v>
      </c>
      <c r="Q1005" s="286">
        <v>0</v>
      </c>
      <c r="R1005" s="274">
        <v>4</v>
      </c>
      <c r="S1005" s="274">
        <v>1</v>
      </c>
      <c r="T1005" s="287">
        <f t="shared" si="15"/>
        <v>2015</v>
      </c>
      <c r="U1005" s="274">
        <f>VLOOKUP(A1005,'[1]SB35 Determination Data'!$B$4:$F$542,5,FALSE)</f>
        <v>2014</v>
      </c>
    </row>
    <row r="1006" spans="1:21" s="274" customFormat="1" ht="12.75" x14ac:dyDescent="0.2">
      <c r="A1006" s="282" t="s">
        <v>600</v>
      </c>
      <c r="B1006" s="282" t="s">
        <v>334</v>
      </c>
      <c r="C1006" s="282" t="s">
        <v>660</v>
      </c>
      <c r="D1006" s="283">
        <v>2016</v>
      </c>
      <c r="E1006" s="282" t="s">
        <v>650</v>
      </c>
      <c r="F1006" s="284">
        <v>1</v>
      </c>
      <c r="G1006" s="285">
        <v>0</v>
      </c>
      <c r="H1006" s="288">
        <v>0</v>
      </c>
      <c r="I1006" s="285">
        <v>0</v>
      </c>
      <c r="J1006" s="285">
        <v>1</v>
      </c>
      <c r="K1006" s="284">
        <v>0</v>
      </c>
      <c r="L1006" s="284">
        <v>0</v>
      </c>
      <c r="M1006" s="284">
        <v>0</v>
      </c>
      <c r="N1006" s="284">
        <v>1</v>
      </c>
      <c r="O1006" s="284">
        <v>0</v>
      </c>
      <c r="P1006" s="284">
        <v>1</v>
      </c>
      <c r="Q1006" s="286">
        <v>0</v>
      </c>
      <c r="R1006" s="274">
        <v>4</v>
      </c>
      <c r="S1006" s="274">
        <v>0</v>
      </c>
      <c r="T1006" s="287">
        <f t="shared" si="15"/>
        <v>2016</v>
      </c>
      <c r="U1006" s="274">
        <f>VLOOKUP(A1006,'[1]SB35 Determination Data'!$B$4:$F$542,5,FALSE)</f>
        <v>2014</v>
      </c>
    </row>
    <row r="1007" spans="1:21" s="274" customFormat="1" ht="12.75" x14ac:dyDescent="0.2">
      <c r="A1007" s="282" t="s">
        <v>600</v>
      </c>
      <c r="B1007" s="282" t="s">
        <v>334</v>
      </c>
      <c r="C1007" s="282" t="s">
        <v>660</v>
      </c>
      <c r="D1007" s="283">
        <v>2017</v>
      </c>
      <c r="E1007" s="282" t="s">
        <v>650</v>
      </c>
      <c r="F1007" s="284">
        <v>1</v>
      </c>
      <c r="G1007" s="285">
        <v>0</v>
      </c>
      <c r="H1007" s="288">
        <v>0</v>
      </c>
      <c r="I1007" s="285">
        <v>0</v>
      </c>
      <c r="J1007" s="285">
        <v>1</v>
      </c>
      <c r="K1007" s="284">
        <v>0</v>
      </c>
      <c r="L1007" s="284">
        <v>0</v>
      </c>
      <c r="M1007" s="284">
        <v>0</v>
      </c>
      <c r="N1007" s="289">
        <v>1</v>
      </c>
      <c r="O1007" s="284">
        <v>0</v>
      </c>
      <c r="P1007" s="284">
        <v>1</v>
      </c>
      <c r="Q1007" s="286">
        <v>0</v>
      </c>
      <c r="R1007" s="274">
        <v>4</v>
      </c>
      <c r="S1007" s="274">
        <v>0</v>
      </c>
      <c r="T1007" s="287">
        <f t="shared" si="15"/>
        <v>2017</v>
      </c>
      <c r="U1007" s="274">
        <f>VLOOKUP(A1007,'[1]SB35 Determination Data'!$B$4:$F$542,5,FALSE)</f>
        <v>2014</v>
      </c>
    </row>
    <row r="1008" spans="1:21" s="274" customFormat="1" ht="12.75" x14ac:dyDescent="0.2">
      <c r="A1008" s="282" t="s">
        <v>604</v>
      </c>
      <c r="B1008" s="282" t="s">
        <v>743</v>
      </c>
      <c r="C1008" s="282" t="s">
        <v>649</v>
      </c>
      <c r="D1008" s="283">
        <v>2017</v>
      </c>
      <c r="E1008" s="282" t="s">
        <v>650</v>
      </c>
      <c r="F1008" s="284">
        <v>1</v>
      </c>
      <c r="G1008" s="285">
        <v>0</v>
      </c>
      <c r="H1008" s="288">
        <v>0</v>
      </c>
      <c r="I1008" s="285">
        <v>0</v>
      </c>
      <c r="J1008" s="285">
        <v>1</v>
      </c>
      <c r="K1008" s="284">
        <v>0</v>
      </c>
      <c r="L1008" s="284">
        <v>0</v>
      </c>
      <c r="M1008" s="284">
        <v>0</v>
      </c>
      <c r="N1008" s="284">
        <v>0</v>
      </c>
      <c r="O1008" s="284">
        <v>0</v>
      </c>
      <c r="P1008" s="284">
        <v>0</v>
      </c>
      <c r="Q1008" s="286">
        <v>0</v>
      </c>
      <c r="R1008" s="274">
        <v>2</v>
      </c>
      <c r="S1008" s="274">
        <v>0</v>
      </c>
      <c r="T1008" s="287">
        <f t="shared" si="15"/>
        <v>2017</v>
      </c>
      <c r="U1008" s="274">
        <f>VLOOKUP(A1008,'[1]SB35 Determination Data'!$B$4:$F$542,5,FALSE)</f>
        <v>2014</v>
      </c>
    </row>
    <row r="1009" spans="1:21" s="274" customFormat="1" ht="12.75" x14ac:dyDescent="0.2">
      <c r="A1009" s="282" t="s">
        <v>605</v>
      </c>
      <c r="B1009" s="282" t="s">
        <v>714</v>
      </c>
      <c r="C1009" s="282" t="s">
        <v>531</v>
      </c>
      <c r="D1009" s="283">
        <v>2015</v>
      </c>
      <c r="E1009" s="282" t="s">
        <v>650</v>
      </c>
      <c r="F1009" s="284">
        <v>623</v>
      </c>
      <c r="G1009" s="285">
        <v>0</v>
      </c>
      <c r="H1009" s="288">
        <v>0</v>
      </c>
      <c r="I1009" s="285">
        <v>0</v>
      </c>
      <c r="J1009" s="285">
        <v>576</v>
      </c>
      <c r="K1009" s="284">
        <v>3</v>
      </c>
      <c r="L1009" s="284">
        <v>3</v>
      </c>
      <c r="M1009" s="284">
        <v>0</v>
      </c>
      <c r="N1009" s="284">
        <v>566</v>
      </c>
      <c r="O1009" s="284">
        <v>97</v>
      </c>
      <c r="P1009" s="284">
        <v>1431</v>
      </c>
      <c r="Q1009" s="286">
        <v>8</v>
      </c>
      <c r="R1009" s="274">
        <v>3196</v>
      </c>
      <c r="S1009" s="274">
        <v>108</v>
      </c>
      <c r="T1009" s="287">
        <f t="shared" si="15"/>
        <v>2016</v>
      </c>
      <c r="U1009" s="274">
        <f>VLOOKUP(A1009,'[1]SB35 Determination Data'!$B$4:$F$542,5,FALSE)</f>
        <v>2016</v>
      </c>
    </row>
    <row r="1010" spans="1:21" s="274" customFormat="1" ht="12.75" x14ac:dyDescent="0.2">
      <c r="A1010" s="282" t="s">
        <v>605</v>
      </c>
      <c r="B1010" s="282" t="s">
        <v>714</v>
      </c>
      <c r="C1010" s="282" t="s">
        <v>531</v>
      </c>
      <c r="D1010" s="283">
        <v>2016</v>
      </c>
      <c r="E1010" s="282" t="s">
        <v>650</v>
      </c>
      <c r="F1010" s="284">
        <v>623</v>
      </c>
      <c r="G1010" s="285">
        <v>0</v>
      </c>
      <c r="H1010" s="288">
        <v>0</v>
      </c>
      <c r="I1010" s="285">
        <v>0</v>
      </c>
      <c r="J1010" s="285">
        <v>576</v>
      </c>
      <c r="K1010" s="284">
        <v>2</v>
      </c>
      <c r="L1010" s="284">
        <v>2</v>
      </c>
      <c r="M1010" s="284">
        <v>0</v>
      </c>
      <c r="N1010" s="284">
        <v>566</v>
      </c>
      <c r="O1010" s="284">
        <v>40</v>
      </c>
      <c r="P1010" s="284">
        <v>1431</v>
      </c>
      <c r="Q1010" s="286">
        <v>1</v>
      </c>
      <c r="R1010" s="274">
        <v>3196</v>
      </c>
      <c r="S1010" s="274">
        <v>43</v>
      </c>
      <c r="T1010" s="287">
        <f t="shared" si="15"/>
        <v>2016</v>
      </c>
      <c r="U1010" s="274">
        <f>VLOOKUP(A1010,'[1]SB35 Determination Data'!$B$4:$F$542,5,FALSE)</f>
        <v>2016</v>
      </c>
    </row>
    <row r="1011" spans="1:21" s="274" customFormat="1" ht="12.75" x14ac:dyDescent="0.2">
      <c r="A1011" s="282" t="s">
        <v>605</v>
      </c>
      <c r="B1011" s="282" t="s">
        <v>714</v>
      </c>
      <c r="C1011" s="282" t="s">
        <v>531</v>
      </c>
      <c r="D1011" s="283">
        <v>2017</v>
      </c>
      <c r="E1011" s="282" t="s">
        <v>650</v>
      </c>
      <c r="F1011" s="284">
        <v>623</v>
      </c>
      <c r="G1011" s="285">
        <v>0</v>
      </c>
      <c r="H1011" s="288">
        <v>0</v>
      </c>
      <c r="I1011" s="285">
        <v>0</v>
      </c>
      <c r="J1011" s="285">
        <v>576</v>
      </c>
      <c r="K1011" s="284">
        <v>2</v>
      </c>
      <c r="L1011" s="284">
        <v>2</v>
      </c>
      <c r="M1011" s="284">
        <v>0</v>
      </c>
      <c r="N1011" s="284">
        <v>566</v>
      </c>
      <c r="O1011" s="284">
        <v>15</v>
      </c>
      <c r="P1011" s="284">
        <v>1431</v>
      </c>
      <c r="Q1011" s="286">
        <v>2</v>
      </c>
      <c r="R1011" s="274">
        <v>3196</v>
      </c>
      <c r="S1011" s="274">
        <v>19</v>
      </c>
      <c r="T1011" s="287">
        <f t="shared" si="15"/>
        <v>2017</v>
      </c>
      <c r="U1011" s="274">
        <f>VLOOKUP(A1011,'[1]SB35 Determination Data'!$B$4:$F$542,5,FALSE)</f>
        <v>2016</v>
      </c>
    </row>
    <row r="1012" spans="1:21" s="274" customFormat="1" ht="12.75" x14ac:dyDescent="0.2">
      <c r="A1012" s="282" t="s">
        <v>607</v>
      </c>
      <c r="B1012" s="282" t="s">
        <v>595</v>
      </c>
      <c r="C1012" s="282" t="s">
        <v>654</v>
      </c>
      <c r="D1012" s="283">
        <v>2015</v>
      </c>
      <c r="E1012" s="282" t="s">
        <v>650</v>
      </c>
      <c r="F1012" s="284">
        <v>21</v>
      </c>
      <c r="G1012" s="285">
        <v>0</v>
      </c>
      <c r="H1012" s="288">
        <v>0</v>
      </c>
      <c r="I1012" s="285">
        <v>0</v>
      </c>
      <c r="J1012" s="285">
        <v>15</v>
      </c>
      <c r="K1012" s="284">
        <v>0</v>
      </c>
      <c r="L1012" s="284">
        <v>0</v>
      </c>
      <c r="M1012" s="284">
        <v>0</v>
      </c>
      <c r="N1012" s="284">
        <v>15</v>
      </c>
      <c r="O1012" s="284">
        <v>0</v>
      </c>
      <c r="P1012" s="284">
        <v>13</v>
      </c>
      <c r="Q1012" s="286">
        <v>8</v>
      </c>
      <c r="R1012" s="274">
        <v>64</v>
      </c>
      <c r="S1012" s="274">
        <v>8</v>
      </c>
      <c r="T1012" s="287">
        <f t="shared" si="15"/>
        <v>2015</v>
      </c>
      <c r="U1012" s="274">
        <f>VLOOKUP(A1012,'[1]SB35 Determination Data'!$B$4:$F$542,5,FALSE)</f>
        <v>2015</v>
      </c>
    </row>
    <row r="1013" spans="1:21" s="274" customFormat="1" ht="12.75" x14ac:dyDescent="0.2">
      <c r="A1013" s="282" t="s">
        <v>607</v>
      </c>
      <c r="B1013" s="282" t="s">
        <v>595</v>
      </c>
      <c r="C1013" s="282" t="s">
        <v>654</v>
      </c>
      <c r="D1013" s="283">
        <v>2016</v>
      </c>
      <c r="E1013" s="282" t="s">
        <v>650</v>
      </c>
      <c r="F1013" s="284">
        <v>21</v>
      </c>
      <c r="G1013" s="285">
        <v>0</v>
      </c>
      <c r="H1013" s="288">
        <v>0</v>
      </c>
      <c r="I1013" s="285">
        <v>0</v>
      </c>
      <c r="J1013" s="285">
        <v>15</v>
      </c>
      <c r="K1013" s="284">
        <v>0</v>
      </c>
      <c r="L1013" s="284">
        <v>0</v>
      </c>
      <c r="M1013" s="284">
        <v>0</v>
      </c>
      <c r="N1013" s="284">
        <v>15</v>
      </c>
      <c r="O1013" s="284">
        <v>1</v>
      </c>
      <c r="P1013" s="284">
        <v>13</v>
      </c>
      <c r="Q1013" s="286">
        <v>8</v>
      </c>
      <c r="R1013" s="274">
        <v>64</v>
      </c>
      <c r="S1013" s="274">
        <v>9</v>
      </c>
      <c r="T1013" s="287">
        <f t="shared" si="15"/>
        <v>2016</v>
      </c>
      <c r="U1013" s="274">
        <f>VLOOKUP(A1013,'[1]SB35 Determination Data'!$B$4:$F$542,5,FALSE)</f>
        <v>2015</v>
      </c>
    </row>
    <row r="1014" spans="1:21" s="274" customFormat="1" ht="12.75" x14ac:dyDescent="0.2">
      <c r="A1014" s="282" t="s">
        <v>607</v>
      </c>
      <c r="B1014" s="282" t="s">
        <v>595</v>
      </c>
      <c r="C1014" s="282" t="s">
        <v>654</v>
      </c>
      <c r="D1014" s="283">
        <v>2017</v>
      </c>
      <c r="E1014" s="282" t="s">
        <v>650</v>
      </c>
      <c r="F1014" s="284">
        <v>21</v>
      </c>
      <c r="G1014" s="285">
        <v>0</v>
      </c>
      <c r="H1014" s="288">
        <v>0</v>
      </c>
      <c r="I1014" s="285">
        <v>0</v>
      </c>
      <c r="J1014" s="285">
        <v>15</v>
      </c>
      <c r="K1014" s="284">
        <v>0</v>
      </c>
      <c r="L1014" s="284">
        <v>0</v>
      </c>
      <c r="M1014" s="284">
        <v>0</v>
      </c>
      <c r="N1014" s="284">
        <v>15</v>
      </c>
      <c r="O1014" s="284">
        <v>2</v>
      </c>
      <c r="P1014" s="284">
        <v>13</v>
      </c>
      <c r="Q1014" s="286">
        <v>6</v>
      </c>
      <c r="R1014" s="274">
        <v>64</v>
      </c>
      <c r="S1014" s="274">
        <v>8</v>
      </c>
      <c r="T1014" s="287">
        <f t="shared" si="15"/>
        <v>2017</v>
      </c>
      <c r="U1014" s="274">
        <f>VLOOKUP(A1014,'[1]SB35 Determination Data'!$B$4:$F$542,5,FALSE)</f>
        <v>2015</v>
      </c>
    </row>
    <row r="1015" spans="1:21" s="274" customFormat="1" ht="12.75" x14ac:dyDescent="0.2">
      <c r="A1015" s="282" t="s">
        <v>608</v>
      </c>
      <c r="B1015" s="282" t="s">
        <v>557</v>
      </c>
      <c r="C1015" s="282" t="s">
        <v>758</v>
      </c>
      <c r="D1015" s="283">
        <v>2013</v>
      </c>
      <c r="E1015" s="282" t="s">
        <v>650</v>
      </c>
      <c r="F1015" s="284">
        <v>201</v>
      </c>
      <c r="G1015" s="285">
        <v>26</v>
      </c>
      <c r="H1015" s="288">
        <v>26</v>
      </c>
      <c r="I1015" s="285">
        <v>0</v>
      </c>
      <c r="J1015" s="285">
        <v>152</v>
      </c>
      <c r="K1015" s="284">
        <v>26</v>
      </c>
      <c r="L1015" s="284">
        <v>26</v>
      </c>
      <c r="M1015" s="284">
        <v>0</v>
      </c>
      <c r="N1015" s="284">
        <v>282</v>
      </c>
      <c r="O1015" s="284">
        <v>0</v>
      </c>
      <c r="P1015" s="284">
        <v>618</v>
      </c>
      <c r="Q1015" s="286">
        <v>64</v>
      </c>
      <c r="R1015" s="274">
        <v>1253</v>
      </c>
      <c r="S1015" s="274">
        <v>116</v>
      </c>
      <c r="T1015" s="287">
        <f t="shared" si="15"/>
        <v>2013</v>
      </c>
      <c r="U1015" s="274">
        <f>VLOOKUP(A1015,'[1]SB35 Determination Data'!$B$4:$F$542,5,FALSE)</f>
        <v>2013</v>
      </c>
    </row>
    <row r="1016" spans="1:21" s="274" customFormat="1" ht="12.75" x14ac:dyDescent="0.2">
      <c r="A1016" s="282" t="s">
        <v>608</v>
      </c>
      <c r="B1016" s="282" t="s">
        <v>557</v>
      </c>
      <c r="C1016" s="282" t="s">
        <v>758</v>
      </c>
      <c r="D1016" s="283">
        <v>2014</v>
      </c>
      <c r="E1016" s="282" t="s">
        <v>650</v>
      </c>
      <c r="F1016" s="284">
        <v>201</v>
      </c>
      <c r="G1016" s="285">
        <v>0</v>
      </c>
      <c r="H1016" s="288">
        <v>0</v>
      </c>
      <c r="I1016" s="285">
        <v>0</v>
      </c>
      <c r="J1016" s="285">
        <v>152</v>
      </c>
      <c r="K1016" s="284">
        <v>0</v>
      </c>
      <c r="L1016" s="284">
        <v>0</v>
      </c>
      <c r="M1016" s="284">
        <v>0</v>
      </c>
      <c r="N1016" s="289">
        <v>282</v>
      </c>
      <c r="O1016" s="284">
        <v>0</v>
      </c>
      <c r="P1016" s="284">
        <v>618</v>
      </c>
      <c r="Q1016" s="286">
        <v>11</v>
      </c>
      <c r="R1016" s="274">
        <v>1253</v>
      </c>
      <c r="S1016" s="274">
        <v>11</v>
      </c>
      <c r="T1016" s="287">
        <f t="shared" si="15"/>
        <v>2014</v>
      </c>
      <c r="U1016" s="274">
        <f>VLOOKUP(A1016,'[1]SB35 Determination Data'!$B$4:$F$542,5,FALSE)</f>
        <v>2013</v>
      </c>
    </row>
    <row r="1017" spans="1:21" s="274" customFormat="1" ht="12.75" x14ac:dyDescent="0.2">
      <c r="A1017" s="282" t="s">
        <v>608</v>
      </c>
      <c r="B1017" s="282" t="s">
        <v>557</v>
      </c>
      <c r="C1017" s="282" t="s">
        <v>758</v>
      </c>
      <c r="D1017" s="283">
        <v>2015</v>
      </c>
      <c r="E1017" s="282" t="s">
        <v>650</v>
      </c>
      <c r="F1017" s="284">
        <v>201</v>
      </c>
      <c r="G1017" s="285">
        <v>0</v>
      </c>
      <c r="H1017" s="288">
        <v>0</v>
      </c>
      <c r="I1017" s="285">
        <v>0</v>
      </c>
      <c r="J1017" s="285">
        <v>152</v>
      </c>
      <c r="K1017" s="284">
        <v>0</v>
      </c>
      <c r="L1017" s="284">
        <v>0</v>
      </c>
      <c r="M1017" s="284">
        <v>0</v>
      </c>
      <c r="N1017" s="284">
        <v>282</v>
      </c>
      <c r="O1017" s="284">
        <v>0</v>
      </c>
      <c r="P1017" s="284">
        <v>618</v>
      </c>
      <c r="Q1017" s="286">
        <v>11</v>
      </c>
      <c r="R1017" s="274">
        <v>1253</v>
      </c>
      <c r="S1017" s="274">
        <v>11</v>
      </c>
      <c r="T1017" s="287">
        <f t="shared" si="15"/>
        <v>2015</v>
      </c>
      <c r="U1017" s="274">
        <f>VLOOKUP(A1017,'[1]SB35 Determination Data'!$B$4:$F$542,5,FALSE)</f>
        <v>2013</v>
      </c>
    </row>
    <row r="1018" spans="1:21" s="274" customFormat="1" ht="12.75" x14ac:dyDescent="0.2">
      <c r="A1018" s="282" t="s">
        <v>608</v>
      </c>
      <c r="B1018" s="282" t="s">
        <v>557</v>
      </c>
      <c r="C1018" s="282" t="s">
        <v>758</v>
      </c>
      <c r="D1018" s="283">
        <v>2016</v>
      </c>
      <c r="E1018" s="282" t="s">
        <v>650</v>
      </c>
      <c r="F1018" s="284">
        <v>201</v>
      </c>
      <c r="G1018" s="285">
        <v>0</v>
      </c>
      <c r="H1018" s="288">
        <v>0</v>
      </c>
      <c r="I1018" s="285">
        <v>0</v>
      </c>
      <c r="J1018" s="285">
        <v>152</v>
      </c>
      <c r="K1018" s="284">
        <v>0</v>
      </c>
      <c r="L1018" s="284">
        <v>0</v>
      </c>
      <c r="M1018" s="284">
        <v>0</v>
      </c>
      <c r="N1018" s="284">
        <v>282</v>
      </c>
      <c r="O1018" s="284">
        <v>0</v>
      </c>
      <c r="P1018" s="284">
        <v>618</v>
      </c>
      <c r="Q1018" s="286">
        <v>17</v>
      </c>
      <c r="R1018" s="274">
        <v>1253</v>
      </c>
      <c r="S1018" s="274">
        <v>17</v>
      </c>
      <c r="T1018" s="287">
        <f t="shared" si="15"/>
        <v>2016</v>
      </c>
      <c r="U1018" s="274">
        <f>VLOOKUP(A1018,'[1]SB35 Determination Data'!$B$4:$F$542,5,FALSE)</f>
        <v>2013</v>
      </c>
    </row>
    <row r="1019" spans="1:21" s="274" customFormat="1" ht="12.75" x14ac:dyDescent="0.2">
      <c r="A1019" s="282" t="s">
        <v>608</v>
      </c>
      <c r="B1019" s="282" t="s">
        <v>557</v>
      </c>
      <c r="C1019" s="282" t="s">
        <v>758</v>
      </c>
      <c r="D1019" s="283">
        <v>2017</v>
      </c>
      <c r="E1019" s="282" t="s">
        <v>650</v>
      </c>
      <c r="F1019" s="284">
        <v>201</v>
      </c>
      <c r="G1019" s="285">
        <v>0</v>
      </c>
      <c r="H1019" s="288">
        <v>0</v>
      </c>
      <c r="I1019" s="285">
        <v>0</v>
      </c>
      <c r="J1019" s="285">
        <v>152</v>
      </c>
      <c r="K1019" s="284">
        <v>0</v>
      </c>
      <c r="L1019" s="284">
        <v>0</v>
      </c>
      <c r="M1019" s="284">
        <v>0</v>
      </c>
      <c r="N1019" s="284">
        <v>282</v>
      </c>
      <c r="O1019" s="284">
        <v>0</v>
      </c>
      <c r="P1019" s="284">
        <v>618</v>
      </c>
      <c r="Q1019" s="286">
        <v>24</v>
      </c>
      <c r="R1019" s="274">
        <v>1253</v>
      </c>
      <c r="S1019" s="274">
        <v>24</v>
      </c>
      <c r="T1019" s="287">
        <f t="shared" si="15"/>
        <v>2017</v>
      </c>
      <c r="U1019" s="274">
        <f>VLOOKUP(A1019,'[1]SB35 Determination Data'!$B$4:$F$542,5,FALSE)</f>
        <v>2013</v>
      </c>
    </row>
    <row r="1020" spans="1:21" s="274" customFormat="1" ht="12.75" x14ac:dyDescent="0.2">
      <c r="A1020" s="282" t="s">
        <v>609</v>
      </c>
      <c r="B1020" s="282" t="s">
        <v>511</v>
      </c>
      <c r="C1020" s="282" t="s">
        <v>685</v>
      </c>
      <c r="D1020" s="283">
        <v>2013</v>
      </c>
      <c r="E1020" s="282" t="s">
        <v>650</v>
      </c>
      <c r="F1020" s="284">
        <v>1539</v>
      </c>
      <c r="G1020" s="285">
        <v>0</v>
      </c>
      <c r="H1020" s="288">
        <v>0</v>
      </c>
      <c r="I1020" s="285">
        <v>0</v>
      </c>
      <c r="J1020" s="285">
        <v>1079</v>
      </c>
      <c r="K1020" s="284">
        <v>0</v>
      </c>
      <c r="L1020" s="284">
        <v>0</v>
      </c>
      <c r="M1020" s="284">
        <v>0</v>
      </c>
      <c r="N1020" s="284">
        <v>1303</v>
      </c>
      <c r="O1020" s="284">
        <v>0</v>
      </c>
      <c r="P1020" s="284">
        <v>3087</v>
      </c>
      <c r="Q1020" s="286">
        <v>331</v>
      </c>
      <c r="R1020" s="274">
        <v>7008</v>
      </c>
      <c r="S1020" s="274">
        <v>331</v>
      </c>
      <c r="T1020" s="287">
        <f t="shared" si="15"/>
        <v>2014</v>
      </c>
      <c r="U1020" s="274">
        <f>VLOOKUP(A1020,'[1]SB35 Determination Data'!$B$4:$F$542,5,FALSE)</f>
        <v>2014</v>
      </c>
    </row>
    <row r="1021" spans="1:21" s="274" customFormat="1" ht="12.75" x14ac:dyDescent="0.2">
      <c r="A1021" s="282" t="s">
        <v>609</v>
      </c>
      <c r="B1021" s="282" t="s">
        <v>511</v>
      </c>
      <c r="C1021" s="282" t="s">
        <v>685</v>
      </c>
      <c r="D1021" s="283">
        <v>2014</v>
      </c>
      <c r="E1021" s="282" t="s">
        <v>650</v>
      </c>
      <c r="F1021" s="284">
        <v>1539</v>
      </c>
      <c r="G1021" s="285">
        <v>0</v>
      </c>
      <c r="H1021" s="288">
        <v>0</v>
      </c>
      <c r="I1021" s="285">
        <v>0</v>
      </c>
      <c r="J1021" s="285">
        <v>1079</v>
      </c>
      <c r="K1021" s="284">
        <v>0</v>
      </c>
      <c r="L1021" s="284">
        <v>0</v>
      </c>
      <c r="M1021" s="284">
        <v>0</v>
      </c>
      <c r="N1021" s="289">
        <v>1303</v>
      </c>
      <c r="O1021" s="284">
        <v>0</v>
      </c>
      <c r="P1021" s="284">
        <v>3087</v>
      </c>
      <c r="Q1021" s="286">
        <v>254</v>
      </c>
      <c r="R1021" s="274">
        <v>7008</v>
      </c>
      <c r="S1021" s="274">
        <v>254</v>
      </c>
      <c r="T1021" s="287">
        <f t="shared" si="15"/>
        <v>2014</v>
      </c>
      <c r="U1021" s="274">
        <f>VLOOKUP(A1021,'[1]SB35 Determination Data'!$B$4:$F$542,5,FALSE)</f>
        <v>2014</v>
      </c>
    </row>
    <row r="1022" spans="1:21" s="274" customFormat="1" ht="12.75" x14ac:dyDescent="0.2">
      <c r="A1022" s="282" t="s">
        <v>609</v>
      </c>
      <c r="B1022" s="282" t="s">
        <v>511</v>
      </c>
      <c r="C1022" s="282" t="s">
        <v>685</v>
      </c>
      <c r="D1022" s="283">
        <v>2015</v>
      </c>
      <c r="E1022" s="282" t="s">
        <v>650</v>
      </c>
      <c r="F1022" s="284">
        <v>1539</v>
      </c>
      <c r="G1022" s="285">
        <v>50</v>
      </c>
      <c r="H1022" s="288">
        <v>50</v>
      </c>
      <c r="I1022" s="285">
        <v>0</v>
      </c>
      <c r="J1022" s="285">
        <v>1079</v>
      </c>
      <c r="K1022" s="284">
        <v>0</v>
      </c>
      <c r="L1022" s="284">
        <v>0</v>
      </c>
      <c r="M1022" s="284">
        <v>0</v>
      </c>
      <c r="N1022" s="284">
        <v>1303</v>
      </c>
      <c r="O1022" s="284">
        <v>0</v>
      </c>
      <c r="P1022" s="284">
        <v>3087</v>
      </c>
      <c r="Q1022" s="286">
        <v>402</v>
      </c>
      <c r="R1022" s="274">
        <v>7008</v>
      </c>
      <c r="S1022" s="274">
        <v>452</v>
      </c>
      <c r="T1022" s="287">
        <f t="shared" si="15"/>
        <v>2015</v>
      </c>
      <c r="U1022" s="274">
        <f>VLOOKUP(A1022,'[1]SB35 Determination Data'!$B$4:$F$542,5,FALSE)</f>
        <v>2014</v>
      </c>
    </row>
    <row r="1023" spans="1:21" s="274" customFormat="1" ht="12.75" x14ac:dyDescent="0.2">
      <c r="A1023" s="282" t="s">
        <v>609</v>
      </c>
      <c r="B1023" s="282" t="s">
        <v>511</v>
      </c>
      <c r="C1023" s="282" t="s">
        <v>685</v>
      </c>
      <c r="D1023" s="283">
        <v>2016</v>
      </c>
      <c r="E1023" s="282" t="s">
        <v>650</v>
      </c>
      <c r="F1023" s="284">
        <v>1539</v>
      </c>
      <c r="G1023" s="285">
        <v>0</v>
      </c>
      <c r="H1023" s="288">
        <v>0</v>
      </c>
      <c r="I1023" s="285">
        <v>0</v>
      </c>
      <c r="J1023" s="285">
        <v>1079</v>
      </c>
      <c r="K1023" s="284">
        <v>0</v>
      </c>
      <c r="L1023" s="284">
        <v>0</v>
      </c>
      <c r="M1023" s="284">
        <v>0</v>
      </c>
      <c r="N1023" s="289">
        <v>1303</v>
      </c>
      <c r="O1023" s="284">
        <v>0</v>
      </c>
      <c r="P1023" s="284">
        <v>3087</v>
      </c>
      <c r="Q1023" s="286">
        <v>330</v>
      </c>
      <c r="R1023" s="274">
        <v>7008</v>
      </c>
      <c r="S1023" s="274">
        <v>330</v>
      </c>
      <c r="T1023" s="287">
        <f t="shared" si="15"/>
        <v>2016</v>
      </c>
      <c r="U1023" s="274">
        <f>VLOOKUP(A1023,'[1]SB35 Determination Data'!$B$4:$F$542,5,FALSE)</f>
        <v>2014</v>
      </c>
    </row>
    <row r="1024" spans="1:21" s="274" customFormat="1" ht="12.75" x14ac:dyDescent="0.2">
      <c r="A1024" s="282" t="s">
        <v>609</v>
      </c>
      <c r="B1024" s="282" t="s">
        <v>511</v>
      </c>
      <c r="C1024" s="282" t="s">
        <v>685</v>
      </c>
      <c r="D1024" s="283">
        <v>2017</v>
      </c>
      <c r="E1024" s="282" t="s">
        <v>650</v>
      </c>
      <c r="F1024" s="284">
        <v>1539</v>
      </c>
      <c r="G1024" s="285">
        <v>50</v>
      </c>
      <c r="H1024" s="288">
        <v>50</v>
      </c>
      <c r="I1024" s="285">
        <v>0</v>
      </c>
      <c r="J1024" s="285">
        <v>1079</v>
      </c>
      <c r="K1024" s="284">
        <v>0</v>
      </c>
      <c r="L1024" s="284">
        <v>0</v>
      </c>
      <c r="M1024" s="284">
        <v>0</v>
      </c>
      <c r="N1024" s="284">
        <v>1303</v>
      </c>
      <c r="O1024" s="284">
        <v>110</v>
      </c>
      <c r="P1024" s="284">
        <v>3087</v>
      </c>
      <c r="Q1024" s="286">
        <v>306</v>
      </c>
      <c r="R1024" s="274">
        <v>7008</v>
      </c>
      <c r="S1024" s="274">
        <v>466</v>
      </c>
      <c r="T1024" s="287">
        <f t="shared" si="15"/>
        <v>2017</v>
      </c>
      <c r="U1024" s="274">
        <f>VLOOKUP(A1024,'[1]SB35 Determination Data'!$B$4:$F$542,5,FALSE)</f>
        <v>2014</v>
      </c>
    </row>
    <row r="1025" spans="1:21" s="274" customFormat="1" ht="12.75" x14ac:dyDescent="0.2">
      <c r="A1025" s="282" t="s">
        <v>610</v>
      </c>
      <c r="B1025" s="282" t="s">
        <v>542</v>
      </c>
      <c r="C1025" s="282" t="s">
        <v>649</v>
      </c>
      <c r="D1025" s="283">
        <v>2014</v>
      </c>
      <c r="E1025" s="282" t="s">
        <v>650</v>
      </c>
      <c r="F1025" s="284">
        <v>209</v>
      </c>
      <c r="G1025" s="285">
        <v>0</v>
      </c>
      <c r="H1025" s="288">
        <v>0</v>
      </c>
      <c r="I1025" s="285">
        <v>0</v>
      </c>
      <c r="J1025" s="285">
        <v>141</v>
      </c>
      <c r="K1025" s="284">
        <v>0</v>
      </c>
      <c r="L1025" s="284">
        <v>0</v>
      </c>
      <c r="M1025" s="284">
        <v>0</v>
      </c>
      <c r="N1025" s="284">
        <v>158</v>
      </c>
      <c r="O1025" s="284">
        <v>0</v>
      </c>
      <c r="P1025" s="284">
        <v>340</v>
      </c>
      <c r="Q1025" s="286">
        <v>388</v>
      </c>
      <c r="R1025" s="274">
        <v>848</v>
      </c>
      <c r="S1025" s="274">
        <v>388</v>
      </c>
      <c r="T1025" s="287">
        <f t="shared" si="15"/>
        <v>2014</v>
      </c>
      <c r="U1025" s="274">
        <f>VLOOKUP(A1025,'[1]SB35 Determination Data'!$B$4:$F$542,5,FALSE)</f>
        <v>2014</v>
      </c>
    </row>
    <row r="1026" spans="1:21" s="274" customFormat="1" ht="12.75" x14ac:dyDescent="0.2">
      <c r="A1026" s="282" t="s">
        <v>610</v>
      </c>
      <c r="B1026" s="282" t="s">
        <v>542</v>
      </c>
      <c r="C1026" s="282" t="s">
        <v>649</v>
      </c>
      <c r="D1026" s="283">
        <v>2015</v>
      </c>
      <c r="E1026" s="282" t="s">
        <v>650</v>
      </c>
      <c r="F1026" s="284">
        <v>209</v>
      </c>
      <c r="G1026" s="285">
        <v>0</v>
      </c>
      <c r="H1026" s="288">
        <v>0</v>
      </c>
      <c r="I1026" s="285">
        <v>0</v>
      </c>
      <c r="J1026" s="285">
        <v>141</v>
      </c>
      <c r="K1026" s="284">
        <v>0</v>
      </c>
      <c r="L1026" s="284">
        <v>0</v>
      </c>
      <c r="M1026" s="284">
        <v>0</v>
      </c>
      <c r="N1026" s="284">
        <v>158</v>
      </c>
      <c r="O1026" s="284">
        <v>0</v>
      </c>
      <c r="P1026" s="284">
        <v>340</v>
      </c>
      <c r="Q1026" s="286">
        <v>425</v>
      </c>
      <c r="R1026" s="274">
        <v>848</v>
      </c>
      <c r="S1026" s="274">
        <v>425</v>
      </c>
      <c r="T1026" s="287">
        <f t="shared" si="15"/>
        <v>2015</v>
      </c>
      <c r="U1026" s="274">
        <f>VLOOKUP(A1026,'[1]SB35 Determination Data'!$B$4:$F$542,5,FALSE)</f>
        <v>2014</v>
      </c>
    </row>
    <row r="1027" spans="1:21" s="274" customFormat="1" ht="12.75" x14ac:dyDescent="0.2">
      <c r="A1027" s="282" t="s">
        <v>610</v>
      </c>
      <c r="B1027" s="282" t="s">
        <v>542</v>
      </c>
      <c r="C1027" s="282" t="s">
        <v>649</v>
      </c>
      <c r="D1027" s="283">
        <v>2016</v>
      </c>
      <c r="E1027" s="282" t="s">
        <v>650</v>
      </c>
      <c r="F1027" s="284">
        <v>209</v>
      </c>
      <c r="G1027" s="285">
        <v>0</v>
      </c>
      <c r="H1027" s="288">
        <v>0</v>
      </c>
      <c r="I1027" s="285">
        <v>0</v>
      </c>
      <c r="J1027" s="285">
        <v>141</v>
      </c>
      <c r="K1027" s="284">
        <v>0</v>
      </c>
      <c r="L1027" s="284">
        <v>0</v>
      </c>
      <c r="M1027" s="284">
        <v>0</v>
      </c>
      <c r="N1027" s="284">
        <v>158</v>
      </c>
      <c r="O1027" s="284">
        <v>0</v>
      </c>
      <c r="P1027" s="284">
        <v>340</v>
      </c>
      <c r="Q1027" s="286">
        <v>171</v>
      </c>
      <c r="R1027" s="274">
        <v>848</v>
      </c>
      <c r="S1027" s="274">
        <v>171</v>
      </c>
      <c r="T1027" s="287">
        <f t="shared" si="15"/>
        <v>2016</v>
      </c>
      <c r="U1027" s="274">
        <f>VLOOKUP(A1027,'[1]SB35 Determination Data'!$B$4:$F$542,5,FALSE)</f>
        <v>2014</v>
      </c>
    </row>
    <row r="1028" spans="1:21" s="274" customFormat="1" ht="12.75" x14ac:dyDescent="0.2">
      <c r="A1028" s="282" t="s">
        <v>610</v>
      </c>
      <c r="B1028" s="282" t="s">
        <v>542</v>
      </c>
      <c r="C1028" s="282" t="s">
        <v>649</v>
      </c>
      <c r="D1028" s="283">
        <v>2017</v>
      </c>
      <c r="E1028" s="282" t="s">
        <v>650</v>
      </c>
      <c r="F1028" s="284">
        <v>209</v>
      </c>
      <c r="G1028" s="285">
        <v>18</v>
      </c>
      <c r="H1028" s="288">
        <v>18</v>
      </c>
      <c r="I1028" s="285">
        <v>0</v>
      </c>
      <c r="J1028" s="285">
        <v>141</v>
      </c>
      <c r="K1028" s="284">
        <v>11</v>
      </c>
      <c r="L1028" s="284">
        <v>11</v>
      </c>
      <c r="M1028" s="284">
        <v>0</v>
      </c>
      <c r="N1028" s="289">
        <v>158</v>
      </c>
      <c r="O1028" s="284">
        <v>31</v>
      </c>
      <c r="P1028" s="284">
        <v>340</v>
      </c>
      <c r="Q1028" s="286">
        <v>296</v>
      </c>
      <c r="R1028" s="274">
        <v>848</v>
      </c>
      <c r="S1028" s="274">
        <v>356</v>
      </c>
      <c r="T1028" s="287">
        <f t="shared" ref="T1028:T1091" si="16">IF(D1028&gt;U1028,D1028,U1028)</f>
        <v>2017</v>
      </c>
      <c r="U1028" s="274">
        <f>VLOOKUP(A1028,'[1]SB35 Determination Data'!$B$4:$F$542,5,FALSE)</f>
        <v>2014</v>
      </c>
    </row>
    <row r="1029" spans="1:21" s="274" customFormat="1" ht="12.75" x14ac:dyDescent="0.2">
      <c r="A1029" s="282" t="s">
        <v>611</v>
      </c>
      <c r="B1029" s="282" t="s">
        <v>481</v>
      </c>
      <c r="C1029" s="282" t="s">
        <v>649</v>
      </c>
      <c r="D1029" s="283">
        <v>2017</v>
      </c>
      <c r="E1029" s="282" t="s">
        <v>650</v>
      </c>
      <c r="F1029" s="284">
        <v>23</v>
      </c>
      <c r="G1029" s="285">
        <v>0</v>
      </c>
      <c r="H1029" s="288">
        <v>0</v>
      </c>
      <c r="I1029" s="285">
        <v>0</v>
      </c>
      <c r="J1029" s="285">
        <v>15</v>
      </c>
      <c r="K1029" s="284">
        <v>0</v>
      </c>
      <c r="L1029" s="284">
        <v>0</v>
      </c>
      <c r="M1029" s="284">
        <v>0</v>
      </c>
      <c r="N1029" s="284">
        <v>18</v>
      </c>
      <c r="O1029" s="284">
        <v>1</v>
      </c>
      <c r="P1029" s="284">
        <v>39</v>
      </c>
      <c r="Q1029" s="286">
        <v>36</v>
      </c>
      <c r="R1029" s="274">
        <v>95</v>
      </c>
      <c r="S1029" s="274">
        <v>37</v>
      </c>
      <c r="T1029" s="287">
        <f t="shared" si="16"/>
        <v>2017</v>
      </c>
      <c r="U1029" s="274">
        <f>VLOOKUP(A1029,'[1]SB35 Determination Data'!$B$4:$F$542,5,FALSE)</f>
        <v>2014</v>
      </c>
    </row>
    <row r="1030" spans="1:21" s="274" customFormat="1" ht="12.75" x14ac:dyDescent="0.2">
      <c r="A1030" s="282" t="s">
        <v>493</v>
      </c>
      <c r="B1030" s="282" t="s">
        <v>262</v>
      </c>
      <c r="C1030" s="282" t="s">
        <v>649</v>
      </c>
      <c r="D1030" s="283">
        <v>2014</v>
      </c>
      <c r="E1030" s="282" t="s">
        <v>650</v>
      </c>
      <c r="F1030" s="284">
        <v>8</v>
      </c>
      <c r="G1030" s="285">
        <v>0</v>
      </c>
      <c r="H1030" s="288">
        <v>0</v>
      </c>
      <c r="I1030" s="285">
        <v>0</v>
      </c>
      <c r="J1030" s="285">
        <v>5</v>
      </c>
      <c r="K1030" s="284">
        <v>0</v>
      </c>
      <c r="L1030" s="284">
        <v>0</v>
      </c>
      <c r="M1030" s="284">
        <v>0</v>
      </c>
      <c r="N1030" s="284">
        <v>5</v>
      </c>
      <c r="O1030" s="284">
        <v>0</v>
      </c>
      <c r="P1030" s="284">
        <v>13</v>
      </c>
      <c r="Q1030" s="286">
        <v>4</v>
      </c>
      <c r="R1030" s="274">
        <v>31</v>
      </c>
      <c r="S1030" s="274">
        <v>4</v>
      </c>
      <c r="T1030" s="287">
        <f t="shared" si="16"/>
        <v>2014</v>
      </c>
      <c r="U1030" s="274">
        <f>VLOOKUP(A1030,'[1]SB35 Determination Data'!$B$4:$F$542,5,FALSE)</f>
        <v>2014</v>
      </c>
    </row>
    <row r="1031" spans="1:21" s="274" customFormat="1" ht="12.75" x14ac:dyDescent="0.2">
      <c r="A1031" s="282" t="s">
        <v>493</v>
      </c>
      <c r="B1031" s="282" t="s">
        <v>262</v>
      </c>
      <c r="C1031" s="282" t="s">
        <v>649</v>
      </c>
      <c r="D1031" s="283">
        <v>2015</v>
      </c>
      <c r="E1031" s="282" t="s">
        <v>650</v>
      </c>
      <c r="F1031" s="284">
        <v>8</v>
      </c>
      <c r="G1031" s="285">
        <v>0</v>
      </c>
      <c r="H1031" s="288">
        <v>0</v>
      </c>
      <c r="I1031" s="285">
        <v>0</v>
      </c>
      <c r="J1031" s="285">
        <v>5</v>
      </c>
      <c r="K1031" s="284">
        <v>0</v>
      </c>
      <c r="L1031" s="284">
        <v>0</v>
      </c>
      <c r="M1031" s="284">
        <v>0</v>
      </c>
      <c r="N1031" s="284">
        <v>5</v>
      </c>
      <c r="O1031" s="284">
        <v>0</v>
      </c>
      <c r="P1031" s="284">
        <v>13</v>
      </c>
      <c r="Q1031" s="286">
        <v>4</v>
      </c>
      <c r="R1031" s="274">
        <v>31</v>
      </c>
      <c r="S1031" s="274">
        <v>4</v>
      </c>
      <c r="T1031" s="287">
        <f t="shared" si="16"/>
        <v>2015</v>
      </c>
      <c r="U1031" s="274">
        <f>VLOOKUP(A1031,'[1]SB35 Determination Data'!$B$4:$F$542,5,FALSE)</f>
        <v>2014</v>
      </c>
    </row>
    <row r="1032" spans="1:21" s="274" customFormat="1" ht="12.75" x14ac:dyDescent="0.2">
      <c r="A1032" s="282" t="s">
        <v>493</v>
      </c>
      <c r="B1032" s="282" t="s">
        <v>262</v>
      </c>
      <c r="C1032" s="282" t="s">
        <v>649</v>
      </c>
      <c r="D1032" s="283">
        <v>2016</v>
      </c>
      <c r="E1032" s="282" t="s">
        <v>650</v>
      </c>
      <c r="F1032" s="284">
        <v>8</v>
      </c>
      <c r="G1032" s="285">
        <v>4</v>
      </c>
      <c r="H1032" s="288">
        <v>4</v>
      </c>
      <c r="I1032" s="285">
        <v>0</v>
      </c>
      <c r="J1032" s="285">
        <v>5</v>
      </c>
      <c r="K1032" s="284">
        <v>0</v>
      </c>
      <c r="L1032" s="284">
        <v>0</v>
      </c>
      <c r="M1032" s="284">
        <v>0</v>
      </c>
      <c r="N1032" s="284">
        <v>5</v>
      </c>
      <c r="O1032" s="284">
        <v>0</v>
      </c>
      <c r="P1032" s="284">
        <v>13</v>
      </c>
      <c r="Q1032" s="286">
        <v>48</v>
      </c>
      <c r="R1032" s="274">
        <v>31</v>
      </c>
      <c r="S1032" s="274">
        <v>52</v>
      </c>
      <c r="T1032" s="287">
        <f t="shared" si="16"/>
        <v>2016</v>
      </c>
      <c r="U1032" s="274">
        <f>VLOOKUP(A1032,'[1]SB35 Determination Data'!$B$4:$F$542,5,FALSE)</f>
        <v>2014</v>
      </c>
    </row>
    <row r="1033" spans="1:21" s="274" customFormat="1" ht="12.75" x14ac:dyDescent="0.2">
      <c r="A1033" s="282" t="s">
        <v>493</v>
      </c>
      <c r="B1033" s="282" t="s">
        <v>262</v>
      </c>
      <c r="C1033" s="282" t="s">
        <v>649</v>
      </c>
      <c r="D1033" s="283">
        <v>2017</v>
      </c>
      <c r="E1033" s="282" t="s">
        <v>650</v>
      </c>
      <c r="F1033" s="284">
        <v>8</v>
      </c>
      <c r="G1033" s="285">
        <v>1</v>
      </c>
      <c r="H1033" s="288">
        <v>1</v>
      </c>
      <c r="I1033" s="285">
        <v>0</v>
      </c>
      <c r="J1033" s="285">
        <v>5</v>
      </c>
      <c r="K1033" s="284">
        <v>0</v>
      </c>
      <c r="L1033" s="284">
        <v>0</v>
      </c>
      <c r="M1033" s="284">
        <v>0</v>
      </c>
      <c r="N1033" s="284">
        <v>5</v>
      </c>
      <c r="O1033" s="284">
        <v>0</v>
      </c>
      <c r="P1033" s="284">
        <v>13</v>
      </c>
      <c r="Q1033" s="286">
        <v>26</v>
      </c>
      <c r="R1033" s="274">
        <v>31</v>
      </c>
      <c r="S1033" s="274">
        <v>27</v>
      </c>
      <c r="T1033" s="287">
        <f t="shared" si="16"/>
        <v>2017</v>
      </c>
      <c r="U1033" s="274">
        <f>VLOOKUP(A1033,'[1]SB35 Determination Data'!$B$4:$F$542,5,FALSE)</f>
        <v>2014</v>
      </c>
    </row>
    <row r="1034" spans="1:21" s="274" customFormat="1" ht="12.75" x14ac:dyDescent="0.2">
      <c r="A1034" s="282" t="s">
        <v>612</v>
      </c>
      <c r="B1034" s="282" t="s">
        <v>436</v>
      </c>
      <c r="C1034" s="282" t="s">
        <v>649</v>
      </c>
      <c r="D1034" s="283">
        <v>2014</v>
      </c>
      <c r="E1034" s="282" t="s">
        <v>650</v>
      </c>
      <c r="F1034" s="284">
        <v>1</v>
      </c>
      <c r="G1034" s="285">
        <v>0</v>
      </c>
      <c r="H1034" s="288">
        <v>0</v>
      </c>
      <c r="I1034" s="285">
        <v>0</v>
      </c>
      <c r="J1034" s="285">
        <v>1</v>
      </c>
      <c r="K1034" s="284">
        <v>0</v>
      </c>
      <c r="L1034" s="284">
        <v>0</v>
      </c>
      <c r="M1034" s="284">
        <v>0</v>
      </c>
      <c r="N1034" s="289">
        <v>0</v>
      </c>
      <c r="O1034" s="284">
        <v>0</v>
      </c>
      <c r="P1034" s="284">
        <v>0</v>
      </c>
      <c r="Q1034" s="286">
        <v>0</v>
      </c>
      <c r="R1034" s="274">
        <v>2</v>
      </c>
      <c r="S1034" s="274">
        <v>0</v>
      </c>
      <c r="T1034" s="287">
        <f t="shared" si="16"/>
        <v>2014</v>
      </c>
      <c r="U1034" s="274">
        <f>VLOOKUP(A1034,'[1]SB35 Determination Data'!$B$4:$F$542,5,FALSE)</f>
        <v>2014</v>
      </c>
    </row>
    <row r="1035" spans="1:21" s="274" customFormat="1" ht="12.75" x14ac:dyDescent="0.2">
      <c r="A1035" s="282" t="s">
        <v>612</v>
      </c>
      <c r="B1035" s="282" t="s">
        <v>436</v>
      </c>
      <c r="C1035" s="282" t="s">
        <v>649</v>
      </c>
      <c r="D1035" s="283">
        <v>2015</v>
      </c>
      <c r="E1035" s="282" t="s">
        <v>650</v>
      </c>
      <c r="F1035" s="284">
        <v>1</v>
      </c>
      <c r="G1035" s="285">
        <v>0</v>
      </c>
      <c r="H1035" s="288">
        <v>0</v>
      </c>
      <c r="I1035" s="285">
        <v>0</v>
      </c>
      <c r="J1035" s="285">
        <v>1</v>
      </c>
      <c r="K1035" s="284">
        <v>0</v>
      </c>
      <c r="L1035" s="284">
        <v>0</v>
      </c>
      <c r="M1035" s="284">
        <v>0</v>
      </c>
      <c r="N1035" s="284">
        <v>0</v>
      </c>
      <c r="O1035" s="284">
        <v>0</v>
      </c>
      <c r="P1035" s="284">
        <v>0</v>
      </c>
      <c r="Q1035" s="286">
        <v>0</v>
      </c>
      <c r="R1035" s="274">
        <v>2</v>
      </c>
      <c r="S1035" s="274">
        <v>0</v>
      </c>
      <c r="T1035" s="287">
        <f t="shared" si="16"/>
        <v>2015</v>
      </c>
      <c r="U1035" s="274">
        <f>VLOOKUP(A1035,'[1]SB35 Determination Data'!$B$4:$F$542,5,FALSE)</f>
        <v>2014</v>
      </c>
    </row>
    <row r="1036" spans="1:21" s="274" customFormat="1" ht="12.75" x14ac:dyDescent="0.2">
      <c r="A1036" s="282" t="s">
        <v>612</v>
      </c>
      <c r="B1036" s="282" t="s">
        <v>436</v>
      </c>
      <c r="C1036" s="282" t="s">
        <v>649</v>
      </c>
      <c r="D1036" s="283">
        <v>2016</v>
      </c>
      <c r="E1036" s="282" t="s">
        <v>650</v>
      </c>
      <c r="F1036" s="284">
        <v>1</v>
      </c>
      <c r="G1036" s="285">
        <v>0</v>
      </c>
      <c r="H1036" s="288">
        <v>0</v>
      </c>
      <c r="I1036" s="285">
        <v>0</v>
      </c>
      <c r="J1036" s="285">
        <v>1</v>
      </c>
      <c r="K1036" s="284">
        <v>0</v>
      </c>
      <c r="L1036" s="284">
        <v>0</v>
      </c>
      <c r="M1036" s="284">
        <v>0</v>
      </c>
      <c r="N1036" s="284">
        <v>0</v>
      </c>
      <c r="O1036" s="284">
        <v>0</v>
      </c>
      <c r="P1036" s="284">
        <v>0</v>
      </c>
      <c r="Q1036" s="286">
        <v>0</v>
      </c>
      <c r="R1036" s="274">
        <v>2</v>
      </c>
      <c r="S1036" s="274">
        <v>0</v>
      </c>
      <c r="T1036" s="287">
        <f t="shared" si="16"/>
        <v>2016</v>
      </c>
      <c r="U1036" s="274">
        <f>VLOOKUP(A1036,'[1]SB35 Determination Data'!$B$4:$F$542,5,FALSE)</f>
        <v>2014</v>
      </c>
    </row>
    <row r="1037" spans="1:21" s="274" customFormat="1" ht="12.75" x14ac:dyDescent="0.2">
      <c r="A1037" s="282" t="s">
        <v>612</v>
      </c>
      <c r="B1037" s="282" t="s">
        <v>436</v>
      </c>
      <c r="C1037" s="282" t="s">
        <v>649</v>
      </c>
      <c r="D1037" s="283">
        <v>2017</v>
      </c>
      <c r="E1037" s="282" t="s">
        <v>650</v>
      </c>
      <c r="F1037" s="284">
        <v>1</v>
      </c>
      <c r="G1037" s="285">
        <v>0</v>
      </c>
      <c r="H1037" s="288">
        <v>0</v>
      </c>
      <c r="I1037" s="285">
        <v>0</v>
      </c>
      <c r="J1037" s="285">
        <v>1</v>
      </c>
      <c r="K1037" s="284">
        <v>0</v>
      </c>
      <c r="L1037" s="284">
        <v>0</v>
      </c>
      <c r="M1037" s="284">
        <v>0</v>
      </c>
      <c r="N1037" s="284">
        <v>0</v>
      </c>
      <c r="O1037" s="284">
        <v>0</v>
      </c>
      <c r="P1037" s="284">
        <v>0</v>
      </c>
      <c r="Q1037" s="286">
        <v>0</v>
      </c>
      <c r="R1037" s="274">
        <v>2</v>
      </c>
      <c r="S1037" s="274">
        <v>0</v>
      </c>
      <c r="T1037" s="287">
        <f t="shared" si="16"/>
        <v>2017</v>
      </c>
      <c r="U1037" s="274">
        <f>VLOOKUP(A1037,'[1]SB35 Determination Data'!$B$4:$F$542,5,FALSE)</f>
        <v>2014</v>
      </c>
    </row>
    <row r="1038" spans="1:21" s="274" customFormat="1" ht="12.75" x14ac:dyDescent="0.2">
      <c r="A1038" s="282" t="s">
        <v>613</v>
      </c>
      <c r="B1038" s="282" t="s">
        <v>701</v>
      </c>
      <c r="C1038" s="282" t="s">
        <v>660</v>
      </c>
      <c r="D1038" s="283">
        <v>2014</v>
      </c>
      <c r="E1038" s="282" t="s">
        <v>650</v>
      </c>
      <c r="F1038" s="284">
        <v>73</v>
      </c>
      <c r="G1038" s="285">
        <v>0</v>
      </c>
      <c r="H1038" s="288">
        <v>0</v>
      </c>
      <c r="I1038" s="285">
        <v>0</v>
      </c>
      <c r="J1038" s="285">
        <v>52</v>
      </c>
      <c r="K1038" s="284">
        <v>26</v>
      </c>
      <c r="L1038" s="284">
        <v>26</v>
      </c>
      <c r="M1038" s="284">
        <v>0</v>
      </c>
      <c r="N1038" s="289">
        <v>61</v>
      </c>
      <c r="O1038" s="284">
        <v>1</v>
      </c>
      <c r="P1038" s="284">
        <v>137</v>
      </c>
      <c r="Q1038" s="286">
        <v>0</v>
      </c>
      <c r="R1038" s="274">
        <v>323</v>
      </c>
      <c r="S1038" s="274">
        <v>27</v>
      </c>
      <c r="T1038" s="287">
        <f t="shared" si="16"/>
        <v>2014</v>
      </c>
      <c r="U1038" s="274">
        <f>VLOOKUP(A1038,'[1]SB35 Determination Data'!$B$4:$F$542,5,FALSE)</f>
        <v>2014</v>
      </c>
    </row>
    <row r="1039" spans="1:21" s="274" customFormat="1" ht="12.75" x14ac:dyDescent="0.2">
      <c r="A1039" s="282" t="s">
        <v>613</v>
      </c>
      <c r="B1039" s="282" t="s">
        <v>701</v>
      </c>
      <c r="C1039" s="282" t="s">
        <v>660</v>
      </c>
      <c r="D1039" s="283">
        <v>2015</v>
      </c>
      <c r="E1039" s="282" t="s">
        <v>650</v>
      </c>
      <c r="F1039" s="284">
        <v>73</v>
      </c>
      <c r="G1039" s="285">
        <v>0</v>
      </c>
      <c r="H1039" s="288">
        <v>0</v>
      </c>
      <c r="I1039" s="285">
        <v>0</v>
      </c>
      <c r="J1039" s="285">
        <v>52</v>
      </c>
      <c r="K1039" s="284">
        <v>0</v>
      </c>
      <c r="L1039" s="284">
        <v>0</v>
      </c>
      <c r="M1039" s="284">
        <v>0</v>
      </c>
      <c r="N1039" s="284">
        <v>61</v>
      </c>
      <c r="O1039" s="284">
        <v>1</v>
      </c>
      <c r="P1039" s="284">
        <v>137</v>
      </c>
      <c r="Q1039" s="286">
        <v>0</v>
      </c>
      <c r="R1039" s="274">
        <v>323</v>
      </c>
      <c r="S1039" s="274">
        <v>1</v>
      </c>
      <c r="T1039" s="287">
        <f t="shared" si="16"/>
        <v>2015</v>
      </c>
      <c r="U1039" s="274">
        <f>VLOOKUP(A1039,'[1]SB35 Determination Data'!$B$4:$F$542,5,FALSE)</f>
        <v>2014</v>
      </c>
    </row>
    <row r="1040" spans="1:21" s="274" customFormat="1" ht="12.75" x14ac:dyDescent="0.2">
      <c r="A1040" s="282" t="s">
        <v>613</v>
      </c>
      <c r="B1040" s="282" t="s">
        <v>701</v>
      </c>
      <c r="C1040" s="282" t="s">
        <v>660</v>
      </c>
      <c r="D1040" s="283">
        <v>2016</v>
      </c>
      <c r="E1040" s="282" t="s">
        <v>650</v>
      </c>
      <c r="F1040" s="284">
        <v>73</v>
      </c>
      <c r="G1040" s="285">
        <v>0</v>
      </c>
      <c r="H1040" s="288">
        <v>0</v>
      </c>
      <c r="I1040" s="285">
        <v>0</v>
      </c>
      <c r="J1040" s="285">
        <v>52</v>
      </c>
      <c r="K1040" s="284">
        <v>0</v>
      </c>
      <c r="L1040" s="284">
        <v>0</v>
      </c>
      <c r="M1040" s="284">
        <v>0</v>
      </c>
      <c r="N1040" s="284">
        <v>61</v>
      </c>
      <c r="O1040" s="284">
        <v>4</v>
      </c>
      <c r="P1040" s="284">
        <v>137</v>
      </c>
      <c r="Q1040" s="286">
        <v>0</v>
      </c>
      <c r="R1040" s="274">
        <v>323</v>
      </c>
      <c r="S1040" s="274">
        <v>4</v>
      </c>
      <c r="T1040" s="287">
        <f t="shared" si="16"/>
        <v>2016</v>
      </c>
      <c r="U1040" s="274">
        <f>VLOOKUP(A1040,'[1]SB35 Determination Data'!$B$4:$F$542,5,FALSE)</f>
        <v>2014</v>
      </c>
    </row>
    <row r="1041" spans="1:21" s="274" customFormat="1" ht="12.75" x14ac:dyDescent="0.2">
      <c r="A1041" s="282" t="s">
        <v>613</v>
      </c>
      <c r="B1041" s="282" t="s">
        <v>701</v>
      </c>
      <c r="C1041" s="282" t="s">
        <v>660</v>
      </c>
      <c r="D1041" s="283">
        <v>2017</v>
      </c>
      <c r="E1041" s="282" t="s">
        <v>650</v>
      </c>
      <c r="F1041" s="284">
        <v>73</v>
      </c>
      <c r="G1041" s="285">
        <v>0</v>
      </c>
      <c r="H1041" s="288">
        <v>0</v>
      </c>
      <c r="I1041" s="285">
        <v>0</v>
      </c>
      <c r="J1041" s="285">
        <v>52</v>
      </c>
      <c r="K1041" s="284">
        <v>18</v>
      </c>
      <c r="L1041" s="284">
        <v>0</v>
      </c>
      <c r="M1041" s="284">
        <v>18</v>
      </c>
      <c r="N1041" s="284">
        <v>61</v>
      </c>
      <c r="O1041" s="284">
        <v>20</v>
      </c>
      <c r="P1041" s="284">
        <v>137</v>
      </c>
      <c r="Q1041" s="286">
        <v>0</v>
      </c>
      <c r="R1041" s="274">
        <v>323</v>
      </c>
      <c r="S1041" s="274">
        <v>38</v>
      </c>
      <c r="T1041" s="287">
        <f t="shared" si="16"/>
        <v>2017</v>
      </c>
      <c r="U1041" s="274">
        <f>VLOOKUP(A1041,'[1]SB35 Determination Data'!$B$4:$F$542,5,FALSE)</f>
        <v>2014</v>
      </c>
    </row>
    <row r="1042" spans="1:21" s="274" customFormat="1" ht="12.75" x14ac:dyDescent="0.2">
      <c r="A1042" s="282" t="s">
        <v>615</v>
      </c>
      <c r="B1042" s="282" t="s">
        <v>631</v>
      </c>
      <c r="C1042" s="282" t="s">
        <v>660</v>
      </c>
      <c r="D1042" s="283">
        <v>2014</v>
      </c>
      <c r="E1042" s="282" t="s">
        <v>650</v>
      </c>
      <c r="F1042" s="284">
        <v>287</v>
      </c>
      <c r="G1042" s="285">
        <v>0</v>
      </c>
      <c r="H1042" s="288">
        <v>0</v>
      </c>
      <c r="I1042" s="285">
        <v>0</v>
      </c>
      <c r="J1042" s="285">
        <v>181</v>
      </c>
      <c r="K1042" s="284">
        <v>2</v>
      </c>
      <c r="L1042" s="284">
        <v>2</v>
      </c>
      <c r="M1042" s="284">
        <v>0</v>
      </c>
      <c r="N1042" s="284">
        <v>205</v>
      </c>
      <c r="O1042" s="284">
        <v>17</v>
      </c>
      <c r="P1042" s="284">
        <v>502</v>
      </c>
      <c r="Q1042" s="286">
        <v>83</v>
      </c>
      <c r="R1042" s="274">
        <v>1175</v>
      </c>
      <c r="S1042" s="274">
        <v>102</v>
      </c>
      <c r="T1042" s="287">
        <f t="shared" si="16"/>
        <v>2014</v>
      </c>
      <c r="U1042" s="274">
        <f>VLOOKUP(A1042,'[1]SB35 Determination Data'!$B$4:$F$542,5,FALSE)</f>
        <v>2014</v>
      </c>
    </row>
    <row r="1043" spans="1:21" s="274" customFormat="1" ht="12.75" x14ac:dyDescent="0.2">
      <c r="A1043" s="282" t="s">
        <v>615</v>
      </c>
      <c r="B1043" s="282" t="s">
        <v>631</v>
      </c>
      <c r="C1043" s="282" t="s">
        <v>660</v>
      </c>
      <c r="D1043" s="283">
        <v>2015</v>
      </c>
      <c r="E1043" s="282" t="s">
        <v>650</v>
      </c>
      <c r="F1043" s="284">
        <v>287</v>
      </c>
      <c r="G1043" s="285">
        <v>35</v>
      </c>
      <c r="H1043" s="288">
        <v>35</v>
      </c>
      <c r="I1043" s="285">
        <v>0</v>
      </c>
      <c r="J1043" s="285">
        <v>181</v>
      </c>
      <c r="K1043" s="284">
        <v>48</v>
      </c>
      <c r="L1043" s="284">
        <v>48</v>
      </c>
      <c r="M1043" s="284">
        <v>0</v>
      </c>
      <c r="N1043" s="289">
        <v>205</v>
      </c>
      <c r="O1043" s="284">
        <v>63</v>
      </c>
      <c r="P1043" s="284">
        <v>502</v>
      </c>
      <c r="Q1043" s="286">
        <v>174</v>
      </c>
      <c r="R1043" s="274">
        <v>1175</v>
      </c>
      <c r="S1043" s="274">
        <v>320</v>
      </c>
      <c r="T1043" s="287">
        <f t="shared" si="16"/>
        <v>2015</v>
      </c>
      <c r="U1043" s="274">
        <f>VLOOKUP(A1043,'[1]SB35 Determination Data'!$B$4:$F$542,5,FALSE)</f>
        <v>2014</v>
      </c>
    </row>
    <row r="1044" spans="1:21" s="274" customFormat="1" ht="12.75" x14ac:dyDescent="0.2">
      <c r="A1044" s="282" t="s">
        <v>615</v>
      </c>
      <c r="B1044" s="282" t="s">
        <v>631</v>
      </c>
      <c r="C1044" s="282" t="s">
        <v>660</v>
      </c>
      <c r="D1044" s="283">
        <v>2016</v>
      </c>
      <c r="E1044" s="282" t="s">
        <v>650</v>
      </c>
      <c r="F1044" s="284">
        <v>287</v>
      </c>
      <c r="G1044" s="285">
        <v>0</v>
      </c>
      <c r="H1044" s="288">
        <v>0</v>
      </c>
      <c r="I1044" s="285">
        <v>0</v>
      </c>
      <c r="J1044" s="285">
        <v>181</v>
      </c>
      <c r="K1044" s="284">
        <v>0</v>
      </c>
      <c r="L1044" s="284">
        <v>0</v>
      </c>
      <c r="M1044" s="284">
        <v>0</v>
      </c>
      <c r="N1044" s="284">
        <v>205</v>
      </c>
      <c r="O1044" s="284">
        <v>6</v>
      </c>
      <c r="P1044" s="284">
        <v>502</v>
      </c>
      <c r="Q1044" s="286">
        <v>128</v>
      </c>
      <c r="R1044" s="274">
        <v>1175</v>
      </c>
      <c r="S1044" s="274">
        <v>134</v>
      </c>
      <c r="T1044" s="287">
        <f t="shared" si="16"/>
        <v>2016</v>
      </c>
      <c r="U1044" s="274">
        <f>VLOOKUP(A1044,'[1]SB35 Determination Data'!$B$4:$F$542,5,FALSE)</f>
        <v>2014</v>
      </c>
    </row>
    <row r="1045" spans="1:21" s="274" customFormat="1" ht="12.75" x14ac:dyDescent="0.2">
      <c r="A1045" s="282" t="s">
        <v>615</v>
      </c>
      <c r="B1045" s="282" t="s">
        <v>631</v>
      </c>
      <c r="C1045" s="282" t="s">
        <v>660</v>
      </c>
      <c r="D1045" s="283">
        <v>2017</v>
      </c>
      <c r="E1045" s="282" t="s">
        <v>650</v>
      </c>
      <c r="F1045" s="284">
        <v>287</v>
      </c>
      <c r="G1045" s="285">
        <v>0</v>
      </c>
      <c r="H1045" s="288">
        <v>0</v>
      </c>
      <c r="I1045" s="285">
        <v>0</v>
      </c>
      <c r="J1045" s="285">
        <v>181</v>
      </c>
      <c r="K1045" s="284">
        <v>0</v>
      </c>
      <c r="L1045" s="284">
        <v>0</v>
      </c>
      <c r="M1045" s="284">
        <v>0</v>
      </c>
      <c r="N1045" s="284">
        <v>205</v>
      </c>
      <c r="O1045" s="284">
        <v>17</v>
      </c>
      <c r="P1045" s="284">
        <v>502</v>
      </c>
      <c r="Q1045" s="286">
        <v>135</v>
      </c>
      <c r="R1045" s="274">
        <v>1175</v>
      </c>
      <c r="S1045" s="274">
        <v>152</v>
      </c>
      <c r="T1045" s="287">
        <f t="shared" si="16"/>
        <v>2017</v>
      </c>
      <c r="U1045" s="274">
        <f>VLOOKUP(A1045,'[1]SB35 Determination Data'!$B$4:$F$542,5,FALSE)</f>
        <v>2014</v>
      </c>
    </row>
    <row r="1046" spans="1:21" s="274" customFormat="1" ht="12.75" x14ac:dyDescent="0.2">
      <c r="A1046" s="282" t="s">
        <v>616</v>
      </c>
      <c r="B1046" s="282" t="s">
        <v>542</v>
      </c>
      <c r="C1046" s="282" t="s">
        <v>649</v>
      </c>
      <c r="D1046" s="283">
        <v>2014</v>
      </c>
      <c r="E1046" s="282" t="s">
        <v>650</v>
      </c>
      <c r="F1046" s="284">
        <v>579</v>
      </c>
      <c r="G1046" s="285">
        <v>0</v>
      </c>
      <c r="H1046" s="288">
        <v>0</v>
      </c>
      <c r="I1046" s="285">
        <v>0</v>
      </c>
      <c r="J1046" s="285">
        <v>396</v>
      </c>
      <c r="K1046" s="284">
        <v>0</v>
      </c>
      <c r="L1046" s="284">
        <v>0</v>
      </c>
      <c r="M1046" s="284">
        <v>0</v>
      </c>
      <c r="N1046" s="284">
        <v>453</v>
      </c>
      <c r="O1046" s="284">
        <v>0</v>
      </c>
      <c r="P1046" s="284">
        <v>1001</v>
      </c>
      <c r="Q1046" s="286">
        <v>57</v>
      </c>
      <c r="R1046" s="274">
        <v>2429</v>
      </c>
      <c r="S1046" s="274">
        <v>57</v>
      </c>
      <c r="T1046" s="287">
        <f t="shared" si="16"/>
        <v>2014</v>
      </c>
      <c r="U1046" s="274">
        <f>VLOOKUP(A1046,'[1]SB35 Determination Data'!$B$4:$F$542,5,FALSE)</f>
        <v>2014</v>
      </c>
    </row>
    <row r="1047" spans="1:21" s="274" customFormat="1" ht="12.75" x14ac:dyDescent="0.2">
      <c r="A1047" s="282" t="s">
        <v>616</v>
      </c>
      <c r="B1047" s="282" t="s">
        <v>542</v>
      </c>
      <c r="C1047" s="282" t="s">
        <v>649</v>
      </c>
      <c r="D1047" s="283">
        <v>2015</v>
      </c>
      <c r="E1047" s="282" t="s">
        <v>650</v>
      </c>
      <c r="F1047" s="284">
        <v>579</v>
      </c>
      <c r="G1047" s="285">
        <v>0</v>
      </c>
      <c r="H1047" s="288">
        <v>0</v>
      </c>
      <c r="I1047" s="285">
        <v>0</v>
      </c>
      <c r="J1047" s="285">
        <v>396</v>
      </c>
      <c r="K1047" s="284">
        <v>0</v>
      </c>
      <c r="L1047" s="284">
        <v>0</v>
      </c>
      <c r="M1047" s="284">
        <v>0</v>
      </c>
      <c r="N1047" s="284">
        <v>453</v>
      </c>
      <c r="O1047" s="284">
        <v>2</v>
      </c>
      <c r="P1047" s="284">
        <v>1001</v>
      </c>
      <c r="Q1047" s="286">
        <v>68</v>
      </c>
      <c r="R1047" s="274">
        <v>2429</v>
      </c>
      <c r="S1047" s="274">
        <v>70</v>
      </c>
      <c r="T1047" s="287">
        <f t="shared" si="16"/>
        <v>2015</v>
      </c>
      <c r="U1047" s="274">
        <f>VLOOKUP(A1047,'[1]SB35 Determination Data'!$B$4:$F$542,5,FALSE)</f>
        <v>2014</v>
      </c>
    </row>
    <row r="1048" spans="1:21" s="274" customFormat="1" ht="12.75" x14ac:dyDescent="0.2">
      <c r="A1048" s="282" t="s">
        <v>616</v>
      </c>
      <c r="B1048" s="282" t="s">
        <v>542</v>
      </c>
      <c r="C1048" s="282" t="s">
        <v>649</v>
      </c>
      <c r="D1048" s="283">
        <v>2016</v>
      </c>
      <c r="E1048" s="282" t="s">
        <v>650</v>
      </c>
      <c r="F1048" s="284">
        <v>579</v>
      </c>
      <c r="G1048" s="285">
        <v>0</v>
      </c>
      <c r="H1048" s="288">
        <v>0</v>
      </c>
      <c r="I1048" s="285">
        <v>0</v>
      </c>
      <c r="J1048" s="285">
        <v>396</v>
      </c>
      <c r="K1048" s="284">
        <v>0</v>
      </c>
      <c r="L1048" s="284">
        <v>0</v>
      </c>
      <c r="M1048" s="284">
        <v>0</v>
      </c>
      <c r="N1048" s="284">
        <v>453</v>
      </c>
      <c r="O1048" s="284">
        <v>2</v>
      </c>
      <c r="P1048" s="284">
        <v>1001</v>
      </c>
      <c r="Q1048" s="286">
        <v>42</v>
      </c>
      <c r="R1048" s="274">
        <v>2429</v>
      </c>
      <c r="S1048" s="274">
        <v>44</v>
      </c>
      <c r="T1048" s="287">
        <f t="shared" si="16"/>
        <v>2016</v>
      </c>
      <c r="U1048" s="274">
        <f>VLOOKUP(A1048,'[1]SB35 Determination Data'!$B$4:$F$542,5,FALSE)</f>
        <v>2014</v>
      </c>
    </row>
    <row r="1049" spans="1:21" s="274" customFormat="1" ht="12.75" x14ac:dyDescent="0.2">
      <c r="A1049" s="282" t="s">
        <v>616</v>
      </c>
      <c r="B1049" s="282" t="s">
        <v>542</v>
      </c>
      <c r="C1049" s="282" t="s">
        <v>649</v>
      </c>
      <c r="D1049" s="283">
        <v>2017</v>
      </c>
      <c r="E1049" s="282" t="s">
        <v>650</v>
      </c>
      <c r="F1049" s="284">
        <v>579</v>
      </c>
      <c r="G1049" s="285">
        <v>0</v>
      </c>
      <c r="H1049" s="288">
        <v>0</v>
      </c>
      <c r="I1049" s="285">
        <v>0</v>
      </c>
      <c r="J1049" s="285">
        <v>396</v>
      </c>
      <c r="K1049" s="284">
        <v>0</v>
      </c>
      <c r="L1049" s="284">
        <v>0</v>
      </c>
      <c r="M1049" s="284">
        <v>0</v>
      </c>
      <c r="N1049" s="284">
        <v>453</v>
      </c>
      <c r="O1049" s="284">
        <v>0</v>
      </c>
      <c r="P1049" s="284">
        <v>1001</v>
      </c>
      <c r="Q1049" s="286">
        <v>96</v>
      </c>
      <c r="R1049" s="274">
        <v>2429</v>
      </c>
      <c r="S1049" s="274">
        <v>96</v>
      </c>
      <c r="T1049" s="287">
        <f t="shared" si="16"/>
        <v>2017</v>
      </c>
      <c r="U1049" s="274">
        <f>VLOOKUP(A1049,'[1]SB35 Determination Data'!$B$4:$F$542,5,FALSE)</f>
        <v>2014</v>
      </c>
    </row>
    <row r="1050" spans="1:21" s="274" customFormat="1" ht="12.75" x14ac:dyDescent="0.2">
      <c r="A1050" s="282" t="s">
        <v>495</v>
      </c>
      <c r="B1050" s="282" t="s">
        <v>262</v>
      </c>
      <c r="C1050" s="282" t="s">
        <v>649</v>
      </c>
      <c r="D1050" s="283">
        <v>2014</v>
      </c>
      <c r="E1050" s="282" t="s">
        <v>650</v>
      </c>
      <c r="F1050" s="284">
        <v>372</v>
      </c>
      <c r="G1050" s="285">
        <v>0</v>
      </c>
      <c r="H1050" s="288">
        <v>0</v>
      </c>
      <c r="I1050" s="285">
        <v>0</v>
      </c>
      <c r="J1050" s="285">
        <v>223</v>
      </c>
      <c r="K1050" s="284">
        <v>0</v>
      </c>
      <c r="L1050" s="284">
        <v>0</v>
      </c>
      <c r="M1050" s="284">
        <v>0</v>
      </c>
      <c r="N1050" s="284">
        <v>238</v>
      </c>
      <c r="O1050" s="284">
        <v>0</v>
      </c>
      <c r="P1050" s="284">
        <v>564</v>
      </c>
      <c r="Q1050" s="286">
        <v>35</v>
      </c>
      <c r="R1050" s="274">
        <v>1397</v>
      </c>
      <c r="S1050" s="274">
        <v>35</v>
      </c>
      <c r="T1050" s="287">
        <f t="shared" si="16"/>
        <v>2014</v>
      </c>
      <c r="U1050" s="274">
        <f>VLOOKUP(A1050,'[1]SB35 Determination Data'!$B$4:$F$542,5,FALSE)</f>
        <v>2014</v>
      </c>
    </row>
    <row r="1051" spans="1:21" s="274" customFormat="1" ht="12.75" x14ac:dyDescent="0.2">
      <c r="A1051" s="282" t="s">
        <v>495</v>
      </c>
      <c r="B1051" s="282" t="s">
        <v>262</v>
      </c>
      <c r="C1051" s="282" t="s">
        <v>649</v>
      </c>
      <c r="D1051" s="283">
        <v>2015</v>
      </c>
      <c r="E1051" s="282" t="s">
        <v>650</v>
      </c>
      <c r="F1051" s="284">
        <v>372</v>
      </c>
      <c r="G1051" s="285">
        <v>0</v>
      </c>
      <c r="H1051" s="288">
        <v>0</v>
      </c>
      <c r="I1051" s="285">
        <v>0</v>
      </c>
      <c r="J1051" s="285">
        <v>223</v>
      </c>
      <c r="K1051" s="284">
        <v>0</v>
      </c>
      <c r="L1051" s="284">
        <v>0</v>
      </c>
      <c r="M1051" s="284">
        <v>0</v>
      </c>
      <c r="N1051" s="284">
        <v>238</v>
      </c>
      <c r="O1051" s="284">
        <v>0</v>
      </c>
      <c r="P1051" s="284">
        <v>564</v>
      </c>
      <c r="Q1051" s="286">
        <v>68</v>
      </c>
      <c r="R1051" s="274">
        <v>1397</v>
      </c>
      <c r="S1051" s="274">
        <v>68</v>
      </c>
      <c r="T1051" s="287">
        <f t="shared" si="16"/>
        <v>2015</v>
      </c>
      <c r="U1051" s="274">
        <f>VLOOKUP(A1051,'[1]SB35 Determination Data'!$B$4:$F$542,5,FALSE)</f>
        <v>2014</v>
      </c>
    </row>
    <row r="1052" spans="1:21" s="274" customFormat="1" ht="12.75" x14ac:dyDescent="0.2">
      <c r="A1052" s="282" t="s">
        <v>495</v>
      </c>
      <c r="B1052" s="282" t="s">
        <v>262</v>
      </c>
      <c r="C1052" s="282" t="s">
        <v>649</v>
      </c>
      <c r="D1052" s="283">
        <v>2016</v>
      </c>
      <c r="E1052" s="282" t="s">
        <v>650</v>
      </c>
      <c r="F1052" s="284">
        <v>372</v>
      </c>
      <c r="G1052" s="285">
        <v>0</v>
      </c>
      <c r="H1052" s="288">
        <v>0</v>
      </c>
      <c r="I1052" s="285">
        <v>0</v>
      </c>
      <c r="J1052" s="285">
        <v>223</v>
      </c>
      <c r="K1052" s="284">
        <v>0</v>
      </c>
      <c r="L1052" s="284">
        <v>0</v>
      </c>
      <c r="M1052" s="284">
        <v>0</v>
      </c>
      <c r="N1052" s="284">
        <v>238</v>
      </c>
      <c r="O1052" s="284">
        <v>0</v>
      </c>
      <c r="P1052" s="284">
        <v>564</v>
      </c>
      <c r="Q1052" s="286">
        <v>21</v>
      </c>
      <c r="R1052" s="274">
        <v>1397</v>
      </c>
      <c r="S1052" s="274">
        <v>21</v>
      </c>
      <c r="T1052" s="287">
        <f t="shared" si="16"/>
        <v>2016</v>
      </c>
      <c r="U1052" s="274">
        <f>VLOOKUP(A1052,'[1]SB35 Determination Data'!$B$4:$F$542,5,FALSE)</f>
        <v>2014</v>
      </c>
    </row>
    <row r="1053" spans="1:21" s="274" customFormat="1" ht="12.75" x14ac:dyDescent="0.2">
      <c r="A1053" s="282" t="s">
        <v>495</v>
      </c>
      <c r="B1053" s="282" t="s">
        <v>262</v>
      </c>
      <c r="C1053" s="282" t="s">
        <v>649</v>
      </c>
      <c r="D1053" s="283">
        <v>2017</v>
      </c>
      <c r="E1053" s="282" t="s">
        <v>650</v>
      </c>
      <c r="F1053" s="284">
        <v>372</v>
      </c>
      <c r="G1053" s="285">
        <v>0</v>
      </c>
      <c r="H1053" s="288">
        <v>0</v>
      </c>
      <c r="I1053" s="285">
        <v>0</v>
      </c>
      <c r="J1053" s="285">
        <v>223</v>
      </c>
      <c r="K1053" s="284">
        <v>0</v>
      </c>
      <c r="L1053" s="284">
        <v>0</v>
      </c>
      <c r="M1053" s="284">
        <v>0</v>
      </c>
      <c r="N1053" s="284">
        <v>238</v>
      </c>
      <c r="O1053" s="284">
        <v>0</v>
      </c>
      <c r="P1053" s="284">
        <v>564</v>
      </c>
      <c r="Q1053" s="286">
        <v>0</v>
      </c>
      <c r="R1053" s="274">
        <v>1397</v>
      </c>
      <c r="S1053" s="274">
        <v>0</v>
      </c>
      <c r="T1053" s="287">
        <f t="shared" si="16"/>
        <v>2017</v>
      </c>
      <c r="U1053" s="274">
        <f>VLOOKUP(A1053,'[1]SB35 Determination Data'!$B$4:$F$542,5,FALSE)</f>
        <v>2014</v>
      </c>
    </row>
    <row r="1054" spans="1:21" s="274" customFormat="1" ht="12.75" x14ac:dyDescent="0.2">
      <c r="A1054" s="282" t="s">
        <v>618</v>
      </c>
      <c r="B1054" s="282" t="s">
        <v>595</v>
      </c>
      <c r="C1054" s="282" t="s">
        <v>654</v>
      </c>
      <c r="D1054" s="283">
        <v>2015</v>
      </c>
      <c r="E1054" s="282" t="s">
        <v>650</v>
      </c>
      <c r="F1054" s="284">
        <v>706</v>
      </c>
      <c r="G1054" s="285">
        <v>0</v>
      </c>
      <c r="H1054" s="288">
        <v>0</v>
      </c>
      <c r="I1054" s="285">
        <v>0</v>
      </c>
      <c r="J1054" s="285">
        <v>429</v>
      </c>
      <c r="K1054" s="284">
        <v>2</v>
      </c>
      <c r="L1054" s="284">
        <v>0</v>
      </c>
      <c r="M1054" s="284">
        <v>2</v>
      </c>
      <c r="N1054" s="289">
        <v>502</v>
      </c>
      <c r="O1054" s="284">
        <v>0</v>
      </c>
      <c r="P1054" s="284">
        <v>1152</v>
      </c>
      <c r="Q1054" s="286">
        <v>1126</v>
      </c>
      <c r="R1054" s="274">
        <v>2789</v>
      </c>
      <c r="S1054" s="274">
        <v>1128</v>
      </c>
      <c r="T1054" s="287">
        <f t="shared" si="16"/>
        <v>2015</v>
      </c>
      <c r="U1054" s="274">
        <f>VLOOKUP(A1054,'[1]SB35 Determination Data'!$B$4:$F$542,5,FALSE)</f>
        <v>2015</v>
      </c>
    </row>
    <row r="1055" spans="1:21" s="274" customFormat="1" ht="12.75" x14ac:dyDescent="0.2">
      <c r="A1055" s="282" t="s">
        <v>618</v>
      </c>
      <c r="B1055" s="282" t="s">
        <v>595</v>
      </c>
      <c r="C1055" s="282" t="s">
        <v>654</v>
      </c>
      <c r="D1055" s="283">
        <v>2016</v>
      </c>
      <c r="E1055" s="282" t="s">
        <v>650</v>
      </c>
      <c r="F1055" s="284">
        <v>706</v>
      </c>
      <c r="G1055" s="285">
        <v>7</v>
      </c>
      <c r="H1055" s="288">
        <v>7</v>
      </c>
      <c r="I1055" s="285">
        <v>0</v>
      </c>
      <c r="J1055" s="285">
        <v>429</v>
      </c>
      <c r="K1055" s="284">
        <v>16</v>
      </c>
      <c r="L1055" s="284">
        <v>0</v>
      </c>
      <c r="M1055" s="284">
        <v>16</v>
      </c>
      <c r="N1055" s="284">
        <v>502</v>
      </c>
      <c r="O1055" s="284">
        <v>0</v>
      </c>
      <c r="P1055" s="284">
        <v>1152</v>
      </c>
      <c r="Q1055" s="286">
        <v>240</v>
      </c>
      <c r="R1055" s="274">
        <v>2789</v>
      </c>
      <c r="S1055" s="274">
        <v>263</v>
      </c>
      <c r="T1055" s="287">
        <f t="shared" si="16"/>
        <v>2016</v>
      </c>
      <c r="U1055" s="274">
        <f>VLOOKUP(A1055,'[1]SB35 Determination Data'!$B$4:$F$542,5,FALSE)</f>
        <v>2015</v>
      </c>
    </row>
    <row r="1056" spans="1:21" s="274" customFormat="1" ht="12.75" x14ac:dyDescent="0.2">
      <c r="A1056" s="282" t="s">
        <v>618</v>
      </c>
      <c r="B1056" s="282" t="s">
        <v>595</v>
      </c>
      <c r="C1056" s="282" t="s">
        <v>654</v>
      </c>
      <c r="D1056" s="283">
        <v>2017</v>
      </c>
      <c r="E1056" s="282" t="s">
        <v>650</v>
      </c>
      <c r="F1056" s="284">
        <v>706</v>
      </c>
      <c r="G1056" s="285">
        <v>0</v>
      </c>
      <c r="H1056" s="288">
        <v>0</v>
      </c>
      <c r="I1056" s="285">
        <v>0</v>
      </c>
      <c r="J1056" s="285">
        <v>429</v>
      </c>
      <c r="K1056" s="284">
        <v>36</v>
      </c>
      <c r="L1056" s="284">
        <v>36</v>
      </c>
      <c r="M1056" s="284">
        <v>0</v>
      </c>
      <c r="N1056" s="284">
        <v>502</v>
      </c>
      <c r="O1056" s="284">
        <v>0</v>
      </c>
      <c r="P1056" s="284">
        <v>1152</v>
      </c>
      <c r="Q1056" s="286">
        <v>8</v>
      </c>
      <c r="R1056" s="274">
        <v>2789</v>
      </c>
      <c r="S1056" s="274">
        <v>44</v>
      </c>
      <c r="T1056" s="287">
        <f t="shared" si="16"/>
        <v>2017</v>
      </c>
      <c r="U1056" s="274">
        <f>VLOOKUP(A1056,'[1]SB35 Determination Data'!$B$4:$F$542,5,FALSE)</f>
        <v>2015</v>
      </c>
    </row>
    <row r="1057" spans="1:21" s="274" customFormat="1" ht="12.75" x14ac:dyDescent="0.2">
      <c r="A1057" s="282" t="s">
        <v>370</v>
      </c>
      <c r="B1057" s="282" t="s">
        <v>125</v>
      </c>
      <c r="C1057" s="282" t="s">
        <v>531</v>
      </c>
      <c r="D1057" s="283">
        <v>2015</v>
      </c>
      <c r="E1057" s="282" t="s">
        <v>650</v>
      </c>
      <c r="F1057" s="284">
        <v>393</v>
      </c>
      <c r="G1057" s="285">
        <v>55</v>
      </c>
      <c r="H1057" s="288">
        <v>55</v>
      </c>
      <c r="I1057" s="285">
        <v>0</v>
      </c>
      <c r="J1057" s="285">
        <v>204</v>
      </c>
      <c r="K1057" s="284">
        <v>0</v>
      </c>
      <c r="L1057" s="284">
        <v>0</v>
      </c>
      <c r="M1057" s="284">
        <v>0</v>
      </c>
      <c r="N1057" s="284">
        <v>161</v>
      </c>
      <c r="O1057" s="284">
        <v>3</v>
      </c>
      <c r="P1057" s="284">
        <v>553</v>
      </c>
      <c r="Q1057" s="286">
        <v>5</v>
      </c>
      <c r="R1057" s="274">
        <v>1311</v>
      </c>
      <c r="S1057" s="274">
        <v>63</v>
      </c>
      <c r="T1057" s="287">
        <f t="shared" si="16"/>
        <v>2016</v>
      </c>
      <c r="U1057" s="274">
        <f>VLOOKUP(A1057,'[1]SB35 Determination Data'!$B$4:$F$542,5,FALSE)</f>
        <v>2016</v>
      </c>
    </row>
    <row r="1058" spans="1:21" s="274" customFormat="1" ht="12.75" x14ac:dyDescent="0.2">
      <c r="A1058" s="282" t="s">
        <v>370</v>
      </c>
      <c r="B1058" s="282" t="s">
        <v>125</v>
      </c>
      <c r="C1058" s="282" t="s">
        <v>531</v>
      </c>
      <c r="D1058" s="283">
        <v>2016</v>
      </c>
      <c r="E1058" s="282" t="s">
        <v>650</v>
      </c>
      <c r="F1058" s="284">
        <v>393</v>
      </c>
      <c r="G1058" s="285">
        <v>0</v>
      </c>
      <c r="H1058" s="288">
        <v>0</v>
      </c>
      <c r="I1058" s="285">
        <v>0</v>
      </c>
      <c r="J1058" s="285">
        <v>204</v>
      </c>
      <c r="K1058" s="284">
        <v>0</v>
      </c>
      <c r="L1058" s="284">
        <v>0</v>
      </c>
      <c r="M1058" s="284">
        <v>0</v>
      </c>
      <c r="N1058" s="284">
        <v>161</v>
      </c>
      <c r="O1058" s="284">
        <v>9</v>
      </c>
      <c r="P1058" s="284">
        <v>553</v>
      </c>
      <c r="Q1058" s="286">
        <v>0</v>
      </c>
      <c r="R1058" s="274">
        <v>1311</v>
      </c>
      <c r="S1058" s="274">
        <v>9</v>
      </c>
      <c r="T1058" s="287">
        <f t="shared" si="16"/>
        <v>2016</v>
      </c>
      <c r="U1058" s="274">
        <f>VLOOKUP(A1058,'[1]SB35 Determination Data'!$B$4:$F$542,5,FALSE)</f>
        <v>2016</v>
      </c>
    </row>
    <row r="1059" spans="1:21" s="274" customFormat="1" ht="12.75" x14ac:dyDescent="0.2">
      <c r="A1059" s="282" t="s">
        <v>370</v>
      </c>
      <c r="B1059" s="282" t="s">
        <v>125</v>
      </c>
      <c r="C1059" s="282" t="s">
        <v>531</v>
      </c>
      <c r="D1059" s="283">
        <v>2017</v>
      </c>
      <c r="E1059" s="282" t="s">
        <v>650</v>
      </c>
      <c r="F1059" s="284">
        <v>393</v>
      </c>
      <c r="G1059" s="285">
        <v>0</v>
      </c>
      <c r="H1059" s="288">
        <v>0</v>
      </c>
      <c r="I1059" s="285">
        <v>0</v>
      </c>
      <c r="J1059" s="285">
        <v>204</v>
      </c>
      <c r="K1059" s="284">
        <v>0</v>
      </c>
      <c r="L1059" s="284">
        <v>0</v>
      </c>
      <c r="M1059" s="284">
        <v>0</v>
      </c>
      <c r="N1059" s="289">
        <v>161</v>
      </c>
      <c r="O1059" s="284">
        <v>3</v>
      </c>
      <c r="P1059" s="284">
        <v>553</v>
      </c>
      <c r="Q1059" s="286">
        <v>1</v>
      </c>
      <c r="R1059" s="274">
        <v>1311</v>
      </c>
      <c r="S1059" s="274">
        <v>4</v>
      </c>
      <c r="T1059" s="287">
        <f t="shared" si="16"/>
        <v>2017</v>
      </c>
      <c r="U1059" s="274">
        <f>VLOOKUP(A1059,'[1]SB35 Determination Data'!$B$4:$F$542,5,FALSE)</f>
        <v>2016</v>
      </c>
    </row>
    <row r="1060" spans="1:21" s="274" customFormat="1" ht="12.75" x14ac:dyDescent="0.2">
      <c r="A1060" s="282" t="s">
        <v>619</v>
      </c>
      <c r="B1060" s="282" t="s">
        <v>542</v>
      </c>
      <c r="C1060" s="282" t="s">
        <v>649</v>
      </c>
      <c r="D1060" s="283">
        <v>2014</v>
      </c>
      <c r="E1060" s="282" t="s">
        <v>650</v>
      </c>
      <c r="F1060" s="284">
        <v>636</v>
      </c>
      <c r="G1060" s="285">
        <v>0</v>
      </c>
      <c r="H1060" s="288">
        <v>0</v>
      </c>
      <c r="I1060" s="285">
        <v>0</v>
      </c>
      <c r="J1060" s="285">
        <v>432</v>
      </c>
      <c r="K1060" s="284">
        <v>0</v>
      </c>
      <c r="L1060" s="284">
        <v>0</v>
      </c>
      <c r="M1060" s="284">
        <v>0</v>
      </c>
      <c r="N1060" s="284">
        <v>496</v>
      </c>
      <c r="O1060" s="284">
        <v>0</v>
      </c>
      <c r="P1060" s="284">
        <v>1151</v>
      </c>
      <c r="Q1060" s="286">
        <v>76</v>
      </c>
      <c r="R1060" s="274">
        <v>2715</v>
      </c>
      <c r="S1060" s="274">
        <v>76</v>
      </c>
      <c r="T1060" s="287">
        <f t="shared" si="16"/>
        <v>2014</v>
      </c>
      <c r="U1060" s="274">
        <f>VLOOKUP(A1060,'[1]SB35 Determination Data'!$B$4:$F$542,5,FALSE)</f>
        <v>2014</v>
      </c>
    </row>
    <row r="1061" spans="1:21" s="274" customFormat="1" ht="12.75" x14ac:dyDescent="0.2">
      <c r="A1061" s="282" t="s">
        <v>619</v>
      </c>
      <c r="B1061" s="282" t="s">
        <v>542</v>
      </c>
      <c r="C1061" s="282" t="s">
        <v>649</v>
      </c>
      <c r="D1061" s="283">
        <v>2015</v>
      </c>
      <c r="E1061" s="282" t="s">
        <v>650</v>
      </c>
      <c r="F1061" s="284">
        <v>636</v>
      </c>
      <c r="G1061" s="285">
        <v>0</v>
      </c>
      <c r="H1061" s="288">
        <v>0</v>
      </c>
      <c r="I1061" s="285">
        <v>0</v>
      </c>
      <c r="J1061" s="285">
        <v>432</v>
      </c>
      <c r="K1061" s="284">
        <v>0</v>
      </c>
      <c r="L1061" s="284">
        <v>0</v>
      </c>
      <c r="M1061" s="284">
        <v>0</v>
      </c>
      <c r="N1061" s="284">
        <v>496</v>
      </c>
      <c r="O1061" s="284">
        <v>0</v>
      </c>
      <c r="P1061" s="284">
        <v>1151</v>
      </c>
      <c r="Q1061" s="286">
        <v>8</v>
      </c>
      <c r="R1061" s="274">
        <v>2715</v>
      </c>
      <c r="S1061" s="274">
        <v>8</v>
      </c>
      <c r="T1061" s="287">
        <f t="shared" si="16"/>
        <v>2015</v>
      </c>
      <c r="U1061" s="274">
        <f>VLOOKUP(A1061,'[1]SB35 Determination Data'!$B$4:$F$542,5,FALSE)</f>
        <v>2014</v>
      </c>
    </row>
    <row r="1062" spans="1:21" s="274" customFormat="1" ht="12.75" x14ac:dyDescent="0.2">
      <c r="A1062" s="282" t="s">
        <v>619</v>
      </c>
      <c r="B1062" s="282" t="s">
        <v>542</v>
      </c>
      <c r="C1062" s="282" t="s">
        <v>649</v>
      </c>
      <c r="D1062" s="283">
        <v>2016</v>
      </c>
      <c r="E1062" s="282" t="s">
        <v>650</v>
      </c>
      <c r="F1062" s="284">
        <v>636</v>
      </c>
      <c r="G1062" s="285">
        <v>0</v>
      </c>
      <c r="H1062" s="288">
        <v>0</v>
      </c>
      <c r="I1062" s="285">
        <v>0</v>
      </c>
      <c r="J1062" s="285">
        <v>432</v>
      </c>
      <c r="K1062" s="284">
        <v>0</v>
      </c>
      <c r="L1062" s="284">
        <v>0</v>
      </c>
      <c r="M1062" s="284">
        <v>0</v>
      </c>
      <c r="N1062" s="284">
        <v>496</v>
      </c>
      <c r="O1062" s="284">
        <v>0</v>
      </c>
      <c r="P1062" s="284">
        <v>1151</v>
      </c>
      <c r="Q1062" s="286">
        <v>5</v>
      </c>
      <c r="R1062" s="274">
        <v>2715</v>
      </c>
      <c r="S1062" s="274">
        <v>5</v>
      </c>
      <c r="T1062" s="287">
        <f t="shared" si="16"/>
        <v>2016</v>
      </c>
      <c r="U1062" s="274">
        <f>VLOOKUP(A1062,'[1]SB35 Determination Data'!$B$4:$F$542,5,FALSE)</f>
        <v>2014</v>
      </c>
    </row>
    <row r="1063" spans="1:21" s="274" customFormat="1" ht="12.75" x14ac:dyDescent="0.2">
      <c r="A1063" s="282" t="s">
        <v>619</v>
      </c>
      <c r="B1063" s="282" t="s">
        <v>542</v>
      </c>
      <c r="C1063" s="282" t="s">
        <v>649</v>
      </c>
      <c r="D1063" s="283">
        <v>2017</v>
      </c>
      <c r="E1063" s="282" t="s">
        <v>650</v>
      </c>
      <c r="F1063" s="284">
        <v>636</v>
      </c>
      <c r="G1063" s="285">
        <v>0</v>
      </c>
      <c r="H1063" s="288">
        <v>0</v>
      </c>
      <c r="I1063" s="285">
        <v>0</v>
      </c>
      <c r="J1063" s="285">
        <v>432</v>
      </c>
      <c r="K1063" s="284">
        <v>0</v>
      </c>
      <c r="L1063" s="284">
        <v>0</v>
      </c>
      <c r="M1063" s="284">
        <v>0</v>
      </c>
      <c r="N1063" s="284">
        <v>496</v>
      </c>
      <c r="O1063" s="284">
        <v>0</v>
      </c>
      <c r="P1063" s="284">
        <v>1151</v>
      </c>
      <c r="Q1063" s="286">
        <v>7</v>
      </c>
      <c r="R1063" s="274">
        <v>2715</v>
      </c>
      <c r="S1063" s="274">
        <v>7</v>
      </c>
      <c r="T1063" s="287">
        <f t="shared" si="16"/>
        <v>2017</v>
      </c>
      <c r="U1063" s="274">
        <f>VLOOKUP(A1063,'[1]SB35 Determination Data'!$B$4:$F$542,5,FALSE)</f>
        <v>2014</v>
      </c>
    </row>
    <row r="1064" spans="1:21" s="274" customFormat="1" ht="12.75" x14ac:dyDescent="0.2">
      <c r="A1064" s="282" t="s">
        <v>311</v>
      </c>
      <c r="B1064" s="282" t="s">
        <v>120</v>
      </c>
      <c r="C1064" s="282" t="s">
        <v>654</v>
      </c>
      <c r="D1064" s="283">
        <v>2015</v>
      </c>
      <c r="E1064" s="282" t="s">
        <v>650</v>
      </c>
      <c r="F1064" s="284">
        <v>438</v>
      </c>
      <c r="G1064" s="285">
        <v>0</v>
      </c>
      <c r="H1064" s="288">
        <v>0</v>
      </c>
      <c r="I1064" s="285">
        <v>0</v>
      </c>
      <c r="J1064" s="285">
        <v>305</v>
      </c>
      <c r="K1064" s="284">
        <v>79</v>
      </c>
      <c r="L1064" s="284">
        <v>79</v>
      </c>
      <c r="M1064" s="284">
        <v>0</v>
      </c>
      <c r="N1064" s="289">
        <v>410</v>
      </c>
      <c r="O1064" s="284">
        <v>0</v>
      </c>
      <c r="P1064" s="284">
        <v>1282</v>
      </c>
      <c r="Q1064" s="286">
        <v>112</v>
      </c>
      <c r="R1064" s="274">
        <v>2435</v>
      </c>
      <c r="S1064" s="274">
        <v>191</v>
      </c>
      <c r="T1064" s="287">
        <f t="shared" si="16"/>
        <v>2015</v>
      </c>
      <c r="U1064" s="274">
        <f>VLOOKUP(A1064,'[1]SB35 Determination Data'!$B$4:$F$542,5,FALSE)</f>
        <v>2015</v>
      </c>
    </row>
    <row r="1065" spans="1:21" s="274" customFormat="1" ht="12.75" x14ac:dyDescent="0.2">
      <c r="A1065" s="282" t="s">
        <v>311</v>
      </c>
      <c r="B1065" s="282" t="s">
        <v>120</v>
      </c>
      <c r="C1065" s="282" t="s">
        <v>654</v>
      </c>
      <c r="D1065" s="283">
        <v>2016</v>
      </c>
      <c r="E1065" s="282" t="s">
        <v>650</v>
      </c>
      <c r="F1065" s="284">
        <v>438</v>
      </c>
      <c r="G1065" s="285">
        <v>0</v>
      </c>
      <c r="H1065" s="288">
        <v>0</v>
      </c>
      <c r="I1065" s="285">
        <v>0</v>
      </c>
      <c r="J1065" s="285">
        <v>305</v>
      </c>
      <c r="K1065" s="284">
        <v>0</v>
      </c>
      <c r="L1065" s="284">
        <v>0</v>
      </c>
      <c r="M1065" s="284">
        <v>0</v>
      </c>
      <c r="N1065" s="284">
        <v>410</v>
      </c>
      <c r="O1065" s="284">
        <v>0</v>
      </c>
      <c r="P1065" s="284">
        <v>1282</v>
      </c>
      <c r="Q1065" s="286">
        <v>56</v>
      </c>
      <c r="R1065" s="274">
        <v>2435</v>
      </c>
      <c r="S1065" s="274">
        <v>56</v>
      </c>
      <c r="T1065" s="287">
        <f t="shared" si="16"/>
        <v>2016</v>
      </c>
      <c r="U1065" s="274">
        <f>VLOOKUP(A1065,'[1]SB35 Determination Data'!$B$4:$F$542,5,FALSE)</f>
        <v>2015</v>
      </c>
    </row>
    <row r="1066" spans="1:21" s="274" customFormat="1" ht="12.75" x14ac:dyDescent="0.2">
      <c r="A1066" s="282" t="s">
        <v>311</v>
      </c>
      <c r="B1066" s="282" t="s">
        <v>120</v>
      </c>
      <c r="C1066" s="282" t="s">
        <v>654</v>
      </c>
      <c r="D1066" s="283">
        <v>2017</v>
      </c>
      <c r="E1066" s="282" t="s">
        <v>650</v>
      </c>
      <c r="F1066" s="284">
        <v>438</v>
      </c>
      <c r="G1066" s="285">
        <v>79</v>
      </c>
      <c r="H1066" s="288">
        <v>79</v>
      </c>
      <c r="I1066" s="285">
        <v>0</v>
      </c>
      <c r="J1066" s="285">
        <v>305</v>
      </c>
      <c r="K1066" s="284">
        <v>0</v>
      </c>
      <c r="L1066" s="284">
        <v>0</v>
      </c>
      <c r="M1066" s="284">
        <v>0</v>
      </c>
      <c r="N1066" s="284">
        <v>410</v>
      </c>
      <c r="O1066" s="284">
        <v>0</v>
      </c>
      <c r="P1066" s="284">
        <v>1282</v>
      </c>
      <c r="Q1066" s="286">
        <v>59</v>
      </c>
      <c r="R1066" s="274">
        <v>2435</v>
      </c>
      <c r="S1066" s="274">
        <v>138</v>
      </c>
      <c r="T1066" s="287">
        <f t="shared" si="16"/>
        <v>2017</v>
      </c>
      <c r="U1066" s="274">
        <f>VLOOKUP(A1066,'[1]SB35 Determination Data'!$B$4:$F$542,5,FALSE)</f>
        <v>2015</v>
      </c>
    </row>
    <row r="1067" spans="1:21" s="274" customFormat="1" ht="12.75" x14ac:dyDescent="0.2">
      <c r="A1067" s="282" t="s">
        <v>622</v>
      </c>
      <c r="B1067" s="282" t="s">
        <v>663</v>
      </c>
      <c r="C1067" s="282" t="s">
        <v>654</v>
      </c>
      <c r="D1067" s="283">
        <v>2015</v>
      </c>
      <c r="E1067" s="282" t="s">
        <v>650</v>
      </c>
      <c r="F1067" s="284">
        <v>45</v>
      </c>
      <c r="G1067" s="285">
        <v>0</v>
      </c>
      <c r="H1067" s="288">
        <v>0</v>
      </c>
      <c r="I1067" s="285">
        <v>0</v>
      </c>
      <c r="J1067" s="285">
        <v>36</v>
      </c>
      <c r="K1067" s="284">
        <v>0</v>
      </c>
      <c r="L1067" s="284">
        <v>0</v>
      </c>
      <c r="M1067" s="284">
        <v>0</v>
      </c>
      <c r="N1067" s="284">
        <v>48</v>
      </c>
      <c r="O1067" s="284">
        <v>67</v>
      </c>
      <c r="P1067" s="284">
        <v>170</v>
      </c>
      <c r="Q1067" s="286">
        <v>80</v>
      </c>
      <c r="R1067" s="274">
        <v>299</v>
      </c>
      <c r="S1067" s="274">
        <v>147</v>
      </c>
      <c r="T1067" s="287">
        <f t="shared" si="16"/>
        <v>2015</v>
      </c>
      <c r="U1067" s="274">
        <f>VLOOKUP(A1067,'[1]SB35 Determination Data'!$B$4:$F$542,5,FALSE)</f>
        <v>2015</v>
      </c>
    </row>
    <row r="1068" spans="1:21" s="274" customFormat="1" ht="12.75" x14ac:dyDescent="0.2">
      <c r="A1068" s="282" t="s">
        <v>622</v>
      </c>
      <c r="B1068" s="282" t="s">
        <v>663</v>
      </c>
      <c r="C1068" s="282" t="s">
        <v>654</v>
      </c>
      <c r="D1068" s="283">
        <v>2016</v>
      </c>
      <c r="E1068" s="282" t="s">
        <v>650</v>
      </c>
      <c r="F1068" s="284">
        <v>45</v>
      </c>
      <c r="G1068" s="285">
        <v>0</v>
      </c>
      <c r="H1068" s="288">
        <v>0</v>
      </c>
      <c r="I1068" s="285">
        <v>0</v>
      </c>
      <c r="J1068" s="285">
        <v>36</v>
      </c>
      <c r="K1068" s="284">
        <v>0</v>
      </c>
      <c r="L1068" s="284">
        <v>0</v>
      </c>
      <c r="M1068" s="284">
        <v>0</v>
      </c>
      <c r="N1068" s="284">
        <v>48</v>
      </c>
      <c r="O1068" s="284">
        <v>12</v>
      </c>
      <c r="P1068" s="284">
        <v>170</v>
      </c>
      <c r="Q1068" s="286">
        <v>156</v>
      </c>
      <c r="R1068" s="274">
        <v>299</v>
      </c>
      <c r="S1068" s="274">
        <v>168</v>
      </c>
      <c r="T1068" s="287">
        <f t="shared" si="16"/>
        <v>2016</v>
      </c>
      <c r="U1068" s="274">
        <f>VLOOKUP(A1068,'[1]SB35 Determination Data'!$B$4:$F$542,5,FALSE)</f>
        <v>2015</v>
      </c>
    </row>
    <row r="1069" spans="1:21" s="274" customFormat="1" ht="12.75" x14ac:dyDescent="0.2">
      <c r="A1069" s="282" t="s">
        <v>622</v>
      </c>
      <c r="B1069" s="282" t="s">
        <v>663</v>
      </c>
      <c r="C1069" s="282" t="s">
        <v>654</v>
      </c>
      <c r="D1069" s="283">
        <v>2017</v>
      </c>
      <c r="E1069" s="282" t="s">
        <v>650</v>
      </c>
      <c r="F1069" s="284">
        <v>45</v>
      </c>
      <c r="G1069" s="285">
        <v>0</v>
      </c>
      <c r="H1069" s="288">
        <v>0</v>
      </c>
      <c r="I1069" s="285">
        <v>0</v>
      </c>
      <c r="J1069" s="285">
        <v>36</v>
      </c>
      <c r="K1069" s="284">
        <v>4</v>
      </c>
      <c r="L1069" s="284">
        <v>0</v>
      </c>
      <c r="M1069" s="284">
        <v>4</v>
      </c>
      <c r="N1069" s="284">
        <v>48</v>
      </c>
      <c r="O1069" s="284">
        <v>73</v>
      </c>
      <c r="P1069" s="284">
        <v>170</v>
      </c>
      <c r="Q1069" s="286">
        <v>75</v>
      </c>
      <c r="R1069" s="274">
        <v>299</v>
      </c>
      <c r="S1069" s="274">
        <v>152</v>
      </c>
      <c r="T1069" s="287">
        <f t="shared" si="16"/>
        <v>2017</v>
      </c>
      <c r="U1069" s="274">
        <f>VLOOKUP(A1069,'[1]SB35 Determination Data'!$B$4:$F$542,5,FALSE)</f>
        <v>2015</v>
      </c>
    </row>
    <row r="1070" spans="1:21" s="274" customFormat="1" ht="12.75" x14ac:dyDescent="0.2">
      <c r="A1070" s="282" t="s">
        <v>625</v>
      </c>
      <c r="B1070" s="282" t="s">
        <v>679</v>
      </c>
      <c r="C1070" s="282" t="s">
        <v>531</v>
      </c>
      <c r="D1070" s="283">
        <v>2015</v>
      </c>
      <c r="E1070" s="282" t="s">
        <v>650</v>
      </c>
      <c r="F1070" s="284">
        <v>321</v>
      </c>
      <c r="G1070" s="285">
        <v>0</v>
      </c>
      <c r="H1070" s="288">
        <v>0</v>
      </c>
      <c r="I1070" s="285">
        <v>0</v>
      </c>
      <c r="J1070" s="285">
        <v>206</v>
      </c>
      <c r="K1070" s="284">
        <v>0</v>
      </c>
      <c r="L1070" s="284">
        <v>0</v>
      </c>
      <c r="M1070" s="284">
        <v>0</v>
      </c>
      <c r="N1070" s="289">
        <v>217</v>
      </c>
      <c r="O1070" s="284">
        <v>0</v>
      </c>
      <c r="P1070" s="284">
        <v>536</v>
      </c>
      <c r="Q1070" s="286">
        <v>52</v>
      </c>
      <c r="R1070" s="274">
        <v>1280</v>
      </c>
      <c r="S1070" s="274">
        <v>52</v>
      </c>
      <c r="T1070" s="287">
        <f t="shared" si="16"/>
        <v>2016</v>
      </c>
      <c r="U1070" s="274">
        <f>VLOOKUP(A1070,'[1]SB35 Determination Data'!$B$4:$F$542,5,FALSE)</f>
        <v>2016</v>
      </c>
    </row>
    <row r="1071" spans="1:21" s="274" customFormat="1" ht="12.75" x14ac:dyDescent="0.2">
      <c r="A1071" s="282" t="s">
        <v>625</v>
      </c>
      <c r="B1071" s="282" t="s">
        <v>679</v>
      </c>
      <c r="C1071" s="282" t="s">
        <v>531</v>
      </c>
      <c r="D1071" s="283">
        <v>2016</v>
      </c>
      <c r="E1071" s="282" t="s">
        <v>650</v>
      </c>
      <c r="F1071" s="284">
        <v>321</v>
      </c>
      <c r="G1071" s="285">
        <v>33</v>
      </c>
      <c r="H1071" s="288">
        <v>33</v>
      </c>
      <c r="I1071" s="285">
        <v>0</v>
      </c>
      <c r="J1071" s="285">
        <v>206</v>
      </c>
      <c r="K1071" s="284">
        <v>38</v>
      </c>
      <c r="L1071" s="284">
        <v>38</v>
      </c>
      <c r="M1071" s="284">
        <v>0</v>
      </c>
      <c r="N1071" s="284">
        <v>217</v>
      </c>
      <c r="O1071" s="284">
        <v>0</v>
      </c>
      <c r="P1071" s="284">
        <v>536</v>
      </c>
      <c r="Q1071" s="286">
        <v>0</v>
      </c>
      <c r="R1071" s="274">
        <v>1280</v>
      </c>
      <c r="S1071" s="274">
        <v>71</v>
      </c>
      <c r="T1071" s="287">
        <f t="shared" si="16"/>
        <v>2016</v>
      </c>
      <c r="U1071" s="274">
        <f>VLOOKUP(A1071,'[1]SB35 Determination Data'!$B$4:$F$542,5,FALSE)</f>
        <v>2016</v>
      </c>
    </row>
    <row r="1072" spans="1:21" s="274" customFormat="1" ht="12.75" x14ac:dyDescent="0.2">
      <c r="A1072" s="282" t="s">
        <v>625</v>
      </c>
      <c r="B1072" s="282" t="s">
        <v>679</v>
      </c>
      <c r="C1072" s="282" t="s">
        <v>531</v>
      </c>
      <c r="D1072" s="283">
        <v>2017</v>
      </c>
      <c r="E1072" s="282" t="s">
        <v>650</v>
      </c>
      <c r="F1072" s="284">
        <v>321</v>
      </c>
      <c r="G1072" s="285">
        <v>0</v>
      </c>
      <c r="H1072" s="288">
        <v>0</v>
      </c>
      <c r="I1072" s="285">
        <v>0</v>
      </c>
      <c r="J1072" s="285">
        <v>206</v>
      </c>
      <c r="K1072" s="284">
        <v>0</v>
      </c>
      <c r="L1072" s="284">
        <v>0</v>
      </c>
      <c r="M1072" s="284">
        <v>0</v>
      </c>
      <c r="N1072" s="284">
        <v>217</v>
      </c>
      <c r="O1072" s="284">
        <v>0</v>
      </c>
      <c r="P1072" s="284">
        <v>536</v>
      </c>
      <c r="Q1072" s="286">
        <v>13</v>
      </c>
      <c r="R1072" s="274">
        <v>1280</v>
      </c>
      <c r="S1072" s="274">
        <v>13</v>
      </c>
      <c r="T1072" s="287">
        <f t="shared" si="16"/>
        <v>2017</v>
      </c>
      <c r="U1072" s="274">
        <f>VLOOKUP(A1072,'[1]SB35 Determination Data'!$B$4:$F$542,5,FALSE)</f>
        <v>2016</v>
      </c>
    </row>
    <row r="1073" spans="1:21" s="274" customFormat="1" ht="12.75" x14ac:dyDescent="0.2">
      <c r="A1073" s="282" t="s">
        <v>481</v>
      </c>
      <c r="B1073" s="282" t="s">
        <v>481</v>
      </c>
      <c r="C1073" s="282" t="s">
        <v>649</v>
      </c>
      <c r="D1073" s="283">
        <v>2017</v>
      </c>
      <c r="E1073" s="282" t="s">
        <v>650</v>
      </c>
      <c r="F1073" s="284">
        <v>2002</v>
      </c>
      <c r="G1073" s="285">
        <v>0</v>
      </c>
      <c r="H1073" s="288">
        <v>0</v>
      </c>
      <c r="I1073" s="285">
        <v>0</v>
      </c>
      <c r="J1073" s="285">
        <v>1336</v>
      </c>
      <c r="K1073" s="284">
        <v>0</v>
      </c>
      <c r="L1073" s="284">
        <v>0</v>
      </c>
      <c r="M1073" s="284">
        <v>0</v>
      </c>
      <c r="N1073" s="284">
        <v>1503</v>
      </c>
      <c r="O1073" s="284">
        <v>12</v>
      </c>
      <c r="P1073" s="284">
        <v>3442</v>
      </c>
      <c r="Q1073" s="286">
        <v>70</v>
      </c>
      <c r="R1073" s="274">
        <v>8283</v>
      </c>
      <c r="S1073" s="274">
        <v>82</v>
      </c>
      <c r="T1073" s="287">
        <f t="shared" si="16"/>
        <v>2017</v>
      </c>
      <c r="U1073" s="274">
        <f>VLOOKUP(A1073,'[1]SB35 Determination Data'!$B$4:$F$542,5,FALSE)</f>
        <v>2014</v>
      </c>
    </row>
    <row r="1074" spans="1:21" s="274" customFormat="1" ht="12.75" x14ac:dyDescent="0.2">
      <c r="A1074" s="282" t="s">
        <v>627</v>
      </c>
      <c r="B1074" s="282" t="s">
        <v>481</v>
      </c>
      <c r="C1074" s="282" t="s">
        <v>649</v>
      </c>
      <c r="D1074" s="283">
        <v>2014</v>
      </c>
      <c r="E1074" s="282" t="s">
        <v>650</v>
      </c>
      <c r="F1074" s="284">
        <v>7173</v>
      </c>
      <c r="G1074" s="285">
        <v>43</v>
      </c>
      <c r="H1074" s="288">
        <v>43</v>
      </c>
      <c r="I1074" s="285">
        <v>0</v>
      </c>
      <c r="J1074" s="285">
        <v>4871</v>
      </c>
      <c r="K1074" s="284">
        <v>45</v>
      </c>
      <c r="L1074" s="284">
        <v>45</v>
      </c>
      <c r="M1074" s="284">
        <v>0</v>
      </c>
      <c r="N1074" s="284">
        <v>5534</v>
      </c>
      <c r="O1074" s="284">
        <v>430</v>
      </c>
      <c r="P1074" s="284">
        <v>12725</v>
      </c>
      <c r="Q1074" s="286">
        <v>630</v>
      </c>
      <c r="R1074" s="274">
        <v>30303</v>
      </c>
      <c r="S1074" s="274">
        <v>1148</v>
      </c>
      <c r="T1074" s="287">
        <f t="shared" si="16"/>
        <v>2014</v>
      </c>
      <c r="U1074" s="274">
        <f>VLOOKUP(A1074,'[1]SB35 Determination Data'!$B$4:$F$542,5,FALSE)</f>
        <v>2014</v>
      </c>
    </row>
    <row r="1075" spans="1:21" s="274" customFormat="1" ht="12.75" x14ac:dyDescent="0.2">
      <c r="A1075" s="282" t="s">
        <v>627</v>
      </c>
      <c r="B1075" s="282" t="s">
        <v>481</v>
      </c>
      <c r="C1075" s="282" t="s">
        <v>649</v>
      </c>
      <c r="D1075" s="283">
        <v>2015</v>
      </c>
      <c r="E1075" s="282" t="s">
        <v>650</v>
      </c>
      <c r="F1075" s="284">
        <v>7173</v>
      </c>
      <c r="G1075" s="285">
        <v>12</v>
      </c>
      <c r="H1075" s="288">
        <v>3</v>
      </c>
      <c r="I1075" s="285">
        <v>9</v>
      </c>
      <c r="J1075" s="285">
        <v>4871</v>
      </c>
      <c r="K1075" s="284">
        <v>8</v>
      </c>
      <c r="L1075" s="284">
        <v>8</v>
      </c>
      <c r="M1075" s="284">
        <v>0</v>
      </c>
      <c r="N1075" s="289">
        <v>5534</v>
      </c>
      <c r="O1075" s="284">
        <v>98</v>
      </c>
      <c r="P1075" s="284">
        <v>12725</v>
      </c>
      <c r="Q1075" s="286">
        <v>914</v>
      </c>
      <c r="R1075" s="274">
        <v>30303</v>
      </c>
      <c r="S1075" s="274">
        <v>1032</v>
      </c>
      <c r="T1075" s="287">
        <f t="shared" si="16"/>
        <v>2015</v>
      </c>
      <c r="U1075" s="274">
        <f>VLOOKUP(A1075,'[1]SB35 Determination Data'!$B$4:$F$542,5,FALSE)</f>
        <v>2014</v>
      </c>
    </row>
    <row r="1076" spans="1:21" s="274" customFormat="1" ht="12.75" x14ac:dyDescent="0.2">
      <c r="A1076" s="282" t="s">
        <v>627</v>
      </c>
      <c r="B1076" s="282" t="s">
        <v>481</v>
      </c>
      <c r="C1076" s="282" t="s">
        <v>649</v>
      </c>
      <c r="D1076" s="283">
        <v>2016</v>
      </c>
      <c r="E1076" s="282" t="s">
        <v>650</v>
      </c>
      <c r="F1076" s="284">
        <v>7173</v>
      </c>
      <c r="G1076" s="285">
        <v>23</v>
      </c>
      <c r="H1076" s="288">
        <v>23</v>
      </c>
      <c r="I1076" s="285">
        <v>0</v>
      </c>
      <c r="J1076" s="285">
        <v>4871</v>
      </c>
      <c r="K1076" s="284">
        <v>2</v>
      </c>
      <c r="L1076" s="284">
        <v>2</v>
      </c>
      <c r="M1076" s="284">
        <v>0</v>
      </c>
      <c r="N1076" s="284">
        <v>5534</v>
      </c>
      <c r="O1076" s="284">
        <v>0</v>
      </c>
      <c r="P1076" s="284">
        <v>12725</v>
      </c>
      <c r="Q1076" s="286">
        <v>394</v>
      </c>
      <c r="R1076" s="274">
        <v>30303</v>
      </c>
      <c r="S1076" s="274">
        <v>419</v>
      </c>
      <c r="T1076" s="287">
        <f t="shared" si="16"/>
        <v>2016</v>
      </c>
      <c r="U1076" s="274">
        <f>VLOOKUP(A1076,'[1]SB35 Determination Data'!$B$4:$F$542,5,FALSE)</f>
        <v>2014</v>
      </c>
    </row>
    <row r="1077" spans="1:21" s="274" customFormat="1" ht="12.75" x14ac:dyDescent="0.2">
      <c r="A1077" s="282" t="s">
        <v>627</v>
      </c>
      <c r="B1077" s="282" t="s">
        <v>481</v>
      </c>
      <c r="C1077" s="282" t="s">
        <v>649</v>
      </c>
      <c r="D1077" s="283">
        <v>2017</v>
      </c>
      <c r="E1077" s="282" t="s">
        <v>650</v>
      </c>
      <c r="F1077" s="284">
        <v>7173</v>
      </c>
      <c r="G1077" s="285">
        <v>86</v>
      </c>
      <c r="H1077" s="288">
        <v>86</v>
      </c>
      <c r="I1077" s="285">
        <v>0</v>
      </c>
      <c r="J1077" s="285">
        <v>4871</v>
      </c>
      <c r="K1077" s="284">
        <v>27</v>
      </c>
      <c r="L1077" s="284">
        <v>27</v>
      </c>
      <c r="M1077" s="284">
        <v>0</v>
      </c>
      <c r="N1077" s="284">
        <v>5534</v>
      </c>
      <c r="O1077" s="284">
        <v>505</v>
      </c>
      <c r="P1077" s="284">
        <v>12725</v>
      </c>
      <c r="Q1077" s="286">
        <v>62</v>
      </c>
      <c r="R1077" s="274">
        <v>30303</v>
      </c>
      <c r="S1077" s="274">
        <v>680</v>
      </c>
      <c r="T1077" s="287">
        <f t="shared" si="16"/>
        <v>2017</v>
      </c>
      <c r="U1077" s="274">
        <f>VLOOKUP(A1077,'[1]SB35 Determination Data'!$B$4:$F$542,5,FALSE)</f>
        <v>2014</v>
      </c>
    </row>
    <row r="1078" spans="1:21" s="274" customFormat="1" ht="12.75" x14ac:dyDescent="0.2">
      <c r="A1078" s="282" t="s">
        <v>628</v>
      </c>
      <c r="B1078" s="282" t="s">
        <v>451</v>
      </c>
      <c r="C1078" s="282" t="s">
        <v>685</v>
      </c>
      <c r="D1078" s="283">
        <v>2013</v>
      </c>
      <c r="E1078" s="282" t="s">
        <v>650</v>
      </c>
      <c r="F1078" s="284">
        <v>1040</v>
      </c>
      <c r="G1078" s="285">
        <v>0</v>
      </c>
      <c r="H1078" s="288">
        <v>0</v>
      </c>
      <c r="I1078" s="285">
        <v>0</v>
      </c>
      <c r="J1078" s="285">
        <v>729</v>
      </c>
      <c r="K1078" s="284">
        <v>0</v>
      </c>
      <c r="L1078" s="284">
        <v>0</v>
      </c>
      <c r="M1078" s="284">
        <v>0</v>
      </c>
      <c r="N1078" s="284">
        <v>709</v>
      </c>
      <c r="O1078" s="284">
        <v>0</v>
      </c>
      <c r="P1078" s="284">
        <v>1335</v>
      </c>
      <c r="Q1078" s="286">
        <v>0</v>
      </c>
      <c r="R1078" s="274">
        <v>3813</v>
      </c>
      <c r="S1078" s="274">
        <v>0</v>
      </c>
      <c r="T1078" s="287">
        <f t="shared" si="16"/>
        <v>2014</v>
      </c>
      <c r="U1078" s="274">
        <f>VLOOKUP(A1078,'[1]SB35 Determination Data'!$B$4:$F$542,5,FALSE)</f>
        <v>2014</v>
      </c>
    </row>
    <row r="1079" spans="1:21" s="274" customFormat="1" ht="12.75" x14ac:dyDescent="0.2">
      <c r="A1079" s="282" t="s">
        <v>628</v>
      </c>
      <c r="B1079" s="282" t="s">
        <v>451</v>
      </c>
      <c r="C1079" s="282" t="s">
        <v>685</v>
      </c>
      <c r="D1079" s="283">
        <v>2014</v>
      </c>
      <c r="E1079" s="282" t="s">
        <v>650</v>
      </c>
      <c r="F1079" s="284">
        <v>1040</v>
      </c>
      <c r="G1079" s="285">
        <v>0</v>
      </c>
      <c r="H1079" s="288">
        <v>0</v>
      </c>
      <c r="I1079" s="285">
        <v>0</v>
      </c>
      <c r="J1079" s="285">
        <v>729</v>
      </c>
      <c r="K1079" s="284">
        <v>0</v>
      </c>
      <c r="L1079" s="284">
        <v>0</v>
      </c>
      <c r="M1079" s="284">
        <v>0</v>
      </c>
      <c r="N1079" s="284">
        <v>709</v>
      </c>
      <c r="O1079" s="284">
        <v>37</v>
      </c>
      <c r="P1079" s="284">
        <v>1335</v>
      </c>
      <c r="Q1079" s="286">
        <v>360</v>
      </c>
      <c r="R1079" s="274">
        <v>3813</v>
      </c>
      <c r="S1079" s="274">
        <v>397</v>
      </c>
      <c r="T1079" s="287">
        <f t="shared" si="16"/>
        <v>2014</v>
      </c>
      <c r="U1079" s="274">
        <f>VLOOKUP(A1079,'[1]SB35 Determination Data'!$B$4:$F$542,5,FALSE)</f>
        <v>2014</v>
      </c>
    </row>
    <row r="1080" spans="1:21" s="274" customFormat="1" ht="12.75" x14ac:dyDescent="0.2">
      <c r="A1080" s="282" t="s">
        <v>628</v>
      </c>
      <c r="B1080" s="282" t="s">
        <v>451</v>
      </c>
      <c r="C1080" s="282" t="s">
        <v>685</v>
      </c>
      <c r="D1080" s="283">
        <v>2015</v>
      </c>
      <c r="E1080" s="282" t="s">
        <v>650</v>
      </c>
      <c r="F1080" s="284">
        <v>1040</v>
      </c>
      <c r="G1080" s="285">
        <v>0</v>
      </c>
      <c r="H1080" s="288">
        <v>0</v>
      </c>
      <c r="I1080" s="285">
        <v>0</v>
      </c>
      <c r="J1080" s="285">
        <v>729</v>
      </c>
      <c r="K1080" s="284">
        <v>0</v>
      </c>
      <c r="L1080" s="284">
        <v>0</v>
      </c>
      <c r="M1080" s="284">
        <v>0</v>
      </c>
      <c r="N1080" s="289">
        <v>709</v>
      </c>
      <c r="O1080" s="284">
        <v>385</v>
      </c>
      <c r="P1080" s="284">
        <v>1335</v>
      </c>
      <c r="Q1080" s="286">
        <v>312</v>
      </c>
      <c r="R1080" s="274">
        <v>3813</v>
      </c>
      <c r="S1080" s="274">
        <v>697</v>
      </c>
      <c r="T1080" s="287">
        <f t="shared" si="16"/>
        <v>2015</v>
      </c>
      <c r="U1080" s="274">
        <f>VLOOKUP(A1080,'[1]SB35 Determination Data'!$B$4:$F$542,5,FALSE)</f>
        <v>2014</v>
      </c>
    </row>
    <row r="1081" spans="1:21" s="274" customFormat="1" ht="12.75" x14ac:dyDescent="0.2">
      <c r="A1081" s="282" t="s">
        <v>628</v>
      </c>
      <c r="B1081" s="282" t="s">
        <v>451</v>
      </c>
      <c r="C1081" s="282" t="s">
        <v>685</v>
      </c>
      <c r="D1081" s="283">
        <v>2016</v>
      </c>
      <c r="E1081" s="282" t="s">
        <v>650</v>
      </c>
      <c r="F1081" s="284">
        <v>1040</v>
      </c>
      <c r="G1081" s="285">
        <v>0</v>
      </c>
      <c r="H1081" s="288">
        <v>0</v>
      </c>
      <c r="I1081" s="285">
        <v>0</v>
      </c>
      <c r="J1081" s="285">
        <v>729</v>
      </c>
      <c r="K1081" s="284">
        <v>0</v>
      </c>
      <c r="L1081" s="284">
        <v>0</v>
      </c>
      <c r="M1081" s="284">
        <v>0</v>
      </c>
      <c r="N1081" s="284">
        <v>709</v>
      </c>
      <c r="O1081" s="284">
        <v>184</v>
      </c>
      <c r="P1081" s="284">
        <v>1335</v>
      </c>
      <c r="Q1081" s="286">
        <v>352</v>
      </c>
      <c r="R1081" s="274">
        <v>3813</v>
      </c>
      <c r="S1081" s="274">
        <v>536</v>
      </c>
      <c r="T1081" s="287">
        <f t="shared" si="16"/>
        <v>2016</v>
      </c>
      <c r="U1081" s="274">
        <f>VLOOKUP(A1081,'[1]SB35 Determination Data'!$B$4:$F$542,5,FALSE)</f>
        <v>2014</v>
      </c>
    </row>
    <row r="1082" spans="1:21" s="274" customFormat="1" ht="12.75" x14ac:dyDescent="0.2">
      <c r="A1082" s="282" t="s">
        <v>628</v>
      </c>
      <c r="B1082" s="282" t="s">
        <v>451</v>
      </c>
      <c r="C1082" s="282" t="s">
        <v>685</v>
      </c>
      <c r="D1082" s="283">
        <v>2017</v>
      </c>
      <c r="E1082" s="282" t="s">
        <v>650</v>
      </c>
      <c r="F1082" s="284">
        <v>1040</v>
      </c>
      <c r="G1082" s="285">
        <v>0</v>
      </c>
      <c r="H1082" s="288">
        <v>0</v>
      </c>
      <c r="I1082" s="285">
        <v>0</v>
      </c>
      <c r="J1082" s="285">
        <v>729</v>
      </c>
      <c r="K1082" s="284">
        <v>0</v>
      </c>
      <c r="L1082" s="284">
        <v>0</v>
      </c>
      <c r="M1082" s="284">
        <v>0</v>
      </c>
      <c r="N1082" s="284">
        <v>709</v>
      </c>
      <c r="O1082" s="284">
        <v>181</v>
      </c>
      <c r="P1082" s="284">
        <v>1335</v>
      </c>
      <c r="Q1082" s="286">
        <v>643</v>
      </c>
      <c r="R1082" s="274">
        <v>3813</v>
      </c>
      <c r="S1082" s="274">
        <v>824</v>
      </c>
      <c r="T1082" s="287">
        <f t="shared" si="16"/>
        <v>2017</v>
      </c>
      <c r="U1082" s="274">
        <f>VLOOKUP(A1082,'[1]SB35 Determination Data'!$B$4:$F$542,5,FALSE)</f>
        <v>2014</v>
      </c>
    </row>
    <row r="1083" spans="1:21" s="274" customFormat="1" ht="12.75" x14ac:dyDescent="0.2">
      <c r="A1083" s="282" t="s">
        <v>629</v>
      </c>
      <c r="B1083" s="282" t="s">
        <v>669</v>
      </c>
      <c r="C1083" s="282" t="s">
        <v>654</v>
      </c>
      <c r="D1083" s="283">
        <v>2014</v>
      </c>
      <c r="E1083" s="282" t="s">
        <v>650</v>
      </c>
      <c r="F1083" s="284">
        <v>181</v>
      </c>
      <c r="G1083" s="285">
        <v>0</v>
      </c>
      <c r="H1083" s="288">
        <v>0</v>
      </c>
      <c r="I1083" s="285">
        <v>0</v>
      </c>
      <c r="J1083" s="285">
        <v>107</v>
      </c>
      <c r="K1083" s="284">
        <v>0</v>
      </c>
      <c r="L1083" s="284">
        <v>0</v>
      </c>
      <c r="M1083" s="284">
        <v>0</v>
      </c>
      <c r="N1083" s="289">
        <v>127</v>
      </c>
      <c r="O1083" s="284">
        <v>0</v>
      </c>
      <c r="P1083" s="284">
        <v>484</v>
      </c>
      <c r="Q1083" s="286">
        <v>0</v>
      </c>
      <c r="R1083" s="274">
        <v>899</v>
      </c>
      <c r="S1083" s="274">
        <v>0</v>
      </c>
      <c r="T1083" s="287">
        <f t="shared" si="16"/>
        <v>2015</v>
      </c>
      <c r="U1083" s="274">
        <f>VLOOKUP(A1083,'[1]SB35 Determination Data'!$B$4:$F$542,5,FALSE)</f>
        <v>2015</v>
      </c>
    </row>
    <row r="1084" spans="1:21" s="274" customFormat="1" ht="12.75" x14ac:dyDescent="0.2">
      <c r="A1084" s="282" t="s">
        <v>629</v>
      </c>
      <c r="B1084" s="282" t="s">
        <v>669</v>
      </c>
      <c r="C1084" s="282" t="s">
        <v>654</v>
      </c>
      <c r="D1084" s="283">
        <v>2015</v>
      </c>
      <c r="E1084" s="282" t="s">
        <v>650</v>
      </c>
      <c r="F1084" s="284">
        <v>181</v>
      </c>
      <c r="G1084" s="285">
        <v>0</v>
      </c>
      <c r="H1084" s="288">
        <v>0</v>
      </c>
      <c r="I1084" s="285">
        <v>0</v>
      </c>
      <c r="J1084" s="285">
        <v>107</v>
      </c>
      <c r="K1084" s="284">
        <v>0</v>
      </c>
      <c r="L1084" s="284">
        <v>0</v>
      </c>
      <c r="M1084" s="284">
        <v>0</v>
      </c>
      <c r="N1084" s="284">
        <v>127</v>
      </c>
      <c r="O1084" s="284">
        <v>0</v>
      </c>
      <c r="P1084" s="284">
        <v>484</v>
      </c>
      <c r="Q1084" s="286">
        <v>244</v>
      </c>
      <c r="R1084" s="274">
        <v>899</v>
      </c>
      <c r="S1084" s="274">
        <v>244</v>
      </c>
      <c r="T1084" s="287">
        <f t="shared" si="16"/>
        <v>2015</v>
      </c>
      <c r="U1084" s="274">
        <f>VLOOKUP(A1084,'[1]SB35 Determination Data'!$B$4:$F$542,5,FALSE)</f>
        <v>2015</v>
      </c>
    </row>
    <row r="1085" spans="1:21" s="274" customFormat="1" ht="12.75" x14ac:dyDescent="0.2">
      <c r="A1085" s="282" t="s">
        <v>629</v>
      </c>
      <c r="B1085" s="282" t="s">
        <v>669</v>
      </c>
      <c r="C1085" s="282" t="s">
        <v>654</v>
      </c>
      <c r="D1085" s="283">
        <v>2016</v>
      </c>
      <c r="E1085" s="282" t="s">
        <v>650</v>
      </c>
      <c r="F1085" s="284">
        <v>181</v>
      </c>
      <c r="G1085" s="285">
        <v>0</v>
      </c>
      <c r="H1085" s="288">
        <v>0</v>
      </c>
      <c r="I1085" s="285">
        <v>0</v>
      </c>
      <c r="J1085" s="285">
        <v>107</v>
      </c>
      <c r="K1085" s="284">
        <v>0</v>
      </c>
      <c r="L1085" s="284">
        <v>0</v>
      </c>
      <c r="M1085" s="284">
        <v>0</v>
      </c>
      <c r="N1085" s="284">
        <v>127</v>
      </c>
      <c r="O1085" s="284">
        <v>1</v>
      </c>
      <c r="P1085" s="284">
        <v>484</v>
      </c>
      <c r="Q1085" s="286">
        <v>161</v>
      </c>
      <c r="R1085" s="274">
        <v>899</v>
      </c>
      <c r="S1085" s="274">
        <v>162</v>
      </c>
      <c r="T1085" s="287">
        <f t="shared" si="16"/>
        <v>2016</v>
      </c>
      <c r="U1085" s="274">
        <f>VLOOKUP(A1085,'[1]SB35 Determination Data'!$B$4:$F$542,5,FALSE)</f>
        <v>2015</v>
      </c>
    </row>
    <row r="1086" spans="1:21" s="274" customFormat="1" ht="12.75" x14ac:dyDescent="0.2">
      <c r="A1086" s="282" t="s">
        <v>629</v>
      </c>
      <c r="B1086" s="282" t="s">
        <v>669</v>
      </c>
      <c r="C1086" s="282" t="s">
        <v>654</v>
      </c>
      <c r="D1086" s="283">
        <v>2017</v>
      </c>
      <c r="E1086" s="282" t="s">
        <v>650</v>
      </c>
      <c r="F1086" s="284">
        <v>181</v>
      </c>
      <c r="G1086" s="285">
        <v>0</v>
      </c>
      <c r="H1086" s="288">
        <v>0</v>
      </c>
      <c r="I1086" s="285">
        <v>0</v>
      </c>
      <c r="J1086" s="285">
        <v>107</v>
      </c>
      <c r="K1086" s="284">
        <v>0</v>
      </c>
      <c r="L1086" s="284">
        <v>0</v>
      </c>
      <c r="M1086" s="284">
        <v>0</v>
      </c>
      <c r="N1086" s="284">
        <v>127</v>
      </c>
      <c r="O1086" s="284">
        <v>13</v>
      </c>
      <c r="P1086" s="284">
        <v>484</v>
      </c>
      <c r="Q1086" s="286">
        <v>165</v>
      </c>
      <c r="R1086" s="274">
        <v>899</v>
      </c>
      <c r="S1086" s="274">
        <v>178</v>
      </c>
      <c r="T1086" s="287">
        <f t="shared" si="16"/>
        <v>2017</v>
      </c>
      <c r="U1086" s="274">
        <f>VLOOKUP(A1086,'[1]SB35 Determination Data'!$B$4:$F$542,5,FALSE)</f>
        <v>2015</v>
      </c>
    </row>
    <row r="1087" spans="1:21" s="274" customFormat="1" ht="12.75" x14ac:dyDescent="0.2">
      <c r="A1087" s="282" t="s">
        <v>617</v>
      </c>
      <c r="B1087" s="282" t="s">
        <v>262</v>
      </c>
      <c r="C1087" s="282" t="s">
        <v>649</v>
      </c>
      <c r="D1087" s="283">
        <v>2017</v>
      </c>
      <c r="E1087" s="282" t="s">
        <v>650</v>
      </c>
      <c r="F1087" s="284">
        <v>1</v>
      </c>
      <c r="G1087" s="285">
        <v>0</v>
      </c>
      <c r="H1087" s="288">
        <v>0</v>
      </c>
      <c r="I1087" s="285">
        <v>0</v>
      </c>
      <c r="J1087" s="285">
        <v>1</v>
      </c>
      <c r="K1087" s="284">
        <v>0</v>
      </c>
      <c r="L1087" s="284">
        <v>0</v>
      </c>
      <c r="M1087" s="284">
        <v>0</v>
      </c>
      <c r="N1087" s="289">
        <v>1</v>
      </c>
      <c r="O1087" s="284">
        <v>1</v>
      </c>
      <c r="P1087" s="284">
        <v>2</v>
      </c>
      <c r="Q1087" s="286">
        <v>4</v>
      </c>
      <c r="R1087" s="274">
        <v>5</v>
      </c>
      <c r="S1087" s="274">
        <v>5</v>
      </c>
      <c r="T1087" s="287">
        <f t="shared" si="16"/>
        <v>2017</v>
      </c>
      <c r="U1087" s="274">
        <f>VLOOKUP(A1087,'[1]SB35 Determination Data'!$B$4:$F$542,5,FALSE)</f>
        <v>2014</v>
      </c>
    </row>
    <row r="1088" spans="1:21" s="274" customFormat="1" ht="12.75" x14ac:dyDescent="0.2">
      <c r="A1088" s="282" t="s">
        <v>496</v>
      </c>
      <c r="B1088" s="282" t="s">
        <v>262</v>
      </c>
      <c r="C1088" s="282" t="s">
        <v>649</v>
      </c>
      <c r="D1088" s="283">
        <v>2014</v>
      </c>
      <c r="E1088" s="282" t="s">
        <v>650</v>
      </c>
      <c r="F1088" s="284">
        <v>153</v>
      </c>
      <c r="G1088" s="285">
        <v>0</v>
      </c>
      <c r="H1088" s="288">
        <v>0</v>
      </c>
      <c r="I1088" s="285">
        <v>0</v>
      </c>
      <c r="J1088" s="285">
        <v>88</v>
      </c>
      <c r="K1088" s="284">
        <v>0</v>
      </c>
      <c r="L1088" s="284">
        <v>0</v>
      </c>
      <c r="M1088" s="284">
        <v>0</v>
      </c>
      <c r="N1088" s="284">
        <v>99</v>
      </c>
      <c r="O1088" s="284">
        <v>0</v>
      </c>
      <c r="P1088" s="284">
        <v>262</v>
      </c>
      <c r="Q1088" s="286">
        <v>0</v>
      </c>
      <c r="R1088" s="274">
        <v>602</v>
      </c>
      <c r="S1088" s="274">
        <v>0</v>
      </c>
      <c r="T1088" s="287">
        <f t="shared" si="16"/>
        <v>2014</v>
      </c>
      <c r="U1088" s="274">
        <f>VLOOKUP(A1088,'[1]SB35 Determination Data'!$B$4:$F$542,5,FALSE)</f>
        <v>2014</v>
      </c>
    </row>
    <row r="1089" spans="1:21" s="274" customFormat="1" ht="12.75" x14ac:dyDescent="0.2">
      <c r="A1089" s="282" t="s">
        <v>496</v>
      </c>
      <c r="B1089" s="282" t="s">
        <v>262</v>
      </c>
      <c r="C1089" s="282" t="s">
        <v>649</v>
      </c>
      <c r="D1089" s="283">
        <v>2015</v>
      </c>
      <c r="E1089" s="282" t="s">
        <v>650</v>
      </c>
      <c r="F1089" s="284">
        <v>153</v>
      </c>
      <c r="G1089" s="285">
        <v>0</v>
      </c>
      <c r="H1089" s="288">
        <v>0</v>
      </c>
      <c r="I1089" s="285">
        <v>0</v>
      </c>
      <c r="J1089" s="285">
        <v>88</v>
      </c>
      <c r="K1089" s="284">
        <v>0</v>
      </c>
      <c r="L1089" s="284">
        <v>0</v>
      </c>
      <c r="M1089" s="284">
        <v>0</v>
      </c>
      <c r="N1089" s="284">
        <v>99</v>
      </c>
      <c r="O1089" s="284">
        <v>0</v>
      </c>
      <c r="P1089" s="284">
        <v>262</v>
      </c>
      <c r="Q1089" s="286">
        <v>0</v>
      </c>
      <c r="R1089" s="274">
        <v>602</v>
      </c>
      <c r="S1089" s="274">
        <v>0</v>
      </c>
      <c r="T1089" s="287">
        <f t="shared" si="16"/>
        <v>2015</v>
      </c>
      <c r="U1089" s="274">
        <f>VLOOKUP(A1089,'[1]SB35 Determination Data'!$B$4:$F$542,5,FALSE)</f>
        <v>2014</v>
      </c>
    </row>
    <row r="1090" spans="1:21" s="274" customFormat="1" ht="12.75" x14ac:dyDescent="0.2">
      <c r="A1090" s="282" t="s">
        <v>496</v>
      </c>
      <c r="B1090" s="282" t="s">
        <v>262</v>
      </c>
      <c r="C1090" s="282" t="s">
        <v>649</v>
      </c>
      <c r="D1090" s="283">
        <v>2016</v>
      </c>
      <c r="E1090" s="282" t="s">
        <v>650</v>
      </c>
      <c r="F1090" s="284">
        <v>153</v>
      </c>
      <c r="G1090" s="285">
        <v>0</v>
      </c>
      <c r="H1090" s="288">
        <v>0</v>
      </c>
      <c r="I1090" s="285">
        <v>0</v>
      </c>
      <c r="J1090" s="285">
        <v>88</v>
      </c>
      <c r="K1090" s="284">
        <v>0</v>
      </c>
      <c r="L1090" s="284">
        <v>0</v>
      </c>
      <c r="M1090" s="284">
        <v>0</v>
      </c>
      <c r="N1090" s="284">
        <v>99</v>
      </c>
      <c r="O1090" s="284">
        <v>0</v>
      </c>
      <c r="P1090" s="284">
        <v>262</v>
      </c>
      <c r="Q1090" s="286">
        <v>0</v>
      </c>
      <c r="R1090" s="274">
        <v>602</v>
      </c>
      <c r="S1090" s="274">
        <v>0</v>
      </c>
      <c r="T1090" s="287">
        <f t="shared" si="16"/>
        <v>2016</v>
      </c>
      <c r="U1090" s="274">
        <f>VLOOKUP(A1090,'[1]SB35 Determination Data'!$B$4:$F$542,5,FALSE)</f>
        <v>2014</v>
      </c>
    </row>
    <row r="1091" spans="1:21" s="274" customFormat="1" ht="12.75" x14ac:dyDescent="0.2">
      <c r="A1091" s="282" t="s">
        <v>496</v>
      </c>
      <c r="B1091" s="282" t="s">
        <v>262</v>
      </c>
      <c r="C1091" s="282" t="s">
        <v>649</v>
      </c>
      <c r="D1091" s="283">
        <v>2017</v>
      </c>
      <c r="E1091" s="282" t="s">
        <v>650</v>
      </c>
      <c r="F1091" s="284">
        <v>153</v>
      </c>
      <c r="G1091" s="285">
        <v>0</v>
      </c>
      <c r="H1091" s="288">
        <v>0</v>
      </c>
      <c r="I1091" s="285">
        <v>0</v>
      </c>
      <c r="J1091" s="285">
        <v>88</v>
      </c>
      <c r="K1091" s="284">
        <v>0</v>
      </c>
      <c r="L1091" s="284">
        <v>0</v>
      </c>
      <c r="M1091" s="284">
        <v>0</v>
      </c>
      <c r="N1091" s="289">
        <v>99</v>
      </c>
      <c r="O1091" s="284">
        <v>0</v>
      </c>
      <c r="P1091" s="284">
        <v>262</v>
      </c>
      <c r="Q1091" s="286">
        <v>0</v>
      </c>
      <c r="R1091" s="274">
        <v>602</v>
      </c>
      <c r="S1091" s="274">
        <v>0</v>
      </c>
      <c r="T1091" s="287">
        <f t="shared" si="16"/>
        <v>2017</v>
      </c>
      <c r="U1091" s="274">
        <f>VLOOKUP(A1091,'[1]SB35 Determination Data'!$B$4:$F$542,5,FALSE)</f>
        <v>2014</v>
      </c>
    </row>
    <row r="1092" spans="1:21" s="274" customFormat="1" ht="12.75" x14ac:dyDescent="0.2">
      <c r="A1092" s="282" t="s">
        <v>632</v>
      </c>
      <c r="B1092" s="282" t="s">
        <v>451</v>
      </c>
      <c r="C1092" s="282" t="s">
        <v>685</v>
      </c>
      <c r="D1092" s="283">
        <v>2013</v>
      </c>
      <c r="E1092" s="282" t="s">
        <v>650</v>
      </c>
      <c r="F1092" s="284">
        <v>2268</v>
      </c>
      <c r="G1092" s="285">
        <v>0</v>
      </c>
      <c r="H1092" s="288">
        <v>0</v>
      </c>
      <c r="I1092" s="285">
        <v>0</v>
      </c>
      <c r="J1092" s="285">
        <v>1590</v>
      </c>
      <c r="K1092" s="284">
        <v>0</v>
      </c>
      <c r="L1092" s="284">
        <v>0</v>
      </c>
      <c r="M1092" s="284">
        <v>0</v>
      </c>
      <c r="N1092" s="284">
        <v>1577</v>
      </c>
      <c r="O1092" s="284">
        <v>142</v>
      </c>
      <c r="P1092" s="284">
        <v>3043</v>
      </c>
      <c r="Q1092" s="286">
        <v>384</v>
      </c>
      <c r="R1092" s="274">
        <v>8478</v>
      </c>
      <c r="S1092" s="274">
        <v>526</v>
      </c>
      <c r="T1092" s="287">
        <f t="shared" ref="T1092:T1155" si="17">IF(D1092&gt;U1092,D1092,U1092)</f>
        <v>2014</v>
      </c>
      <c r="U1092" s="274">
        <f>VLOOKUP(A1092,'[1]SB35 Determination Data'!$B$4:$F$542,5,FALSE)</f>
        <v>2014</v>
      </c>
    </row>
    <row r="1093" spans="1:21" s="274" customFormat="1" ht="12.75" x14ac:dyDescent="0.2">
      <c r="A1093" s="282" t="s">
        <v>632</v>
      </c>
      <c r="B1093" s="282" t="s">
        <v>451</v>
      </c>
      <c r="C1093" s="282" t="s">
        <v>685</v>
      </c>
      <c r="D1093" s="283">
        <v>2014</v>
      </c>
      <c r="E1093" s="282" t="s">
        <v>650</v>
      </c>
      <c r="F1093" s="284">
        <v>2268</v>
      </c>
      <c r="G1093" s="285">
        <v>9</v>
      </c>
      <c r="H1093" s="288">
        <v>9</v>
      </c>
      <c r="I1093" s="285">
        <v>0</v>
      </c>
      <c r="J1093" s="285">
        <v>1590</v>
      </c>
      <c r="K1093" s="284">
        <v>14</v>
      </c>
      <c r="L1093" s="284">
        <v>14</v>
      </c>
      <c r="M1093" s="284">
        <v>0</v>
      </c>
      <c r="N1093" s="284">
        <v>1577</v>
      </c>
      <c r="O1093" s="284">
        <v>438</v>
      </c>
      <c r="P1093" s="284">
        <v>3043</v>
      </c>
      <c r="Q1093" s="286">
        <v>333</v>
      </c>
      <c r="R1093" s="274">
        <v>8478</v>
      </c>
      <c r="S1093" s="274">
        <v>794</v>
      </c>
      <c r="T1093" s="287">
        <f t="shared" si="17"/>
        <v>2014</v>
      </c>
      <c r="U1093" s="274">
        <f>VLOOKUP(A1093,'[1]SB35 Determination Data'!$B$4:$F$542,5,FALSE)</f>
        <v>2014</v>
      </c>
    </row>
    <row r="1094" spans="1:21" s="274" customFormat="1" ht="12.75" x14ac:dyDescent="0.2">
      <c r="A1094" s="282" t="s">
        <v>632</v>
      </c>
      <c r="B1094" s="282" t="s">
        <v>451</v>
      </c>
      <c r="C1094" s="282" t="s">
        <v>685</v>
      </c>
      <c r="D1094" s="283">
        <v>2015</v>
      </c>
      <c r="E1094" s="282" t="s">
        <v>650</v>
      </c>
      <c r="F1094" s="284">
        <v>2268</v>
      </c>
      <c r="G1094" s="285">
        <v>0</v>
      </c>
      <c r="H1094" s="288">
        <v>0</v>
      </c>
      <c r="I1094" s="285">
        <v>0</v>
      </c>
      <c r="J1094" s="285">
        <v>1590</v>
      </c>
      <c r="K1094" s="284">
        <v>0</v>
      </c>
      <c r="L1094" s="284">
        <v>0</v>
      </c>
      <c r="M1094" s="284">
        <v>0</v>
      </c>
      <c r="N1094" s="284">
        <v>1577</v>
      </c>
      <c r="O1094" s="284">
        <v>378</v>
      </c>
      <c r="P1094" s="284">
        <v>3043</v>
      </c>
      <c r="Q1094" s="286">
        <v>544</v>
      </c>
      <c r="R1094" s="274">
        <v>8478</v>
      </c>
      <c r="S1094" s="274">
        <v>922</v>
      </c>
      <c r="T1094" s="287">
        <f t="shared" si="17"/>
        <v>2015</v>
      </c>
      <c r="U1094" s="274">
        <f>VLOOKUP(A1094,'[1]SB35 Determination Data'!$B$4:$F$542,5,FALSE)</f>
        <v>2014</v>
      </c>
    </row>
    <row r="1095" spans="1:21" s="274" customFormat="1" ht="12.75" x14ac:dyDescent="0.2">
      <c r="A1095" s="282" t="s">
        <v>632</v>
      </c>
      <c r="B1095" s="282" t="s">
        <v>451</v>
      </c>
      <c r="C1095" s="282" t="s">
        <v>685</v>
      </c>
      <c r="D1095" s="283">
        <v>2016</v>
      </c>
      <c r="E1095" s="282" t="s">
        <v>650</v>
      </c>
      <c r="F1095" s="284">
        <v>2268</v>
      </c>
      <c r="G1095" s="285">
        <v>42</v>
      </c>
      <c r="H1095" s="288">
        <v>42</v>
      </c>
      <c r="I1095" s="285">
        <v>0</v>
      </c>
      <c r="J1095" s="285">
        <v>1590</v>
      </c>
      <c r="K1095" s="284">
        <v>15</v>
      </c>
      <c r="L1095" s="284">
        <v>15</v>
      </c>
      <c r="M1095" s="284">
        <v>0</v>
      </c>
      <c r="N1095" s="284">
        <v>1577</v>
      </c>
      <c r="O1095" s="284">
        <v>216</v>
      </c>
      <c r="P1095" s="284">
        <v>3043</v>
      </c>
      <c r="Q1095" s="286">
        <v>584</v>
      </c>
      <c r="R1095" s="274">
        <v>8478</v>
      </c>
      <c r="S1095" s="274">
        <v>857</v>
      </c>
      <c r="T1095" s="287">
        <f t="shared" si="17"/>
        <v>2016</v>
      </c>
      <c r="U1095" s="274">
        <f>VLOOKUP(A1095,'[1]SB35 Determination Data'!$B$4:$F$542,5,FALSE)</f>
        <v>2014</v>
      </c>
    </row>
    <row r="1096" spans="1:21" s="274" customFormat="1" ht="12.75" x14ac:dyDescent="0.2">
      <c r="A1096" s="282" t="s">
        <v>632</v>
      </c>
      <c r="B1096" s="282" t="s">
        <v>451</v>
      </c>
      <c r="C1096" s="282" t="s">
        <v>685</v>
      </c>
      <c r="D1096" s="283">
        <v>2017</v>
      </c>
      <c r="E1096" s="282" t="s">
        <v>650</v>
      </c>
      <c r="F1096" s="284">
        <v>2268</v>
      </c>
      <c r="G1096" s="285">
        <v>43</v>
      </c>
      <c r="H1096" s="288">
        <v>43</v>
      </c>
      <c r="I1096" s="285">
        <v>0</v>
      </c>
      <c r="J1096" s="285">
        <v>1590</v>
      </c>
      <c r="K1096" s="284">
        <v>0</v>
      </c>
      <c r="L1096" s="284">
        <v>0</v>
      </c>
      <c r="M1096" s="284">
        <v>0</v>
      </c>
      <c r="N1096" s="284">
        <v>1577</v>
      </c>
      <c r="O1096" s="284">
        <v>1000</v>
      </c>
      <c r="P1096" s="284">
        <v>3043</v>
      </c>
      <c r="Q1096" s="286">
        <v>644</v>
      </c>
      <c r="R1096" s="274">
        <v>8478</v>
      </c>
      <c r="S1096" s="274">
        <v>1687</v>
      </c>
      <c r="T1096" s="287">
        <f t="shared" si="17"/>
        <v>2017</v>
      </c>
      <c r="U1096" s="274">
        <f>VLOOKUP(A1096,'[1]SB35 Determination Data'!$B$4:$F$542,5,FALSE)</f>
        <v>2014</v>
      </c>
    </row>
    <row r="1097" spans="1:21" s="274" customFormat="1" ht="12.75" x14ac:dyDescent="0.2">
      <c r="A1097" s="282" t="s">
        <v>633</v>
      </c>
      <c r="B1097" s="282" t="s">
        <v>301</v>
      </c>
      <c r="C1097" s="282" t="s">
        <v>654</v>
      </c>
      <c r="D1097" s="283">
        <v>2015</v>
      </c>
      <c r="E1097" s="282" t="s">
        <v>650</v>
      </c>
      <c r="F1097" s="284">
        <v>6</v>
      </c>
      <c r="G1097" s="285">
        <v>1</v>
      </c>
      <c r="H1097" s="288">
        <v>1</v>
      </c>
      <c r="I1097" s="285">
        <v>0</v>
      </c>
      <c r="J1097" s="285">
        <v>4</v>
      </c>
      <c r="K1097" s="284">
        <v>0</v>
      </c>
      <c r="L1097" s="284">
        <v>0</v>
      </c>
      <c r="M1097" s="284">
        <v>0</v>
      </c>
      <c r="N1097" s="284">
        <v>4</v>
      </c>
      <c r="O1097" s="284">
        <v>1</v>
      </c>
      <c r="P1097" s="284">
        <v>4</v>
      </c>
      <c r="Q1097" s="286">
        <v>0</v>
      </c>
      <c r="R1097" s="274">
        <v>18</v>
      </c>
      <c r="S1097" s="274">
        <v>2</v>
      </c>
      <c r="T1097" s="287">
        <f t="shared" si="17"/>
        <v>2015</v>
      </c>
      <c r="U1097" s="274">
        <f>VLOOKUP(A1097,'[1]SB35 Determination Data'!$B$4:$F$542,5,FALSE)</f>
        <v>2015</v>
      </c>
    </row>
    <row r="1098" spans="1:21" s="274" customFormat="1" ht="12.75" x14ac:dyDescent="0.2">
      <c r="A1098" s="282" t="s">
        <v>633</v>
      </c>
      <c r="B1098" s="282" t="s">
        <v>301</v>
      </c>
      <c r="C1098" s="282" t="s">
        <v>654</v>
      </c>
      <c r="D1098" s="283">
        <v>2016</v>
      </c>
      <c r="E1098" s="282" t="s">
        <v>650</v>
      </c>
      <c r="F1098" s="284">
        <v>6</v>
      </c>
      <c r="G1098" s="285">
        <v>1</v>
      </c>
      <c r="H1098" s="288">
        <v>1</v>
      </c>
      <c r="I1098" s="285">
        <v>0</v>
      </c>
      <c r="J1098" s="285">
        <v>4</v>
      </c>
      <c r="K1098" s="284">
        <v>0</v>
      </c>
      <c r="L1098" s="284">
        <v>0</v>
      </c>
      <c r="M1098" s="284">
        <v>0</v>
      </c>
      <c r="N1098" s="284">
        <v>4</v>
      </c>
      <c r="O1098" s="284">
        <v>0</v>
      </c>
      <c r="P1098" s="284">
        <v>4</v>
      </c>
      <c r="Q1098" s="286">
        <v>1</v>
      </c>
      <c r="R1098" s="274">
        <v>18</v>
      </c>
      <c r="S1098" s="274">
        <v>2</v>
      </c>
      <c r="T1098" s="287">
        <f t="shared" si="17"/>
        <v>2016</v>
      </c>
      <c r="U1098" s="274">
        <f>VLOOKUP(A1098,'[1]SB35 Determination Data'!$B$4:$F$542,5,FALSE)</f>
        <v>2015</v>
      </c>
    </row>
    <row r="1099" spans="1:21" s="274" customFormat="1" ht="12.75" x14ac:dyDescent="0.2">
      <c r="A1099" s="282" t="s">
        <v>633</v>
      </c>
      <c r="B1099" s="282" t="s">
        <v>301</v>
      </c>
      <c r="C1099" s="282" t="s">
        <v>654</v>
      </c>
      <c r="D1099" s="283">
        <v>2017</v>
      </c>
      <c r="E1099" s="282" t="s">
        <v>650</v>
      </c>
      <c r="F1099" s="284">
        <v>6</v>
      </c>
      <c r="G1099" s="285">
        <v>0</v>
      </c>
      <c r="H1099" s="288">
        <v>0</v>
      </c>
      <c r="I1099" s="285">
        <v>0</v>
      </c>
      <c r="J1099" s="285">
        <v>4</v>
      </c>
      <c r="K1099" s="284">
        <v>0</v>
      </c>
      <c r="L1099" s="284">
        <v>0</v>
      </c>
      <c r="M1099" s="284">
        <v>0</v>
      </c>
      <c r="N1099" s="284">
        <v>4</v>
      </c>
      <c r="O1099" s="284">
        <v>1</v>
      </c>
      <c r="P1099" s="284">
        <v>4</v>
      </c>
      <c r="Q1099" s="286">
        <v>0</v>
      </c>
      <c r="R1099" s="274">
        <v>18</v>
      </c>
      <c r="S1099" s="274">
        <v>1</v>
      </c>
      <c r="T1099" s="287">
        <f t="shared" si="17"/>
        <v>2017</v>
      </c>
      <c r="U1099" s="274">
        <f>VLOOKUP(A1099,'[1]SB35 Determination Data'!$B$4:$F$542,5,FALSE)</f>
        <v>2015</v>
      </c>
    </row>
    <row r="1100" spans="1:21" s="274" customFormat="1" ht="12.75" x14ac:dyDescent="0.2">
      <c r="A1100" s="282" t="s">
        <v>511</v>
      </c>
      <c r="B1100" s="282" t="s">
        <v>511</v>
      </c>
      <c r="C1100" s="282" t="s">
        <v>685</v>
      </c>
      <c r="D1100" s="283">
        <v>2013</v>
      </c>
      <c r="E1100" s="282" t="s">
        <v>650</v>
      </c>
      <c r="F1100" s="284">
        <v>4944</v>
      </c>
      <c r="G1100" s="285">
        <v>95</v>
      </c>
      <c r="H1100" s="288">
        <v>62</v>
      </c>
      <c r="I1100" s="285">
        <v>33</v>
      </c>
      <c r="J1100" s="285">
        <v>3467</v>
      </c>
      <c r="K1100" s="284">
        <v>137</v>
      </c>
      <c r="L1100" s="284">
        <v>24</v>
      </c>
      <c r="M1100" s="284">
        <v>113</v>
      </c>
      <c r="N1100" s="284">
        <v>4482</v>
      </c>
      <c r="O1100" s="284">
        <v>34</v>
      </c>
      <c r="P1100" s="284">
        <v>11208</v>
      </c>
      <c r="Q1100" s="286">
        <v>153</v>
      </c>
      <c r="R1100" s="274">
        <v>24101</v>
      </c>
      <c r="S1100" s="274">
        <v>419</v>
      </c>
      <c r="T1100" s="287">
        <f t="shared" si="17"/>
        <v>2014</v>
      </c>
      <c r="U1100" s="274">
        <f>VLOOKUP(A1100,'[1]SB35 Determination Data'!$B$4:$F$542,5,FALSE)</f>
        <v>2014</v>
      </c>
    </row>
    <row r="1101" spans="1:21" s="274" customFormat="1" ht="12.75" x14ac:dyDescent="0.2">
      <c r="A1101" s="282" t="s">
        <v>511</v>
      </c>
      <c r="B1101" s="282" t="s">
        <v>511</v>
      </c>
      <c r="C1101" s="282" t="s">
        <v>685</v>
      </c>
      <c r="D1101" s="283">
        <v>2014</v>
      </c>
      <c r="E1101" s="282" t="s">
        <v>650</v>
      </c>
      <c r="F1101" s="284">
        <v>4944</v>
      </c>
      <c r="G1101" s="285">
        <v>102</v>
      </c>
      <c r="H1101" s="288">
        <v>78</v>
      </c>
      <c r="I1101" s="285">
        <v>24</v>
      </c>
      <c r="J1101" s="285">
        <v>3467</v>
      </c>
      <c r="K1101" s="284">
        <v>123</v>
      </c>
      <c r="L1101" s="284">
        <v>95</v>
      </c>
      <c r="M1101" s="284">
        <v>28</v>
      </c>
      <c r="N1101" s="289">
        <v>4482</v>
      </c>
      <c r="O1101" s="284">
        <v>21</v>
      </c>
      <c r="P1101" s="284">
        <v>11208</v>
      </c>
      <c r="Q1101" s="286">
        <v>95</v>
      </c>
      <c r="R1101" s="274">
        <v>24101</v>
      </c>
      <c r="S1101" s="274">
        <v>341</v>
      </c>
      <c r="T1101" s="287">
        <f t="shared" si="17"/>
        <v>2014</v>
      </c>
      <c r="U1101" s="274">
        <f>VLOOKUP(A1101,'[1]SB35 Determination Data'!$B$4:$F$542,5,FALSE)</f>
        <v>2014</v>
      </c>
    </row>
    <row r="1102" spans="1:21" s="274" customFormat="1" ht="12.75" x14ac:dyDescent="0.2">
      <c r="A1102" s="282" t="s">
        <v>511</v>
      </c>
      <c r="B1102" s="282" t="s">
        <v>511</v>
      </c>
      <c r="C1102" s="282" t="s">
        <v>685</v>
      </c>
      <c r="D1102" s="283">
        <v>2015</v>
      </c>
      <c r="E1102" s="282" t="s">
        <v>650</v>
      </c>
      <c r="F1102" s="284">
        <v>4944</v>
      </c>
      <c r="G1102" s="285">
        <v>0</v>
      </c>
      <c r="H1102" s="288">
        <v>0</v>
      </c>
      <c r="I1102" s="285">
        <v>0</v>
      </c>
      <c r="J1102" s="285">
        <v>3467</v>
      </c>
      <c r="K1102" s="284">
        <v>68</v>
      </c>
      <c r="L1102" s="284">
        <v>0</v>
      </c>
      <c r="M1102" s="284">
        <v>68</v>
      </c>
      <c r="N1102" s="284">
        <v>4482</v>
      </c>
      <c r="O1102" s="284">
        <v>851</v>
      </c>
      <c r="P1102" s="284">
        <v>11208</v>
      </c>
      <c r="Q1102" s="286">
        <v>104</v>
      </c>
      <c r="R1102" s="274">
        <v>24101</v>
      </c>
      <c r="S1102" s="274">
        <v>1023</v>
      </c>
      <c r="T1102" s="287">
        <f t="shared" si="17"/>
        <v>2015</v>
      </c>
      <c r="U1102" s="274">
        <f>VLOOKUP(A1102,'[1]SB35 Determination Data'!$B$4:$F$542,5,FALSE)</f>
        <v>2014</v>
      </c>
    </row>
    <row r="1103" spans="1:21" s="274" customFormat="1" ht="12.75" x14ac:dyDescent="0.2">
      <c r="A1103" s="282" t="s">
        <v>511</v>
      </c>
      <c r="B1103" s="282" t="s">
        <v>511</v>
      </c>
      <c r="C1103" s="282" t="s">
        <v>685</v>
      </c>
      <c r="D1103" s="283">
        <v>2016</v>
      </c>
      <c r="E1103" s="282" t="s">
        <v>650</v>
      </c>
      <c r="F1103" s="284">
        <v>4944</v>
      </c>
      <c r="G1103" s="285">
        <v>0</v>
      </c>
      <c r="H1103" s="288">
        <v>0</v>
      </c>
      <c r="I1103" s="285">
        <v>0</v>
      </c>
      <c r="J1103" s="285">
        <v>3467</v>
      </c>
      <c r="K1103" s="284">
        <v>27</v>
      </c>
      <c r="L1103" s="284">
        <v>27</v>
      </c>
      <c r="M1103" s="284">
        <v>0</v>
      </c>
      <c r="N1103" s="284">
        <v>4482</v>
      </c>
      <c r="O1103" s="284">
        <v>820</v>
      </c>
      <c r="P1103" s="284">
        <v>11208</v>
      </c>
      <c r="Q1103" s="286">
        <v>730</v>
      </c>
      <c r="R1103" s="274">
        <v>24101</v>
      </c>
      <c r="S1103" s="274">
        <v>1577</v>
      </c>
      <c r="T1103" s="287">
        <f t="shared" si="17"/>
        <v>2016</v>
      </c>
      <c r="U1103" s="274">
        <f>VLOOKUP(A1103,'[1]SB35 Determination Data'!$B$4:$F$542,5,FALSE)</f>
        <v>2014</v>
      </c>
    </row>
    <row r="1104" spans="1:21" s="274" customFormat="1" ht="12.75" x14ac:dyDescent="0.2">
      <c r="A1104" s="282" t="s">
        <v>511</v>
      </c>
      <c r="B1104" s="282" t="s">
        <v>511</v>
      </c>
      <c r="C1104" s="282" t="s">
        <v>685</v>
      </c>
      <c r="D1104" s="283">
        <v>2017</v>
      </c>
      <c r="E1104" s="282" t="s">
        <v>650</v>
      </c>
      <c r="F1104" s="284">
        <v>4944</v>
      </c>
      <c r="G1104" s="285">
        <v>0</v>
      </c>
      <c r="H1104" s="288">
        <v>0</v>
      </c>
      <c r="I1104" s="285">
        <v>0</v>
      </c>
      <c r="J1104" s="285">
        <v>3467</v>
      </c>
      <c r="K1104" s="284">
        <v>3</v>
      </c>
      <c r="L1104" s="284">
        <v>0</v>
      </c>
      <c r="M1104" s="284">
        <v>3</v>
      </c>
      <c r="N1104" s="284">
        <v>4482</v>
      </c>
      <c r="O1104" s="284">
        <v>1757</v>
      </c>
      <c r="P1104" s="284">
        <v>11208</v>
      </c>
      <c r="Q1104" s="286">
        <v>1121</v>
      </c>
      <c r="R1104" s="274">
        <v>24101</v>
      </c>
      <c r="S1104" s="274">
        <v>2881</v>
      </c>
      <c r="T1104" s="287">
        <f t="shared" si="17"/>
        <v>2017</v>
      </c>
      <c r="U1104" s="274">
        <f>VLOOKUP(A1104,'[1]SB35 Determination Data'!$B$4:$F$542,5,FALSE)</f>
        <v>2014</v>
      </c>
    </row>
    <row r="1105" spans="1:21" s="274" customFormat="1" ht="12.75" x14ac:dyDescent="0.2">
      <c r="A1105" s="282" t="s">
        <v>634</v>
      </c>
      <c r="B1105" s="282" t="s">
        <v>511</v>
      </c>
      <c r="C1105" s="282" t="s">
        <v>685</v>
      </c>
      <c r="D1105" s="283">
        <v>2013</v>
      </c>
      <c r="E1105" s="282" t="s">
        <v>650</v>
      </c>
      <c r="F1105" s="284">
        <v>3149</v>
      </c>
      <c r="G1105" s="285">
        <v>0</v>
      </c>
      <c r="H1105" s="288">
        <v>0</v>
      </c>
      <c r="I1105" s="285">
        <v>0</v>
      </c>
      <c r="J1105" s="285">
        <v>2208</v>
      </c>
      <c r="K1105" s="284">
        <v>0</v>
      </c>
      <c r="L1105" s="284">
        <v>0</v>
      </c>
      <c r="M1105" s="284">
        <v>0</v>
      </c>
      <c r="N1105" s="284">
        <v>2574</v>
      </c>
      <c r="O1105" s="284">
        <v>137</v>
      </c>
      <c r="P1105" s="284">
        <v>5913</v>
      </c>
      <c r="Q1105" s="286">
        <v>268</v>
      </c>
      <c r="R1105" s="274">
        <v>13844</v>
      </c>
      <c r="S1105" s="274">
        <v>405</v>
      </c>
      <c r="T1105" s="287">
        <f t="shared" si="17"/>
        <v>2014</v>
      </c>
      <c r="U1105" s="274">
        <f>VLOOKUP(A1105,'[1]SB35 Determination Data'!$B$4:$F$542,5,FALSE)</f>
        <v>2014</v>
      </c>
    </row>
    <row r="1106" spans="1:21" s="274" customFormat="1" ht="12.75" x14ac:dyDescent="0.2">
      <c r="A1106" s="282" t="s">
        <v>634</v>
      </c>
      <c r="B1106" s="282" t="s">
        <v>511</v>
      </c>
      <c r="C1106" s="282" t="s">
        <v>685</v>
      </c>
      <c r="D1106" s="283">
        <v>2014</v>
      </c>
      <c r="E1106" s="282" t="s">
        <v>650</v>
      </c>
      <c r="F1106" s="284">
        <v>3149</v>
      </c>
      <c r="G1106" s="285">
        <v>0</v>
      </c>
      <c r="H1106" s="288">
        <v>0</v>
      </c>
      <c r="I1106" s="285">
        <v>0</v>
      </c>
      <c r="J1106" s="285">
        <v>2208</v>
      </c>
      <c r="K1106" s="284">
        <v>0</v>
      </c>
      <c r="L1106" s="284">
        <v>0</v>
      </c>
      <c r="M1106" s="284">
        <v>0</v>
      </c>
      <c r="N1106" s="289">
        <v>2574</v>
      </c>
      <c r="O1106" s="284">
        <v>97</v>
      </c>
      <c r="P1106" s="284">
        <v>5913</v>
      </c>
      <c r="Q1106" s="286">
        <v>228</v>
      </c>
      <c r="R1106" s="274">
        <v>13844</v>
      </c>
      <c r="S1106" s="274">
        <v>325</v>
      </c>
      <c r="T1106" s="287">
        <f t="shared" si="17"/>
        <v>2014</v>
      </c>
      <c r="U1106" s="274">
        <f>VLOOKUP(A1106,'[1]SB35 Determination Data'!$B$4:$F$542,5,FALSE)</f>
        <v>2014</v>
      </c>
    </row>
    <row r="1107" spans="1:21" s="274" customFormat="1" ht="12.75" x14ac:dyDescent="0.2">
      <c r="A1107" s="282" t="s">
        <v>634</v>
      </c>
      <c r="B1107" s="282" t="s">
        <v>511</v>
      </c>
      <c r="C1107" s="282" t="s">
        <v>685</v>
      </c>
      <c r="D1107" s="283">
        <v>2015</v>
      </c>
      <c r="E1107" s="282" t="s">
        <v>650</v>
      </c>
      <c r="F1107" s="284">
        <v>3149</v>
      </c>
      <c r="G1107" s="285">
        <v>30</v>
      </c>
      <c r="H1107" s="288">
        <v>30</v>
      </c>
      <c r="I1107" s="285">
        <v>0</v>
      </c>
      <c r="J1107" s="285">
        <v>2208</v>
      </c>
      <c r="K1107" s="284">
        <v>117</v>
      </c>
      <c r="L1107" s="284">
        <v>117</v>
      </c>
      <c r="M1107" s="284">
        <v>0</v>
      </c>
      <c r="N1107" s="284">
        <v>2574</v>
      </c>
      <c r="O1107" s="284">
        <v>135</v>
      </c>
      <c r="P1107" s="284">
        <v>5913</v>
      </c>
      <c r="Q1107" s="286">
        <v>264</v>
      </c>
      <c r="R1107" s="274">
        <v>13844</v>
      </c>
      <c r="S1107" s="274">
        <v>546</v>
      </c>
      <c r="T1107" s="287">
        <f t="shared" si="17"/>
        <v>2015</v>
      </c>
      <c r="U1107" s="274">
        <f>VLOOKUP(A1107,'[1]SB35 Determination Data'!$B$4:$F$542,5,FALSE)</f>
        <v>2014</v>
      </c>
    </row>
    <row r="1108" spans="1:21" s="274" customFormat="1" ht="12.75" x14ac:dyDescent="0.2">
      <c r="A1108" s="282" t="s">
        <v>634</v>
      </c>
      <c r="B1108" s="282" t="s">
        <v>511</v>
      </c>
      <c r="C1108" s="282" t="s">
        <v>685</v>
      </c>
      <c r="D1108" s="283">
        <v>2016</v>
      </c>
      <c r="E1108" s="282" t="s">
        <v>650</v>
      </c>
      <c r="F1108" s="284">
        <v>3149</v>
      </c>
      <c r="G1108" s="285">
        <v>46</v>
      </c>
      <c r="H1108" s="288">
        <v>46</v>
      </c>
      <c r="I1108" s="285">
        <v>0</v>
      </c>
      <c r="J1108" s="285">
        <v>2208</v>
      </c>
      <c r="K1108" s="284">
        <v>0</v>
      </c>
      <c r="L1108" s="284">
        <v>0</v>
      </c>
      <c r="M1108" s="284">
        <v>0</v>
      </c>
      <c r="N1108" s="284">
        <v>2574</v>
      </c>
      <c r="O1108" s="284">
        <v>274</v>
      </c>
      <c r="P1108" s="284">
        <v>5913</v>
      </c>
      <c r="Q1108" s="286">
        <v>353</v>
      </c>
      <c r="R1108" s="274">
        <v>13844</v>
      </c>
      <c r="S1108" s="274">
        <v>673</v>
      </c>
      <c r="T1108" s="287">
        <f t="shared" si="17"/>
        <v>2016</v>
      </c>
      <c r="U1108" s="274">
        <f>VLOOKUP(A1108,'[1]SB35 Determination Data'!$B$4:$F$542,5,FALSE)</f>
        <v>2014</v>
      </c>
    </row>
    <row r="1109" spans="1:21" s="274" customFormat="1" ht="12.75" x14ac:dyDescent="0.2">
      <c r="A1109" s="282" t="s">
        <v>634</v>
      </c>
      <c r="B1109" s="282" t="s">
        <v>511</v>
      </c>
      <c r="C1109" s="282" t="s">
        <v>685</v>
      </c>
      <c r="D1109" s="283">
        <v>2017</v>
      </c>
      <c r="E1109" s="282" t="s">
        <v>650</v>
      </c>
      <c r="F1109" s="284">
        <v>3149</v>
      </c>
      <c r="G1109" s="285">
        <v>0</v>
      </c>
      <c r="H1109" s="288">
        <v>0</v>
      </c>
      <c r="I1109" s="285">
        <v>0</v>
      </c>
      <c r="J1109" s="285">
        <v>2208</v>
      </c>
      <c r="K1109" s="284">
        <v>0</v>
      </c>
      <c r="L1109" s="284">
        <v>0</v>
      </c>
      <c r="M1109" s="284">
        <v>0</v>
      </c>
      <c r="N1109" s="284">
        <v>2574</v>
      </c>
      <c r="O1109" s="284">
        <v>247</v>
      </c>
      <c r="P1109" s="284">
        <v>5913</v>
      </c>
      <c r="Q1109" s="286">
        <v>414</v>
      </c>
      <c r="R1109" s="274">
        <v>13844</v>
      </c>
      <c r="S1109" s="274">
        <v>661</v>
      </c>
      <c r="T1109" s="287">
        <f t="shared" si="17"/>
        <v>2017</v>
      </c>
      <c r="U1109" s="274">
        <f>VLOOKUP(A1109,'[1]SB35 Determination Data'!$B$4:$F$542,5,FALSE)</f>
        <v>2014</v>
      </c>
    </row>
    <row r="1110" spans="1:21" s="274" customFormat="1" ht="12.75" x14ac:dyDescent="0.2">
      <c r="A1110" s="282" t="s">
        <v>635</v>
      </c>
      <c r="B1110" s="282" t="s">
        <v>411</v>
      </c>
      <c r="C1110" s="282" t="s">
        <v>654</v>
      </c>
      <c r="D1110" s="283">
        <v>2015</v>
      </c>
      <c r="E1110" s="282" t="s">
        <v>650</v>
      </c>
      <c r="F1110" s="284">
        <v>8</v>
      </c>
      <c r="G1110" s="285">
        <v>0</v>
      </c>
      <c r="H1110" s="288">
        <v>0</v>
      </c>
      <c r="I1110" s="285">
        <v>0</v>
      </c>
      <c r="J1110" s="285">
        <v>5</v>
      </c>
      <c r="K1110" s="284">
        <v>0</v>
      </c>
      <c r="L1110" s="284">
        <v>0</v>
      </c>
      <c r="M1110" s="284">
        <v>0</v>
      </c>
      <c r="N1110" s="284">
        <v>5</v>
      </c>
      <c r="O1110" s="284">
        <v>4</v>
      </c>
      <c r="P1110" s="284">
        <v>13</v>
      </c>
      <c r="Q1110" s="286">
        <v>23</v>
      </c>
      <c r="R1110" s="274">
        <v>31</v>
      </c>
      <c r="S1110" s="274">
        <v>27</v>
      </c>
      <c r="T1110" s="287">
        <f t="shared" si="17"/>
        <v>2015</v>
      </c>
      <c r="U1110" s="274">
        <f>VLOOKUP(A1110,'[1]SB35 Determination Data'!$B$4:$F$542,5,FALSE)</f>
        <v>2015</v>
      </c>
    </row>
    <row r="1111" spans="1:21" s="274" customFormat="1" ht="12.75" x14ac:dyDescent="0.2">
      <c r="A1111" s="282" t="s">
        <v>635</v>
      </c>
      <c r="B1111" s="282" t="s">
        <v>411</v>
      </c>
      <c r="C1111" s="282" t="s">
        <v>654</v>
      </c>
      <c r="D1111" s="283">
        <v>2016</v>
      </c>
      <c r="E1111" s="282" t="s">
        <v>650</v>
      </c>
      <c r="F1111" s="284">
        <v>8</v>
      </c>
      <c r="G1111" s="285">
        <v>5</v>
      </c>
      <c r="H1111" s="288">
        <v>5</v>
      </c>
      <c r="I1111" s="285">
        <v>0</v>
      </c>
      <c r="J1111" s="285">
        <v>5</v>
      </c>
      <c r="K1111" s="284">
        <v>3</v>
      </c>
      <c r="L1111" s="284">
        <v>3</v>
      </c>
      <c r="M1111" s="284">
        <v>0</v>
      </c>
      <c r="N1111" s="289">
        <v>5</v>
      </c>
      <c r="O1111" s="284">
        <v>0</v>
      </c>
      <c r="P1111" s="284">
        <v>13</v>
      </c>
      <c r="Q1111" s="286">
        <v>6</v>
      </c>
      <c r="R1111" s="274">
        <v>31</v>
      </c>
      <c r="S1111" s="274">
        <v>14</v>
      </c>
      <c r="T1111" s="287">
        <f t="shared" si="17"/>
        <v>2016</v>
      </c>
      <c r="U1111" s="274">
        <f>VLOOKUP(A1111,'[1]SB35 Determination Data'!$B$4:$F$542,5,FALSE)</f>
        <v>2015</v>
      </c>
    </row>
    <row r="1112" spans="1:21" s="274" customFormat="1" ht="12.75" x14ac:dyDescent="0.2">
      <c r="A1112" s="282" t="s">
        <v>635</v>
      </c>
      <c r="B1112" s="282" t="s">
        <v>411</v>
      </c>
      <c r="C1112" s="282" t="s">
        <v>654</v>
      </c>
      <c r="D1112" s="283">
        <v>2017</v>
      </c>
      <c r="E1112" s="282" t="s">
        <v>650</v>
      </c>
      <c r="F1112" s="284">
        <v>8</v>
      </c>
      <c r="G1112" s="285">
        <v>0</v>
      </c>
      <c r="H1112" s="288">
        <v>0</v>
      </c>
      <c r="I1112" s="285">
        <v>0</v>
      </c>
      <c r="J1112" s="285">
        <v>5</v>
      </c>
      <c r="K1112" s="284">
        <v>0</v>
      </c>
      <c r="L1112" s="284">
        <v>0</v>
      </c>
      <c r="M1112" s="284">
        <v>0</v>
      </c>
      <c r="N1112" s="284">
        <v>5</v>
      </c>
      <c r="O1112" s="284">
        <v>0</v>
      </c>
      <c r="P1112" s="284">
        <v>13</v>
      </c>
      <c r="Q1112" s="286">
        <v>11</v>
      </c>
      <c r="R1112" s="274">
        <v>31</v>
      </c>
      <c r="S1112" s="274">
        <v>11</v>
      </c>
      <c r="T1112" s="287">
        <f t="shared" si="17"/>
        <v>2017</v>
      </c>
      <c r="U1112" s="274">
        <f>VLOOKUP(A1112,'[1]SB35 Determination Data'!$B$4:$F$542,5,FALSE)</f>
        <v>2015</v>
      </c>
    </row>
    <row r="1113" spans="1:21" s="274" customFormat="1" ht="12.75" x14ac:dyDescent="0.2">
      <c r="A1113" s="282" t="s">
        <v>636</v>
      </c>
      <c r="B1113" s="282" t="s">
        <v>403</v>
      </c>
      <c r="C1113" s="282" t="s">
        <v>531</v>
      </c>
      <c r="D1113" s="283">
        <v>2015</v>
      </c>
      <c r="E1113" s="282" t="s">
        <v>650</v>
      </c>
      <c r="F1113" s="284">
        <v>537</v>
      </c>
      <c r="G1113" s="285">
        <v>0</v>
      </c>
      <c r="H1113" s="288">
        <v>0</v>
      </c>
      <c r="I1113" s="285">
        <v>0</v>
      </c>
      <c r="J1113" s="285">
        <v>351</v>
      </c>
      <c r="K1113" s="284">
        <v>0</v>
      </c>
      <c r="L1113" s="284">
        <v>0</v>
      </c>
      <c r="M1113" s="284">
        <v>0</v>
      </c>
      <c r="N1113" s="284">
        <v>407</v>
      </c>
      <c r="O1113" s="284">
        <v>0</v>
      </c>
      <c r="P1113" s="284">
        <v>934</v>
      </c>
      <c r="Q1113" s="286">
        <v>53</v>
      </c>
      <c r="R1113" s="274">
        <v>2229</v>
      </c>
      <c r="S1113" s="274">
        <v>53</v>
      </c>
      <c r="T1113" s="287">
        <f t="shared" si="17"/>
        <v>2016</v>
      </c>
      <c r="U1113" s="274">
        <f>VLOOKUP(A1113,'[1]SB35 Determination Data'!$B$4:$F$542,5,FALSE)</f>
        <v>2016</v>
      </c>
    </row>
    <row r="1114" spans="1:21" s="274" customFormat="1" ht="12.75" x14ac:dyDescent="0.2">
      <c r="A1114" s="282" t="s">
        <v>636</v>
      </c>
      <c r="B1114" s="282" t="s">
        <v>403</v>
      </c>
      <c r="C1114" s="282" t="s">
        <v>531</v>
      </c>
      <c r="D1114" s="283">
        <v>2016</v>
      </c>
      <c r="E1114" s="282" t="s">
        <v>650</v>
      </c>
      <c r="F1114" s="284">
        <v>537</v>
      </c>
      <c r="G1114" s="285">
        <v>24</v>
      </c>
      <c r="H1114" s="288">
        <v>24</v>
      </c>
      <c r="I1114" s="285">
        <v>0</v>
      </c>
      <c r="J1114" s="285">
        <v>351</v>
      </c>
      <c r="K1114" s="284">
        <v>16</v>
      </c>
      <c r="L1114" s="284">
        <v>16</v>
      </c>
      <c r="M1114" s="284">
        <v>0</v>
      </c>
      <c r="N1114" s="284">
        <v>407</v>
      </c>
      <c r="O1114" s="284">
        <v>1</v>
      </c>
      <c r="P1114" s="284">
        <v>934</v>
      </c>
      <c r="Q1114" s="286">
        <v>52</v>
      </c>
      <c r="R1114" s="274">
        <v>2229</v>
      </c>
      <c r="S1114" s="274">
        <v>93</v>
      </c>
      <c r="T1114" s="287">
        <f t="shared" si="17"/>
        <v>2016</v>
      </c>
      <c r="U1114" s="274">
        <f>VLOOKUP(A1114,'[1]SB35 Determination Data'!$B$4:$F$542,5,FALSE)</f>
        <v>2016</v>
      </c>
    </row>
    <row r="1115" spans="1:21" s="274" customFormat="1" ht="12.75" x14ac:dyDescent="0.2">
      <c r="A1115" s="282" t="s">
        <v>636</v>
      </c>
      <c r="B1115" s="282" t="s">
        <v>403</v>
      </c>
      <c r="C1115" s="282" t="s">
        <v>531</v>
      </c>
      <c r="D1115" s="283">
        <v>2017</v>
      </c>
      <c r="E1115" s="282" t="s">
        <v>650</v>
      </c>
      <c r="F1115" s="284">
        <v>537</v>
      </c>
      <c r="G1115" s="285">
        <v>50</v>
      </c>
      <c r="H1115" s="288">
        <v>50</v>
      </c>
      <c r="I1115" s="285">
        <v>0</v>
      </c>
      <c r="J1115" s="285">
        <v>351</v>
      </c>
      <c r="K1115" s="284">
        <v>0</v>
      </c>
      <c r="L1115" s="284">
        <v>0</v>
      </c>
      <c r="M1115" s="284">
        <v>0</v>
      </c>
      <c r="N1115" s="284">
        <v>407</v>
      </c>
      <c r="O1115" s="284">
        <v>3</v>
      </c>
      <c r="P1115" s="284">
        <v>934</v>
      </c>
      <c r="Q1115" s="286">
        <v>25</v>
      </c>
      <c r="R1115" s="274">
        <v>2229</v>
      </c>
      <c r="S1115" s="274">
        <v>78</v>
      </c>
      <c r="T1115" s="287">
        <f t="shared" si="17"/>
        <v>2017</v>
      </c>
      <c r="U1115" s="274">
        <f>VLOOKUP(A1115,'[1]SB35 Determination Data'!$B$4:$F$542,5,FALSE)</f>
        <v>2016</v>
      </c>
    </row>
    <row r="1116" spans="1:21" s="274" customFormat="1" ht="12.75" x14ac:dyDescent="0.2">
      <c r="A1116" s="282" t="s">
        <v>637</v>
      </c>
      <c r="B1116" s="282" t="s">
        <v>301</v>
      </c>
      <c r="C1116" s="282" t="s">
        <v>654</v>
      </c>
      <c r="D1116" s="283">
        <v>2014</v>
      </c>
      <c r="E1116" s="282" t="s">
        <v>650</v>
      </c>
      <c r="F1116" s="284">
        <v>33</v>
      </c>
      <c r="G1116" s="285">
        <v>9</v>
      </c>
      <c r="H1116" s="288">
        <v>9</v>
      </c>
      <c r="I1116" s="285">
        <v>0</v>
      </c>
      <c r="J1116" s="285">
        <v>17</v>
      </c>
      <c r="K1116" s="284">
        <v>16</v>
      </c>
      <c r="L1116" s="284">
        <v>16</v>
      </c>
      <c r="M1116" s="284">
        <v>0</v>
      </c>
      <c r="N1116" s="284">
        <v>19</v>
      </c>
      <c r="O1116" s="284">
        <v>2</v>
      </c>
      <c r="P1116" s="284">
        <v>37</v>
      </c>
      <c r="Q1116" s="286">
        <v>1</v>
      </c>
      <c r="R1116" s="274">
        <v>106</v>
      </c>
      <c r="S1116" s="274">
        <v>28</v>
      </c>
      <c r="T1116" s="287">
        <f t="shared" si="17"/>
        <v>2015</v>
      </c>
      <c r="U1116" s="274">
        <f>VLOOKUP(A1116,'[1]SB35 Determination Data'!$B$4:$F$542,5,FALSE)</f>
        <v>2015</v>
      </c>
    </row>
    <row r="1117" spans="1:21" s="274" customFormat="1" ht="12.75" x14ac:dyDescent="0.2">
      <c r="A1117" s="282" t="s">
        <v>637</v>
      </c>
      <c r="B1117" s="282" t="s">
        <v>301</v>
      </c>
      <c r="C1117" s="282" t="s">
        <v>654</v>
      </c>
      <c r="D1117" s="283">
        <v>2015</v>
      </c>
      <c r="E1117" s="282" t="s">
        <v>650</v>
      </c>
      <c r="F1117" s="284">
        <v>33</v>
      </c>
      <c r="G1117" s="285">
        <v>2</v>
      </c>
      <c r="H1117" s="288">
        <v>0</v>
      </c>
      <c r="I1117" s="285">
        <v>2</v>
      </c>
      <c r="J1117" s="285">
        <v>17</v>
      </c>
      <c r="K1117" s="284">
        <v>0</v>
      </c>
      <c r="L1117" s="284">
        <v>0</v>
      </c>
      <c r="M1117" s="284">
        <v>0</v>
      </c>
      <c r="N1117" s="289">
        <v>19</v>
      </c>
      <c r="O1117" s="284">
        <v>2</v>
      </c>
      <c r="P1117" s="284">
        <v>37</v>
      </c>
      <c r="Q1117" s="286">
        <v>1</v>
      </c>
      <c r="R1117" s="274">
        <v>106</v>
      </c>
      <c r="S1117" s="274">
        <v>5</v>
      </c>
      <c r="T1117" s="287">
        <f t="shared" si="17"/>
        <v>2015</v>
      </c>
      <c r="U1117" s="274">
        <f>VLOOKUP(A1117,'[1]SB35 Determination Data'!$B$4:$F$542,5,FALSE)</f>
        <v>2015</v>
      </c>
    </row>
    <row r="1118" spans="1:21" s="274" customFormat="1" ht="12.75" x14ac:dyDescent="0.2">
      <c r="A1118" s="282" t="s">
        <v>637</v>
      </c>
      <c r="B1118" s="282" t="s">
        <v>301</v>
      </c>
      <c r="C1118" s="282" t="s">
        <v>654</v>
      </c>
      <c r="D1118" s="283">
        <v>2016</v>
      </c>
      <c r="E1118" s="282" t="s">
        <v>650</v>
      </c>
      <c r="F1118" s="284">
        <v>33</v>
      </c>
      <c r="G1118" s="285">
        <v>1</v>
      </c>
      <c r="H1118" s="288">
        <v>1</v>
      </c>
      <c r="I1118" s="285">
        <v>0</v>
      </c>
      <c r="J1118" s="285">
        <v>17</v>
      </c>
      <c r="K1118" s="284">
        <v>0</v>
      </c>
      <c r="L1118" s="284">
        <v>0</v>
      </c>
      <c r="M1118" s="284">
        <v>0</v>
      </c>
      <c r="N1118" s="289">
        <v>19</v>
      </c>
      <c r="O1118" s="284">
        <v>1</v>
      </c>
      <c r="P1118" s="284">
        <v>37</v>
      </c>
      <c r="Q1118" s="286">
        <v>4</v>
      </c>
      <c r="R1118" s="274">
        <v>106</v>
      </c>
      <c r="S1118" s="274">
        <v>6</v>
      </c>
      <c r="T1118" s="287">
        <f t="shared" si="17"/>
        <v>2016</v>
      </c>
      <c r="U1118" s="274">
        <f>VLOOKUP(A1118,'[1]SB35 Determination Data'!$B$4:$F$542,5,FALSE)</f>
        <v>2015</v>
      </c>
    </row>
    <row r="1119" spans="1:21" s="274" customFormat="1" ht="12.75" x14ac:dyDescent="0.2">
      <c r="A1119" s="282" t="s">
        <v>637</v>
      </c>
      <c r="B1119" s="282" t="s">
        <v>301</v>
      </c>
      <c r="C1119" s="282" t="s">
        <v>654</v>
      </c>
      <c r="D1119" s="283">
        <v>2017</v>
      </c>
      <c r="E1119" s="282" t="s">
        <v>650</v>
      </c>
      <c r="F1119" s="284">
        <v>33</v>
      </c>
      <c r="G1119" s="285">
        <v>1</v>
      </c>
      <c r="H1119" s="288">
        <v>0</v>
      </c>
      <c r="I1119" s="285">
        <v>1</v>
      </c>
      <c r="J1119" s="285">
        <v>17</v>
      </c>
      <c r="K1119" s="284">
        <v>2</v>
      </c>
      <c r="L1119" s="284">
        <v>2</v>
      </c>
      <c r="M1119" s="284">
        <v>0</v>
      </c>
      <c r="N1119" s="284">
        <v>19</v>
      </c>
      <c r="O1119" s="284">
        <v>4</v>
      </c>
      <c r="P1119" s="284">
        <v>37</v>
      </c>
      <c r="Q1119" s="286">
        <v>5</v>
      </c>
      <c r="R1119" s="274">
        <v>106</v>
      </c>
      <c r="S1119" s="274">
        <v>12</v>
      </c>
      <c r="T1119" s="287">
        <f t="shared" si="17"/>
        <v>2017</v>
      </c>
      <c r="U1119" s="274">
        <f>VLOOKUP(A1119,'[1]SB35 Determination Data'!$B$4:$F$542,5,FALSE)</f>
        <v>2015</v>
      </c>
    </row>
    <row r="1120" spans="1:21" s="274" customFormat="1" ht="12.75" x14ac:dyDescent="0.2">
      <c r="A1120" s="282" t="s">
        <v>638</v>
      </c>
      <c r="B1120" s="282" t="s">
        <v>530</v>
      </c>
      <c r="C1120" s="282" t="s">
        <v>531</v>
      </c>
      <c r="D1120" s="283">
        <v>2015</v>
      </c>
      <c r="E1120" s="282" t="s">
        <v>650</v>
      </c>
      <c r="F1120" s="284">
        <v>198</v>
      </c>
      <c r="G1120" s="285">
        <v>0</v>
      </c>
      <c r="H1120" s="288">
        <v>0</v>
      </c>
      <c r="I1120" s="285">
        <v>0</v>
      </c>
      <c r="J1120" s="285">
        <v>120</v>
      </c>
      <c r="K1120" s="284">
        <v>0</v>
      </c>
      <c r="L1120" s="284">
        <v>0</v>
      </c>
      <c r="M1120" s="284">
        <v>0</v>
      </c>
      <c r="N1120" s="284">
        <v>164</v>
      </c>
      <c r="O1120" s="284">
        <v>2</v>
      </c>
      <c r="P1120" s="284">
        <v>355</v>
      </c>
      <c r="Q1120" s="286">
        <v>17</v>
      </c>
      <c r="R1120" s="274">
        <v>837</v>
      </c>
      <c r="S1120" s="274">
        <v>19</v>
      </c>
      <c r="T1120" s="287">
        <f t="shared" si="17"/>
        <v>2016</v>
      </c>
      <c r="U1120" s="274">
        <f>VLOOKUP(A1120,'[1]SB35 Determination Data'!$B$4:$F$542,5,FALSE)</f>
        <v>2016</v>
      </c>
    </row>
    <row r="1121" spans="1:21" s="274" customFormat="1" ht="12.75" x14ac:dyDescent="0.2">
      <c r="A1121" s="282" t="s">
        <v>638</v>
      </c>
      <c r="B1121" s="282" t="s">
        <v>530</v>
      </c>
      <c r="C1121" s="282" t="s">
        <v>531</v>
      </c>
      <c r="D1121" s="283">
        <v>2016</v>
      </c>
      <c r="E1121" s="282" t="s">
        <v>650</v>
      </c>
      <c r="F1121" s="284">
        <v>198</v>
      </c>
      <c r="G1121" s="285">
        <v>0</v>
      </c>
      <c r="H1121" s="288">
        <v>0</v>
      </c>
      <c r="I1121" s="285">
        <v>0</v>
      </c>
      <c r="J1121" s="285">
        <v>120</v>
      </c>
      <c r="K1121" s="284">
        <v>0</v>
      </c>
      <c r="L1121" s="284">
        <v>0</v>
      </c>
      <c r="M1121" s="284">
        <v>0</v>
      </c>
      <c r="N1121" s="284">
        <v>164</v>
      </c>
      <c r="O1121" s="284">
        <v>0</v>
      </c>
      <c r="P1121" s="284">
        <v>355</v>
      </c>
      <c r="Q1121" s="286">
        <v>61</v>
      </c>
      <c r="R1121" s="274">
        <v>837</v>
      </c>
      <c r="S1121" s="274">
        <v>61</v>
      </c>
      <c r="T1121" s="287">
        <f t="shared" si="17"/>
        <v>2016</v>
      </c>
      <c r="U1121" s="274">
        <f>VLOOKUP(A1121,'[1]SB35 Determination Data'!$B$4:$F$542,5,FALSE)</f>
        <v>2016</v>
      </c>
    </row>
    <row r="1122" spans="1:21" s="274" customFormat="1" ht="12.75" x14ac:dyDescent="0.2">
      <c r="A1122" s="282" t="s">
        <v>638</v>
      </c>
      <c r="B1122" s="282" t="s">
        <v>530</v>
      </c>
      <c r="C1122" s="282" t="s">
        <v>531</v>
      </c>
      <c r="D1122" s="283">
        <v>2017</v>
      </c>
      <c r="E1122" s="282" t="s">
        <v>650</v>
      </c>
      <c r="F1122" s="284">
        <v>198</v>
      </c>
      <c r="G1122" s="285">
        <v>0</v>
      </c>
      <c r="H1122" s="288">
        <v>0</v>
      </c>
      <c r="I1122" s="285">
        <v>0</v>
      </c>
      <c r="J1122" s="285">
        <v>120</v>
      </c>
      <c r="K1122" s="284">
        <v>0</v>
      </c>
      <c r="L1122" s="284">
        <v>0</v>
      </c>
      <c r="M1122" s="284">
        <v>0</v>
      </c>
      <c r="N1122" s="284">
        <v>164</v>
      </c>
      <c r="O1122" s="284">
        <v>0</v>
      </c>
      <c r="P1122" s="284">
        <v>355</v>
      </c>
      <c r="Q1122" s="286">
        <v>96</v>
      </c>
      <c r="R1122" s="274">
        <v>837</v>
      </c>
      <c r="S1122" s="274">
        <v>96</v>
      </c>
      <c r="T1122" s="287">
        <f t="shared" si="17"/>
        <v>2017</v>
      </c>
      <c r="U1122" s="274">
        <f>VLOOKUP(A1122,'[1]SB35 Determination Data'!$B$4:$F$542,5,FALSE)</f>
        <v>2016</v>
      </c>
    </row>
    <row r="1123" spans="1:21" s="274" customFormat="1" ht="12.75" x14ac:dyDescent="0.2">
      <c r="A1123" s="282" t="s">
        <v>542</v>
      </c>
      <c r="B1123" s="282" t="s">
        <v>542</v>
      </c>
      <c r="C1123" s="282" t="s">
        <v>649</v>
      </c>
      <c r="D1123" s="283">
        <v>2014</v>
      </c>
      <c r="E1123" s="282" t="s">
        <v>650</v>
      </c>
      <c r="F1123" s="284">
        <v>980</v>
      </c>
      <c r="G1123" s="285">
        <v>57</v>
      </c>
      <c r="H1123" s="288">
        <v>57</v>
      </c>
      <c r="I1123" s="285">
        <v>0</v>
      </c>
      <c r="J1123" s="285">
        <v>696</v>
      </c>
      <c r="K1123" s="284">
        <v>18</v>
      </c>
      <c r="L1123" s="284">
        <v>18</v>
      </c>
      <c r="M1123" s="284">
        <v>0</v>
      </c>
      <c r="N1123" s="289">
        <v>808</v>
      </c>
      <c r="O1123" s="284">
        <v>0</v>
      </c>
      <c r="P1123" s="284">
        <v>1900</v>
      </c>
      <c r="Q1123" s="286">
        <v>90</v>
      </c>
      <c r="R1123" s="274">
        <v>4384</v>
      </c>
      <c r="S1123" s="274">
        <v>165</v>
      </c>
      <c r="T1123" s="287">
        <f t="shared" si="17"/>
        <v>2014</v>
      </c>
      <c r="U1123" s="274">
        <f>VLOOKUP(A1123,'[1]SB35 Determination Data'!$B$4:$F$542,5,FALSE)</f>
        <v>2014</v>
      </c>
    </row>
    <row r="1124" spans="1:21" s="274" customFormat="1" ht="12.75" x14ac:dyDescent="0.2">
      <c r="A1124" s="282" t="s">
        <v>542</v>
      </c>
      <c r="B1124" s="282" t="s">
        <v>542</v>
      </c>
      <c r="C1124" s="282" t="s">
        <v>649</v>
      </c>
      <c r="D1124" s="283">
        <v>2017</v>
      </c>
      <c r="E1124" s="282" t="s">
        <v>650</v>
      </c>
      <c r="F1124" s="284">
        <v>980</v>
      </c>
      <c r="G1124" s="285">
        <v>0</v>
      </c>
      <c r="H1124" s="288">
        <v>0</v>
      </c>
      <c r="I1124" s="285">
        <v>0</v>
      </c>
      <c r="J1124" s="285">
        <v>696</v>
      </c>
      <c r="K1124" s="284">
        <v>0</v>
      </c>
      <c r="L1124" s="284">
        <v>0</v>
      </c>
      <c r="M1124" s="284">
        <v>0</v>
      </c>
      <c r="N1124" s="284">
        <v>808</v>
      </c>
      <c r="O1124" s="284">
        <v>12</v>
      </c>
      <c r="P1124" s="284">
        <v>1900</v>
      </c>
      <c r="Q1124" s="286">
        <v>0</v>
      </c>
      <c r="R1124" s="274">
        <v>4384</v>
      </c>
      <c r="S1124" s="274">
        <v>12</v>
      </c>
      <c r="T1124" s="287">
        <f t="shared" si="17"/>
        <v>2017</v>
      </c>
      <c r="U1124" s="274">
        <f>VLOOKUP(A1124,'[1]SB35 Determination Data'!$B$4:$F$542,5,FALSE)</f>
        <v>2014</v>
      </c>
    </row>
    <row r="1125" spans="1:21" s="274" customFormat="1" ht="12.75" x14ac:dyDescent="0.2">
      <c r="A1125" s="282" t="s">
        <v>639</v>
      </c>
      <c r="B1125" s="282" t="s">
        <v>542</v>
      </c>
      <c r="C1125" s="282" t="s">
        <v>649</v>
      </c>
      <c r="D1125" s="283">
        <v>2014</v>
      </c>
      <c r="E1125" s="282" t="s">
        <v>650</v>
      </c>
      <c r="F1125" s="284">
        <v>9</v>
      </c>
      <c r="G1125" s="285">
        <v>16</v>
      </c>
      <c r="H1125" s="288">
        <v>0</v>
      </c>
      <c r="I1125" s="285">
        <v>16</v>
      </c>
      <c r="J1125" s="285">
        <v>6</v>
      </c>
      <c r="K1125" s="284">
        <v>31</v>
      </c>
      <c r="L1125" s="284">
        <v>0</v>
      </c>
      <c r="M1125" s="284">
        <v>31</v>
      </c>
      <c r="N1125" s="284">
        <v>7</v>
      </c>
      <c r="O1125" s="284">
        <v>185</v>
      </c>
      <c r="P1125" s="284">
        <v>17</v>
      </c>
      <c r="Q1125" s="286">
        <v>160</v>
      </c>
      <c r="R1125" s="274">
        <v>39</v>
      </c>
      <c r="S1125" s="274">
        <v>392</v>
      </c>
      <c r="T1125" s="287">
        <f t="shared" si="17"/>
        <v>2014</v>
      </c>
      <c r="U1125" s="274">
        <f>VLOOKUP(A1125,'[1]SB35 Determination Data'!$B$4:$F$542,5,FALSE)</f>
        <v>2014</v>
      </c>
    </row>
    <row r="1126" spans="1:21" s="274" customFormat="1" ht="12.75" x14ac:dyDescent="0.2">
      <c r="A1126" s="282" t="s">
        <v>639</v>
      </c>
      <c r="B1126" s="282" t="s">
        <v>542</v>
      </c>
      <c r="C1126" s="282" t="s">
        <v>649</v>
      </c>
      <c r="D1126" s="283">
        <v>2015</v>
      </c>
      <c r="E1126" s="282" t="s">
        <v>650</v>
      </c>
      <c r="F1126" s="284">
        <v>9</v>
      </c>
      <c r="G1126" s="285">
        <v>16</v>
      </c>
      <c r="H1126" s="288">
        <v>0</v>
      </c>
      <c r="I1126" s="285">
        <v>16</v>
      </c>
      <c r="J1126" s="285">
        <v>6</v>
      </c>
      <c r="K1126" s="284">
        <v>236</v>
      </c>
      <c r="L1126" s="284">
        <v>0</v>
      </c>
      <c r="M1126" s="284">
        <v>236</v>
      </c>
      <c r="N1126" s="284">
        <v>7</v>
      </c>
      <c r="O1126" s="284">
        <v>86</v>
      </c>
      <c r="P1126" s="284">
        <v>17</v>
      </c>
      <c r="Q1126" s="286">
        <v>126</v>
      </c>
      <c r="R1126" s="274">
        <v>39</v>
      </c>
      <c r="S1126" s="274">
        <v>464</v>
      </c>
      <c r="T1126" s="287">
        <f t="shared" si="17"/>
        <v>2015</v>
      </c>
      <c r="U1126" s="274">
        <f>VLOOKUP(A1126,'[1]SB35 Determination Data'!$B$4:$F$542,5,FALSE)</f>
        <v>2014</v>
      </c>
    </row>
    <row r="1127" spans="1:21" s="274" customFormat="1" ht="12.75" x14ac:dyDescent="0.2">
      <c r="A1127" s="282" t="s">
        <v>639</v>
      </c>
      <c r="B1127" s="282" t="s">
        <v>542</v>
      </c>
      <c r="C1127" s="282" t="s">
        <v>649</v>
      </c>
      <c r="D1127" s="283">
        <v>2016</v>
      </c>
      <c r="E1127" s="282" t="s">
        <v>650</v>
      </c>
      <c r="F1127" s="284">
        <v>9</v>
      </c>
      <c r="G1127" s="285">
        <v>33</v>
      </c>
      <c r="H1127" s="288">
        <v>0</v>
      </c>
      <c r="I1127" s="285">
        <v>33</v>
      </c>
      <c r="J1127" s="285">
        <v>6</v>
      </c>
      <c r="K1127" s="284">
        <v>142</v>
      </c>
      <c r="L1127" s="284">
        <v>0</v>
      </c>
      <c r="M1127" s="284">
        <v>142</v>
      </c>
      <c r="N1127" s="284">
        <v>7</v>
      </c>
      <c r="O1127" s="284">
        <v>123</v>
      </c>
      <c r="P1127" s="284">
        <v>17</v>
      </c>
      <c r="Q1127" s="286">
        <v>200</v>
      </c>
      <c r="R1127" s="274">
        <v>39</v>
      </c>
      <c r="S1127" s="274">
        <v>498</v>
      </c>
      <c r="T1127" s="287">
        <f t="shared" si="17"/>
        <v>2016</v>
      </c>
      <c r="U1127" s="274">
        <f>VLOOKUP(A1127,'[1]SB35 Determination Data'!$B$4:$F$542,5,FALSE)</f>
        <v>2014</v>
      </c>
    </row>
    <row r="1128" spans="1:21" s="274" customFormat="1" ht="12.75" x14ac:dyDescent="0.2">
      <c r="A1128" s="282" t="s">
        <v>639</v>
      </c>
      <c r="B1128" s="282" t="s">
        <v>542</v>
      </c>
      <c r="C1128" s="282" t="s">
        <v>649</v>
      </c>
      <c r="D1128" s="283">
        <v>2017</v>
      </c>
      <c r="E1128" s="282" t="s">
        <v>650</v>
      </c>
      <c r="F1128" s="284">
        <v>9</v>
      </c>
      <c r="G1128" s="285">
        <v>51</v>
      </c>
      <c r="H1128" s="288">
        <v>51</v>
      </c>
      <c r="I1128" s="285">
        <v>0</v>
      </c>
      <c r="J1128" s="285">
        <v>6</v>
      </c>
      <c r="K1128" s="284">
        <v>23</v>
      </c>
      <c r="L1128" s="284">
        <v>23</v>
      </c>
      <c r="M1128" s="284">
        <v>0</v>
      </c>
      <c r="N1128" s="289">
        <v>7</v>
      </c>
      <c r="O1128" s="284">
        <v>9</v>
      </c>
      <c r="P1128" s="284">
        <v>17</v>
      </c>
      <c r="Q1128" s="286">
        <v>1</v>
      </c>
      <c r="R1128" s="274">
        <v>39</v>
      </c>
      <c r="S1128" s="274">
        <v>84</v>
      </c>
      <c r="T1128" s="287">
        <f t="shared" si="17"/>
        <v>2017</v>
      </c>
      <c r="U1128" s="274">
        <f>VLOOKUP(A1128,'[1]SB35 Determination Data'!$B$4:$F$542,5,FALSE)</f>
        <v>2014</v>
      </c>
    </row>
    <row r="1129" spans="1:21" s="274" customFormat="1" ht="12.75" x14ac:dyDescent="0.2">
      <c r="A1129" s="282" t="s">
        <v>641</v>
      </c>
      <c r="B1129" s="282" t="s">
        <v>595</v>
      </c>
      <c r="C1129" s="282" t="s">
        <v>654</v>
      </c>
      <c r="D1129" s="283">
        <v>2014</v>
      </c>
      <c r="E1129" s="282" t="s">
        <v>650</v>
      </c>
      <c r="F1129" s="284">
        <v>358</v>
      </c>
      <c r="G1129" s="285">
        <v>0</v>
      </c>
      <c r="H1129" s="288">
        <v>0</v>
      </c>
      <c r="I1129" s="285">
        <v>0</v>
      </c>
      <c r="J1129" s="285">
        <v>161</v>
      </c>
      <c r="K1129" s="284">
        <v>0</v>
      </c>
      <c r="L1129" s="284">
        <v>0</v>
      </c>
      <c r="M1129" s="284">
        <v>0</v>
      </c>
      <c r="N1129" s="284">
        <v>205</v>
      </c>
      <c r="O1129" s="284">
        <v>0</v>
      </c>
      <c r="P1129" s="284">
        <v>431</v>
      </c>
      <c r="Q1129" s="286">
        <v>1</v>
      </c>
      <c r="R1129" s="274">
        <v>1155</v>
      </c>
      <c r="S1129" s="274">
        <v>1</v>
      </c>
      <c r="T1129" s="287">
        <f t="shared" si="17"/>
        <v>2015</v>
      </c>
      <c r="U1129" s="274">
        <f>VLOOKUP(A1129,'[1]SB35 Determination Data'!$B$4:$F$542,5,FALSE)</f>
        <v>2015</v>
      </c>
    </row>
    <row r="1130" spans="1:21" s="274" customFormat="1" ht="12.75" x14ac:dyDescent="0.2">
      <c r="A1130" s="282" t="s">
        <v>641</v>
      </c>
      <c r="B1130" s="282" t="s">
        <v>595</v>
      </c>
      <c r="C1130" s="282" t="s">
        <v>654</v>
      </c>
      <c r="D1130" s="283">
        <v>2015</v>
      </c>
      <c r="E1130" s="282" t="s">
        <v>650</v>
      </c>
      <c r="F1130" s="284">
        <v>358</v>
      </c>
      <c r="G1130" s="285">
        <v>0</v>
      </c>
      <c r="H1130" s="288">
        <v>0</v>
      </c>
      <c r="I1130" s="285">
        <v>0</v>
      </c>
      <c r="J1130" s="285">
        <v>161</v>
      </c>
      <c r="K1130" s="284">
        <v>0</v>
      </c>
      <c r="L1130" s="284">
        <v>0</v>
      </c>
      <c r="M1130" s="284">
        <v>0</v>
      </c>
      <c r="N1130" s="284">
        <v>205</v>
      </c>
      <c r="O1130" s="284">
        <v>1</v>
      </c>
      <c r="P1130" s="284">
        <v>431</v>
      </c>
      <c r="Q1130" s="286">
        <v>9</v>
      </c>
      <c r="R1130" s="274">
        <v>1155</v>
      </c>
      <c r="S1130" s="274">
        <v>10</v>
      </c>
      <c r="T1130" s="287">
        <f t="shared" si="17"/>
        <v>2015</v>
      </c>
      <c r="U1130" s="274">
        <f>VLOOKUP(A1130,'[1]SB35 Determination Data'!$B$4:$F$542,5,FALSE)</f>
        <v>2015</v>
      </c>
    </row>
    <row r="1131" spans="1:21" s="274" customFormat="1" ht="12.75" x14ac:dyDescent="0.2">
      <c r="A1131" s="282" t="s">
        <v>641</v>
      </c>
      <c r="B1131" s="282" t="s">
        <v>595</v>
      </c>
      <c r="C1131" s="282" t="s">
        <v>654</v>
      </c>
      <c r="D1131" s="283">
        <v>2016</v>
      </c>
      <c r="E1131" s="282" t="s">
        <v>650</v>
      </c>
      <c r="F1131" s="284">
        <v>358</v>
      </c>
      <c r="G1131" s="285">
        <v>0</v>
      </c>
      <c r="H1131" s="288">
        <v>0</v>
      </c>
      <c r="I1131" s="285">
        <v>0</v>
      </c>
      <c r="J1131" s="285">
        <v>161</v>
      </c>
      <c r="K1131" s="284">
        <v>4</v>
      </c>
      <c r="L1131" s="284">
        <v>4</v>
      </c>
      <c r="M1131" s="284">
        <v>0</v>
      </c>
      <c r="N1131" s="284">
        <v>205</v>
      </c>
      <c r="O1131" s="284">
        <v>41</v>
      </c>
      <c r="P1131" s="284">
        <v>431</v>
      </c>
      <c r="Q1131" s="286">
        <v>42</v>
      </c>
      <c r="R1131" s="274">
        <v>1155</v>
      </c>
      <c r="S1131" s="274">
        <v>87</v>
      </c>
      <c r="T1131" s="287">
        <f t="shared" si="17"/>
        <v>2016</v>
      </c>
      <c r="U1131" s="274">
        <f>VLOOKUP(A1131,'[1]SB35 Determination Data'!$B$4:$F$542,5,FALSE)</f>
        <v>2015</v>
      </c>
    </row>
    <row r="1132" spans="1:21" s="274" customFormat="1" ht="12.75" x14ac:dyDescent="0.2">
      <c r="A1132" s="282" t="s">
        <v>641</v>
      </c>
      <c r="B1132" s="282" t="s">
        <v>595</v>
      </c>
      <c r="C1132" s="282" t="s">
        <v>654</v>
      </c>
      <c r="D1132" s="283">
        <v>2017</v>
      </c>
      <c r="E1132" s="282" t="s">
        <v>650</v>
      </c>
      <c r="F1132" s="284">
        <v>358</v>
      </c>
      <c r="G1132" s="285">
        <v>0</v>
      </c>
      <c r="H1132" s="288">
        <v>0</v>
      </c>
      <c r="I1132" s="285">
        <v>0</v>
      </c>
      <c r="J1132" s="285">
        <v>161</v>
      </c>
      <c r="K1132" s="284">
        <v>14</v>
      </c>
      <c r="L1132" s="284">
        <v>14</v>
      </c>
      <c r="M1132" s="284">
        <v>0</v>
      </c>
      <c r="N1132" s="284">
        <v>205</v>
      </c>
      <c r="O1132" s="284">
        <v>0</v>
      </c>
      <c r="P1132" s="284">
        <v>431</v>
      </c>
      <c r="Q1132" s="286">
        <v>1</v>
      </c>
      <c r="R1132" s="274">
        <v>1155</v>
      </c>
      <c r="S1132" s="274">
        <v>15</v>
      </c>
      <c r="T1132" s="287">
        <f t="shared" si="17"/>
        <v>2017</v>
      </c>
      <c r="U1132" s="274">
        <f>VLOOKUP(A1132,'[1]SB35 Determination Data'!$B$4:$F$542,5,FALSE)</f>
        <v>2015</v>
      </c>
    </row>
    <row r="1133" spans="1:21" s="274" customFormat="1" ht="12.75" x14ac:dyDescent="0.2">
      <c r="A1133" s="282" t="s">
        <v>642</v>
      </c>
      <c r="B1133" s="282" t="s">
        <v>743</v>
      </c>
      <c r="C1133" s="282" t="s">
        <v>649</v>
      </c>
      <c r="D1133" s="283">
        <v>2014</v>
      </c>
      <c r="E1133" s="282" t="s">
        <v>650</v>
      </c>
      <c r="F1133" s="284">
        <v>861</v>
      </c>
      <c r="G1133" s="285">
        <v>28</v>
      </c>
      <c r="H1133" s="288">
        <v>28</v>
      </c>
      <c r="I1133" s="285">
        <v>0</v>
      </c>
      <c r="J1133" s="285">
        <v>591</v>
      </c>
      <c r="K1133" s="284">
        <v>0</v>
      </c>
      <c r="L1133" s="284">
        <v>0</v>
      </c>
      <c r="M1133" s="284">
        <v>0</v>
      </c>
      <c r="N1133" s="289">
        <v>673</v>
      </c>
      <c r="O1133" s="284">
        <v>2</v>
      </c>
      <c r="P1133" s="284">
        <v>1529</v>
      </c>
      <c r="Q1133" s="286">
        <v>89</v>
      </c>
      <c r="R1133" s="274">
        <v>3654</v>
      </c>
      <c r="S1133" s="274">
        <v>119</v>
      </c>
      <c r="T1133" s="287">
        <f t="shared" si="17"/>
        <v>2014</v>
      </c>
      <c r="U1133" s="274">
        <f>VLOOKUP(A1133,'[1]SB35 Determination Data'!$B$4:$F$542,5,FALSE)</f>
        <v>2014</v>
      </c>
    </row>
    <row r="1134" spans="1:21" s="274" customFormat="1" ht="12.75" x14ac:dyDescent="0.2">
      <c r="A1134" s="282" t="s">
        <v>642</v>
      </c>
      <c r="B1134" s="282" t="s">
        <v>743</v>
      </c>
      <c r="C1134" s="282" t="s">
        <v>649</v>
      </c>
      <c r="D1134" s="283">
        <v>2015</v>
      </c>
      <c r="E1134" s="282" t="s">
        <v>650</v>
      </c>
      <c r="F1134" s="284">
        <v>861</v>
      </c>
      <c r="G1134" s="285">
        <v>49</v>
      </c>
      <c r="H1134" s="288">
        <v>49</v>
      </c>
      <c r="I1134" s="285">
        <v>0</v>
      </c>
      <c r="J1134" s="285">
        <v>591</v>
      </c>
      <c r="K1134" s="284">
        <v>0</v>
      </c>
      <c r="L1134" s="284">
        <v>0</v>
      </c>
      <c r="M1134" s="284">
        <v>0</v>
      </c>
      <c r="N1134" s="284">
        <v>673</v>
      </c>
      <c r="O1134" s="284">
        <v>41</v>
      </c>
      <c r="P1134" s="284">
        <v>1529</v>
      </c>
      <c r="Q1134" s="286">
        <v>55</v>
      </c>
      <c r="R1134" s="274">
        <v>3654</v>
      </c>
      <c r="S1134" s="274">
        <v>145</v>
      </c>
      <c r="T1134" s="287">
        <f t="shared" si="17"/>
        <v>2015</v>
      </c>
      <c r="U1134" s="274">
        <f>VLOOKUP(A1134,'[1]SB35 Determination Data'!$B$4:$F$542,5,FALSE)</f>
        <v>2014</v>
      </c>
    </row>
    <row r="1135" spans="1:21" s="274" customFormat="1" ht="12.75" x14ac:dyDescent="0.2">
      <c r="A1135" s="282" t="s">
        <v>642</v>
      </c>
      <c r="B1135" s="282" t="s">
        <v>743</v>
      </c>
      <c r="C1135" s="282" t="s">
        <v>649</v>
      </c>
      <c r="D1135" s="283">
        <v>2016</v>
      </c>
      <c r="E1135" s="282" t="s">
        <v>650</v>
      </c>
      <c r="F1135" s="284">
        <v>861</v>
      </c>
      <c r="G1135" s="285">
        <v>0</v>
      </c>
      <c r="H1135" s="288">
        <v>0</v>
      </c>
      <c r="I1135" s="285">
        <v>0</v>
      </c>
      <c r="J1135" s="285">
        <v>591</v>
      </c>
      <c r="K1135" s="284">
        <v>12</v>
      </c>
      <c r="L1135" s="284">
        <v>12</v>
      </c>
      <c r="M1135" s="284">
        <v>0</v>
      </c>
      <c r="N1135" s="284">
        <v>673</v>
      </c>
      <c r="O1135" s="284">
        <v>0</v>
      </c>
      <c r="P1135" s="284">
        <v>1529</v>
      </c>
      <c r="Q1135" s="286">
        <v>223</v>
      </c>
      <c r="R1135" s="274">
        <v>3654</v>
      </c>
      <c r="S1135" s="274">
        <v>235</v>
      </c>
      <c r="T1135" s="287">
        <f t="shared" si="17"/>
        <v>2016</v>
      </c>
      <c r="U1135" s="274">
        <f>VLOOKUP(A1135,'[1]SB35 Determination Data'!$B$4:$F$542,5,FALSE)</f>
        <v>2014</v>
      </c>
    </row>
    <row r="1136" spans="1:21" s="274" customFormat="1" ht="12.75" x14ac:dyDescent="0.2">
      <c r="A1136" s="282" t="s">
        <v>642</v>
      </c>
      <c r="B1136" s="282" t="s">
        <v>743</v>
      </c>
      <c r="C1136" s="282" t="s">
        <v>649</v>
      </c>
      <c r="D1136" s="283">
        <v>2017</v>
      </c>
      <c r="E1136" s="282" t="s">
        <v>650</v>
      </c>
      <c r="F1136" s="284">
        <v>861</v>
      </c>
      <c r="G1136" s="285">
        <v>36</v>
      </c>
      <c r="H1136" s="288">
        <v>36</v>
      </c>
      <c r="I1136" s="285">
        <v>0</v>
      </c>
      <c r="J1136" s="285">
        <v>591</v>
      </c>
      <c r="K1136" s="284">
        <v>34</v>
      </c>
      <c r="L1136" s="284">
        <v>34</v>
      </c>
      <c r="M1136" s="284">
        <v>0</v>
      </c>
      <c r="N1136" s="284">
        <v>673</v>
      </c>
      <c r="O1136" s="284">
        <v>19</v>
      </c>
      <c r="P1136" s="284">
        <v>1529</v>
      </c>
      <c r="Q1136" s="286">
        <v>646</v>
      </c>
      <c r="R1136" s="274">
        <v>3654</v>
      </c>
      <c r="S1136" s="274">
        <v>735</v>
      </c>
      <c r="T1136" s="287">
        <f t="shared" si="17"/>
        <v>2017</v>
      </c>
      <c r="U1136" s="274">
        <f>VLOOKUP(A1136,'[1]SB35 Determination Data'!$B$4:$F$542,5,FALSE)</f>
        <v>2014</v>
      </c>
    </row>
    <row r="1137" spans="1:21" s="274" customFormat="1" ht="12.75" x14ac:dyDescent="0.2">
      <c r="A1137" s="282" t="s">
        <v>643</v>
      </c>
      <c r="B1137" s="282" t="s">
        <v>595</v>
      </c>
      <c r="C1137" s="282" t="s">
        <v>654</v>
      </c>
      <c r="D1137" s="283">
        <v>2016</v>
      </c>
      <c r="E1137" s="282" t="s">
        <v>650</v>
      </c>
      <c r="F1137" s="284">
        <v>195</v>
      </c>
      <c r="G1137" s="285">
        <v>4</v>
      </c>
      <c r="H1137" s="288">
        <v>4</v>
      </c>
      <c r="I1137" s="285">
        <v>0</v>
      </c>
      <c r="J1137" s="285">
        <v>107</v>
      </c>
      <c r="K1137" s="284">
        <v>13</v>
      </c>
      <c r="L1137" s="284">
        <v>13</v>
      </c>
      <c r="M1137" s="284">
        <v>0</v>
      </c>
      <c r="N1137" s="284">
        <v>111</v>
      </c>
      <c r="O1137" s="284">
        <v>10</v>
      </c>
      <c r="P1137" s="284">
        <v>183</v>
      </c>
      <c r="Q1137" s="286">
        <v>358</v>
      </c>
      <c r="R1137" s="274">
        <v>596</v>
      </c>
      <c r="S1137" s="274">
        <v>385</v>
      </c>
      <c r="T1137" s="287">
        <f t="shared" si="17"/>
        <v>2016</v>
      </c>
      <c r="U1137" s="274">
        <f>VLOOKUP(A1137,'[1]SB35 Determination Data'!$B$4:$F$542,5,FALSE)</f>
        <v>2015</v>
      </c>
    </row>
    <row r="1138" spans="1:21" s="274" customFormat="1" ht="12.75" x14ac:dyDescent="0.2">
      <c r="A1138" s="282" t="s">
        <v>643</v>
      </c>
      <c r="B1138" s="282" t="s">
        <v>595</v>
      </c>
      <c r="C1138" s="282" t="s">
        <v>654</v>
      </c>
      <c r="D1138" s="283">
        <v>2017</v>
      </c>
      <c r="E1138" s="282" t="s">
        <v>650</v>
      </c>
      <c r="F1138" s="284">
        <v>195</v>
      </c>
      <c r="G1138" s="285">
        <v>1</v>
      </c>
      <c r="H1138" s="288">
        <v>1</v>
      </c>
      <c r="I1138" s="285">
        <v>0</v>
      </c>
      <c r="J1138" s="285">
        <v>107</v>
      </c>
      <c r="K1138" s="284">
        <v>0</v>
      </c>
      <c r="L1138" s="284">
        <v>0</v>
      </c>
      <c r="M1138" s="284">
        <v>0</v>
      </c>
      <c r="N1138" s="284">
        <v>111</v>
      </c>
      <c r="O1138" s="284">
        <v>1</v>
      </c>
      <c r="P1138" s="284">
        <v>183</v>
      </c>
      <c r="Q1138" s="286">
        <v>44</v>
      </c>
      <c r="R1138" s="274">
        <v>596</v>
      </c>
      <c r="S1138" s="274">
        <v>46</v>
      </c>
      <c r="T1138" s="287">
        <f t="shared" si="17"/>
        <v>2017</v>
      </c>
      <c r="U1138" s="274">
        <f>VLOOKUP(A1138,'[1]SB35 Determination Data'!$B$4:$F$542,5,FALSE)</f>
        <v>2015</v>
      </c>
    </row>
    <row r="1139" spans="1:21" s="274" customFormat="1" ht="12.75" x14ac:dyDescent="0.2">
      <c r="A1139" s="282" t="s">
        <v>644</v>
      </c>
      <c r="B1139" s="282" t="s">
        <v>436</v>
      </c>
      <c r="C1139" s="282" t="s">
        <v>649</v>
      </c>
      <c r="D1139" s="283">
        <v>2014</v>
      </c>
      <c r="E1139" s="282" t="s">
        <v>650</v>
      </c>
      <c r="F1139" s="284">
        <v>134</v>
      </c>
      <c r="G1139" s="285">
        <v>65</v>
      </c>
      <c r="H1139" s="288">
        <v>65</v>
      </c>
      <c r="I1139" s="285">
        <v>0</v>
      </c>
      <c r="J1139" s="285">
        <v>95</v>
      </c>
      <c r="K1139" s="284">
        <v>28</v>
      </c>
      <c r="L1139" s="284">
        <v>28</v>
      </c>
      <c r="M1139" s="284">
        <v>0</v>
      </c>
      <c r="N1139" s="284">
        <v>108</v>
      </c>
      <c r="O1139" s="284">
        <v>2</v>
      </c>
      <c r="P1139" s="284">
        <v>244</v>
      </c>
      <c r="Q1139" s="286">
        <v>84</v>
      </c>
      <c r="R1139" s="274">
        <v>581</v>
      </c>
      <c r="S1139" s="274">
        <v>179</v>
      </c>
      <c r="T1139" s="287">
        <f t="shared" si="17"/>
        <v>2014</v>
      </c>
      <c r="U1139" s="274">
        <f>VLOOKUP(A1139,'[1]SB35 Determination Data'!$B$4:$F$542,5,FALSE)</f>
        <v>2014</v>
      </c>
    </row>
    <row r="1140" spans="1:21" s="274" customFormat="1" ht="12.75" x14ac:dyDescent="0.2">
      <c r="A1140" s="282" t="s">
        <v>644</v>
      </c>
      <c r="B1140" s="282" t="s">
        <v>436</v>
      </c>
      <c r="C1140" s="282" t="s">
        <v>649</v>
      </c>
      <c r="D1140" s="283">
        <v>2015</v>
      </c>
      <c r="E1140" s="282" t="s">
        <v>650</v>
      </c>
      <c r="F1140" s="284">
        <v>134</v>
      </c>
      <c r="G1140" s="285">
        <v>0</v>
      </c>
      <c r="H1140" s="288">
        <v>0</v>
      </c>
      <c r="I1140" s="285">
        <v>0</v>
      </c>
      <c r="J1140" s="285">
        <v>95</v>
      </c>
      <c r="K1140" s="284">
        <v>0</v>
      </c>
      <c r="L1140" s="284">
        <v>0</v>
      </c>
      <c r="M1140" s="284">
        <v>0</v>
      </c>
      <c r="N1140" s="284">
        <v>108</v>
      </c>
      <c r="O1140" s="284">
        <v>1</v>
      </c>
      <c r="P1140" s="284">
        <v>244</v>
      </c>
      <c r="Q1140" s="286">
        <v>129</v>
      </c>
      <c r="R1140" s="274">
        <v>581</v>
      </c>
      <c r="S1140" s="274">
        <v>130</v>
      </c>
      <c r="T1140" s="287">
        <f t="shared" si="17"/>
        <v>2015</v>
      </c>
      <c r="U1140" s="274">
        <f>VLOOKUP(A1140,'[1]SB35 Determination Data'!$B$4:$F$542,5,FALSE)</f>
        <v>2014</v>
      </c>
    </row>
    <row r="1141" spans="1:21" s="274" customFormat="1" ht="12.75" x14ac:dyDescent="0.2">
      <c r="A1141" s="282" t="s">
        <v>644</v>
      </c>
      <c r="B1141" s="282" t="s">
        <v>436</v>
      </c>
      <c r="C1141" s="282" t="s">
        <v>649</v>
      </c>
      <c r="D1141" s="283">
        <v>2016</v>
      </c>
      <c r="E1141" s="282" t="s">
        <v>650</v>
      </c>
      <c r="F1141" s="284">
        <v>134</v>
      </c>
      <c r="G1141" s="285">
        <v>0</v>
      </c>
      <c r="H1141" s="288">
        <v>0</v>
      </c>
      <c r="I1141" s="285">
        <v>0</v>
      </c>
      <c r="J1141" s="285">
        <v>95</v>
      </c>
      <c r="K1141" s="284">
        <v>0</v>
      </c>
      <c r="L1141" s="284">
        <v>0</v>
      </c>
      <c r="M1141" s="284">
        <v>0</v>
      </c>
      <c r="N1141" s="284">
        <v>108</v>
      </c>
      <c r="O1141" s="284">
        <v>0</v>
      </c>
      <c r="P1141" s="284">
        <v>244</v>
      </c>
      <c r="Q1141" s="286">
        <v>107</v>
      </c>
      <c r="R1141" s="274">
        <v>581</v>
      </c>
      <c r="S1141" s="274">
        <v>107</v>
      </c>
      <c r="T1141" s="287">
        <f t="shared" si="17"/>
        <v>2016</v>
      </c>
      <c r="U1141" s="274">
        <f>VLOOKUP(A1141,'[1]SB35 Determination Data'!$B$4:$F$542,5,FALSE)</f>
        <v>2014</v>
      </c>
    </row>
    <row r="1142" spans="1:21" s="274" customFormat="1" ht="12.75" x14ac:dyDescent="0.2">
      <c r="A1142" s="282" t="s">
        <v>644</v>
      </c>
      <c r="B1142" s="282" t="s">
        <v>436</v>
      </c>
      <c r="C1142" s="282" t="s">
        <v>649</v>
      </c>
      <c r="D1142" s="283">
        <v>2017</v>
      </c>
      <c r="E1142" s="282" t="s">
        <v>650</v>
      </c>
      <c r="F1142" s="284">
        <v>134</v>
      </c>
      <c r="G1142" s="285">
        <v>0</v>
      </c>
      <c r="H1142" s="288">
        <v>0</v>
      </c>
      <c r="I1142" s="285">
        <v>0</v>
      </c>
      <c r="J1142" s="285">
        <v>95</v>
      </c>
      <c r="K1142" s="284">
        <v>0</v>
      </c>
      <c r="L1142" s="284">
        <v>0</v>
      </c>
      <c r="M1142" s="284">
        <v>0</v>
      </c>
      <c r="N1142" s="284">
        <v>108</v>
      </c>
      <c r="O1142" s="284">
        <v>4</v>
      </c>
      <c r="P1142" s="284">
        <v>244</v>
      </c>
      <c r="Q1142" s="286">
        <v>96</v>
      </c>
      <c r="R1142" s="274">
        <v>581</v>
      </c>
      <c r="S1142" s="274">
        <v>100</v>
      </c>
      <c r="T1142" s="287">
        <f t="shared" si="17"/>
        <v>2017</v>
      </c>
      <c r="U1142" s="274">
        <f>VLOOKUP(A1142,'[1]SB35 Determination Data'!$B$4:$F$542,5,FALSE)</f>
        <v>2014</v>
      </c>
    </row>
    <row r="1143" spans="1:21" s="274" customFormat="1" ht="12.75" x14ac:dyDescent="0.2">
      <c r="A1143" s="282" t="s">
        <v>557</v>
      </c>
      <c r="B1143" s="282" t="s">
        <v>557</v>
      </c>
      <c r="C1143" s="282" t="s">
        <v>758</v>
      </c>
      <c r="D1143" s="283">
        <v>2013</v>
      </c>
      <c r="E1143" s="282" t="s">
        <v>650</v>
      </c>
      <c r="F1143" s="284">
        <v>21977</v>
      </c>
      <c r="G1143" s="285">
        <v>609</v>
      </c>
      <c r="H1143" s="288">
        <v>609</v>
      </c>
      <c r="I1143" s="285">
        <v>0</v>
      </c>
      <c r="J1143" s="285">
        <v>16703</v>
      </c>
      <c r="K1143" s="284">
        <v>915</v>
      </c>
      <c r="L1143" s="284">
        <v>915</v>
      </c>
      <c r="M1143" s="284">
        <v>0</v>
      </c>
      <c r="N1143" s="284">
        <v>15462</v>
      </c>
      <c r="O1143" s="284">
        <v>0</v>
      </c>
      <c r="P1143" s="284">
        <v>33954</v>
      </c>
      <c r="Q1143" s="286">
        <v>7665</v>
      </c>
      <c r="R1143" s="274">
        <v>88096</v>
      </c>
      <c r="S1143" s="274">
        <v>9189</v>
      </c>
      <c r="T1143" s="287">
        <f t="shared" si="17"/>
        <v>2013</v>
      </c>
      <c r="U1143" s="274">
        <f>VLOOKUP(A1143,'[1]SB35 Determination Data'!$B$4:$F$542,5,FALSE)</f>
        <v>2013</v>
      </c>
    </row>
    <row r="1144" spans="1:21" s="274" customFormat="1" ht="12.75" x14ac:dyDescent="0.2">
      <c r="A1144" s="282" t="s">
        <v>557</v>
      </c>
      <c r="B1144" s="282" t="s">
        <v>557</v>
      </c>
      <c r="C1144" s="282" t="s">
        <v>758</v>
      </c>
      <c r="D1144" s="283">
        <v>2014</v>
      </c>
      <c r="E1144" s="282" t="s">
        <v>650</v>
      </c>
      <c r="F1144" s="284">
        <v>21977</v>
      </c>
      <c r="G1144" s="285">
        <v>229</v>
      </c>
      <c r="H1144" s="288">
        <v>229</v>
      </c>
      <c r="I1144" s="285">
        <v>0</v>
      </c>
      <c r="J1144" s="285">
        <v>16703</v>
      </c>
      <c r="K1144" s="284">
        <v>184</v>
      </c>
      <c r="L1144" s="284">
        <v>184</v>
      </c>
      <c r="M1144" s="284">
        <v>0</v>
      </c>
      <c r="N1144" s="289">
        <v>15462</v>
      </c>
      <c r="O1144" s="284">
        <v>4</v>
      </c>
      <c r="P1144" s="284">
        <v>33954</v>
      </c>
      <c r="Q1144" s="286">
        <v>1991</v>
      </c>
      <c r="R1144" s="274">
        <v>88096</v>
      </c>
      <c r="S1144" s="274">
        <v>2408</v>
      </c>
      <c r="T1144" s="287">
        <f t="shared" si="17"/>
        <v>2014</v>
      </c>
      <c r="U1144" s="274">
        <f>VLOOKUP(A1144,'[1]SB35 Determination Data'!$B$4:$F$542,5,FALSE)</f>
        <v>2013</v>
      </c>
    </row>
    <row r="1145" spans="1:21" s="274" customFormat="1" ht="12.75" x14ac:dyDescent="0.2">
      <c r="A1145" s="282" t="s">
        <v>557</v>
      </c>
      <c r="B1145" s="282" t="s">
        <v>557</v>
      </c>
      <c r="C1145" s="282" t="s">
        <v>758</v>
      </c>
      <c r="D1145" s="283">
        <v>2015</v>
      </c>
      <c r="E1145" s="282" t="s">
        <v>650</v>
      </c>
      <c r="F1145" s="284">
        <v>21977</v>
      </c>
      <c r="G1145" s="285">
        <v>265</v>
      </c>
      <c r="H1145" s="288">
        <v>265</v>
      </c>
      <c r="I1145" s="285">
        <v>0</v>
      </c>
      <c r="J1145" s="285">
        <v>16703</v>
      </c>
      <c r="K1145" s="284">
        <v>446</v>
      </c>
      <c r="L1145" s="284">
        <v>446</v>
      </c>
      <c r="M1145" s="284">
        <v>0</v>
      </c>
      <c r="N1145" s="284">
        <v>15462</v>
      </c>
      <c r="O1145" s="284">
        <v>0</v>
      </c>
      <c r="P1145" s="284">
        <v>33954</v>
      </c>
      <c r="Q1145" s="286">
        <v>4221</v>
      </c>
      <c r="R1145" s="274">
        <v>88096</v>
      </c>
      <c r="S1145" s="274">
        <v>4932</v>
      </c>
      <c r="T1145" s="287">
        <f t="shared" si="17"/>
        <v>2015</v>
      </c>
      <c r="U1145" s="274">
        <f>VLOOKUP(A1145,'[1]SB35 Determination Data'!$B$4:$F$542,5,FALSE)</f>
        <v>2013</v>
      </c>
    </row>
    <row r="1146" spans="1:21" s="274" customFormat="1" ht="12.75" x14ac:dyDescent="0.2">
      <c r="A1146" s="282" t="s">
        <v>557</v>
      </c>
      <c r="B1146" s="282" t="s">
        <v>557</v>
      </c>
      <c r="C1146" s="282" t="s">
        <v>758</v>
      </c>
      <c r="D1146" s="283">
        <v>2016</v>
      </c>
      <c r="E1146" s="282" t="s">
        <v>650</v>
      </c>
      <c r="F1146" s="284">
        <v>21977</v>
      </c>
      <c r="G1146" s="285">
        <v>103</v>
      </c>
      <c r="H1146" s="288">
        <v>103</v>
      </c>
      <c r="I1146" s="285">
        <v>0</v>
      </c>
      <c r="J1146" s="285">
        <v>16703</v>
      </c>
      <c r="K1146" s="284">
        <v>253</v>
      </c>
      <c r="L1146" s="284">
        <v>253</v>
      </c>
      <c r="M1146" s="284">
        <v>0</v>
      </c>
      <c r="N1146" s="284">
        <v>15462</v>
      </c>
      <c r="O1146" s="284">
        <v>0</v>
      </c>
      <c r="P1146" s="284">
        <v>33954</v>
      </c>
      <c r="Q1146" s="286">
        <v>7028</v>
      </c>
      <c r="R1146" s="274">
        <v>88096</v>
      </c>
      <c r="S1146" s="274">
        <v>7384</v>
      </c>
      <c r="T1146" s="287">
        <f t="shared" si="17"/>
        <v>2016</v>
      </c>
      <c r="U1146" s="274">
        <f>VLOOKUP(A1146,'[1]SB35 Determination Data'!$B$4:$F$542,5,FALSE)</f>
        <v>2013</v>
      </c>
    </row>
    <row r="1147" spans="1:21" s="274" customFormat="1" ht="12.75" x14ac:dyDescent="0.2">
      <c r="A1147" s="282" t="s">
        <v>557</v>
      </c>
      <c r="B1147" s="282" t="s">
        <v>557</v>
      </c>
      <c r="C1147" s="282" t="s">
        <v>758</v>
      </c>
      <c r="D1147" s="283">
        <v>2017</v>
      </c>
      <c r="E1147" s="282" t="s">
        <v>650</v>
      </c>
      <c r="F1147" s="284">
        <v>21977</v>
      </c>
      <c r="G1147" s="285">
        <v>324</v>
      </c>
      <c r="H1147" s="288">
        <v>324</v>
      </c>
      <c r="I1147" s="285">
        <v>0</v>
      </c>
      <c r="J1147" s="285">
        <v>16703</v>
      </c>
      <c r="K1147" s="284">
        <v>301</v>
      </c>
      <c r="L1147" s="284">
        <v>295</v>
      </c>
      <c r="M1147" s="284">
        <v>6</v>
      </c>
      <c r="N1147" s="284">
        <v>15462</v>
      </c>
      <c r="O1147" s="284">
        <v>0</v>
      </c>
      <c r="P1147" s="284">
        <v>33954</v>
      </c>
      <c r="Q1147" s="286">
        <v>4395</v>
      </c>
      <c r="R1147" s="274">
        <v>88096</v>
      </c>
      <c r="S1147" s="274">
        <v>5020</v>
      </c>
      <c r="T1147" s="287">
        <f t="shared" si="17"/>
        <v>2017</v>
      </c>
      <c r="U1147" s="274">
        <f>VLOOKUP(A1147,'[1]SB35 Determination Data'!$B$4:$F$542,5,FALSE)</f>
        <v>2013</v>
      </c>
    </row>
    <row r="1148" spans="1:21" s="274" customFormat="1" ht="12.75" x14ac:dyDescent="0.2">
      <c r="A1148" s="282" t="s">
        <v>645</v>
      </c>
      <c r="B1148" s="282" t="s">
        <v>557</v>
      </c>
      <c r="C1148" s="282" t="s">
        <v>758</v>
      </c>
      <c r="D1148" s="283">
        <v>2013</v>
      </c>
      <c r="E1148" s="282" t="s">
        <v>650</v>
      </c>
      <c r="F1148" s="284">
        <v>2085</v>
      </c>
      <c r="G1148" s="285">
        <v>23</v>
      </c>
      <c r="H1148" s="288">
        <v>23</v>
      </c>
      <c r="I1148" s="285">
        <v>0</v>
      </c>
      <c r="J1148" s="285">
        <v>1585</v>
      </c>
      <c r="K1148" s="284">
        <v>145</v>
      </c>
      <c r="L1148" s="284">
        <v>145</v>
      </c>
      <c r="M1148" s="284">
        <v>0</v>
      </c>
      <c r="N1148" s="284">
        <v>5864</v>
      </c>
      <c r="O1148" s="284">
        <v>200</v>
      </c>
      <c r="P1148" s="284">
        <v>12878</v>
      </c>
      <c r="Q1148" s="286">
        <v>1225</v>
      </c>
      <c r="R1148" s="274">
        <v>22412</v>
      </c>
      <c r="S1148" s="274">
        <v>1593</v>
      </c>
      <c r="T1148" s="287">
        <f t="shared" si="17"/>
        <v>2013</v>
      </c>
      <c r="U1148" s="274">
        <f>VLOOKUP(A1148,'[1]SB35 Determination Data'!$B$4:$F$542,5,FALSE)</f>
        <v>2013</v>
      </c>
    </row>
    <row r="1149" spans="1:21" s="274" customFormat="1" ht="12.75" x14ac:dyDescent="0.2">
      <c r="A1149" s="282" t="s">
        <v>645</v>
      </c>
      <c r="B1149" s="282" t="s">
        <v>557</v>
      </c>
      <c r="C1149" s="282" t="s">
        <v>758</v>
      </c>
      <c r="D1149" s="283">
        <v>2014</v>
      </c>
      <c r="E1149" s="282" t="s">
        <v>650</v>
      </c>
      <c r="F1149" s="284">
        <v>2085</v>
      </c>
      <c r="G1149" s="285">
        <v>0</v>
      </c>
      <c r="H1149" s="288">
        <v>0</v>
      </c>
      <c r="I1149" s="285">
        <v>0</v>
      </c>
      <c r="J1149" s="285">
        <v>1585</v>
      </c>
      <c r="K1149" s="284">
        <v>27</v>
      </c>
      <c r="L1149" s="284">
        <v>27</v>
      </c>
      <c r="M1149" s="284">
        <v>0</v>
      </c>
      <c r="N1149" s="284">
        <v>5864</v>
      </c>
      <c r="O1149" s="284">
        <v>114</v>
      </c>
      <c r="P1149" s="284">
        <v>12878</v>
      </c>
      <c r="Q1149" s="286">
        <v>576</v>
      </c>
      <c r="R1149" s="274">
        <v>22412</v>
      </c>
      <c r="S1149" s="274">
        <v>717</v>
      </c>
      <c r="T1149" s="287">
        <f t="shared" si="17"/>
        <v>2014</v>
      </c>
      <c r="U1149" s="274">
        <f>VLOOKUP(A1149,'[1]SB35 Determination Data'!$B$4:$F$542,5,FALSE)</f>
        <v>2013</v>
      </c>
    </row>
    <row r="1150" spans="1:21" s="274" customFormat="1" ht="12.75" x14ac:dyDescent="0.2">
      <c r="A1150" s="282" t="s">
        <v>645</v>
      </c>
      <c r="B1150" s="282" t="s">
        <v>557</v>
      </c>
      <c r="C1150" s="282" t="s">
        <v>758</v>
      </c>
      <c r="D1150" s="283">
        <v>2015</v>
      </c>
      <c r="E1150" s="282" t="s">
        <v>650</v>
      </c>
      <c r="F1150" s="284">
        <v>2085</v>
      </c>
      <c r="G1150" s="285">
        <v>2</v>
      </c>
      <c r="H1150" s="288">
        <v>2</v>
      </c>
      <c r="I1150" s="285">
        <v>0</v>
      </c>
      <c r="J1150" s="285">
        <v>1585</v>
      </c>
      <c r="K1150" s="284">
        <v>24</v>
      </c>
      <c r="L1150" s="284">
        <v>24</v>
      </c>
      <c r="M1150" s="284">
        <v>0</v>
      </c>
      <c r="N1150" s="284">
        <v>5864</v>
      </c>
      <c r="O1150" s="284">
        <v>228</v>
      </c>
      <c r="P1150" s="284">
        <v>12878</v>
      </c>
      <c r="Q1150" s="286">
        <v>613</v>
      </c>
      <c r="R1150" s="274">
        <v>22412</v>
      </c>
      <c r="S1150" s="274">
        <v>867</v>
      </c>
      <c r="T1150" s="287">
        <f t="shared" si="17"/>
        <v>2015</v>
      </c>
      <c r="U1150" s="274">
        <f>VLOOKUP(A1150,'[1]SB35 Determination Data'!$B$4:$F$542,5,FALSE)</f>
        <v>2013</v>
      </c>
    </row>
    <row r="1151" spans="1:21" s="274" customFormat="1" ht="12.75" x14ac:dyDescent="0.2">
      <c r="A1151" s="282" t="s">
        <v>645</v>
      </c>
      <c r="B1151" s="282" t="s">
        <v>557</v>
      </c>
      <c r="C1151" s="282" t="s">
        <v>758</v>
      </c>
      <c r="D1151" s="283">
        <v>2016</v>
      </c>
      <c r="E1151" s="282" t="s">
        <v>650</v>
      </c>
      <c r="F1151" s="284">
        <v>2085</v>
      </c>
      <c r="G1151" s="285">
        <v>0</v>
      </c>
      <c r="H1151" s="288">
        <v>0</v>
      </c>
      <c r="I1151" s="285">
        <v>0</v>
      </c>
      <c r="J1151" s="285">
        <v>1585</v>
      </c>
      <c r="K1151" s="284">
        <v>24</v>
      </c>
      <c r="L1151" s="284">
        <v>24</v>
      </c>
      <c r="M1151" s="284">
        <v>0</v>
      </c>
      <c r="N1151" s="284">
        <v>5864</v>
      </c>
      <c r="O1151" s="284">
        <v>177</v>
      </c>
      <c r="P1151" s="284">
        <v>12878</v>
      </c>
      <c r="Q1151" s="286">
        <v>381</v>
      </c>
      <c r="R1151" s="274">
        <v>22412</v>
      </c>
      <c r="S1151" s="274">
        <v>582</v>
      </c>
      <c r="T1151" s="287">
        <f t="shared" si="17"/>
        <v>2016</v>
      </c>
      <c r="U1151" s="274">
        <f>VLOOKUP(A1151,'[1]SB35 Determination Data'!$B$4:$F$542,5,FALSE)</f>
        <v>2013</v>
      </c>
    </row>
    <row r="1152" spans="1:21" s="274" customFormat="1" ht="12.75" x14ac:dyDescent="0.2">
      <c r="A1152" s="282" t="s">
        <v>645</v>
      </c>
      <c r="B1152" s="282" t="s">
        <v>557</v>
      </c>
      <c r="C1152" s="282" t="s">
        <v>758</v>
      </c>
      <c r="D1152" s="283">
        <v>2017</v>
      </c>
      <c r="E1152" s="282" t="s">
        <v>650</v>
      </c>
      <c r="F1152" s="284">
        <v>2085</v>
      </c>
      <c r="G1152" s="285">
        <v>0</v>
      </c>
      <c r="H1152" s="288">
        <v>0</v>
      </c>
      <c r="I1152" s="285">
        <v>0</v>
      </c>
      <c r="J1152" s="285">
        <v>1585</v>
      </c>
      <c r="K1152" s="284">
        <v>52</v>
      </c>
      <c r="L1152" s="284">
        <v>0</v>
      </c>
      <c r="M1152" s="284">
        <v>52</v>
      </c>
      <c r="N1152" s="284">
        <v>5864</v>
      </c>
      <c r="O1152" s="284">
        <v>71</v>
      </c>
      <c r="P1152" s="284">
        <v>12878</v>
      </c>
      <c r="Q1152" s="286">
        <v>532</v>
      </c>
      <c r="R1152" s="274">
        <v>22412</v>
      </c>
      <c r="S1152" s="274">
        <v>655</v>
      </c>
      <c r="T1152" s="287">
        <f t="shared" si="17"/>
        <v>2017</v>
      </c>
      <c r="U1152" s="274">
        <f>VLOOKUP(A1152,'[1]SB35 Determination Data'!$B$4:$F$542,5,FALSE)</f>
        <v>2013</v>
      </c>
    </row>
    <row r="1153" spans="1:21" s="274" customFormat="1" ht="12.75" x14ac:dyDescent="0.2">
      <c r="A1153" s="282" t="s">
        <v>497</v>
      </c>
      <c r="B1153" s="282" t="s">
        <v>262</v>
      </c>
      <c r="C1153" s="282" t="s">
        <v>649</v>
      </c>
      <c r="D1153" s="283">
        <v>2014</v>
      </c>
      <c r="E1153" s="282" t="s">
        <v>650</v>
      </c>
      <c r="F1153" s="284">
        <v>121</v>
      </c>
      <c r="G1153" s="285">
        <v>0</v>
      </c>
      <c r="H1153" s="288">
        <v>0</v>
      </c>
      <c r="I1153" s="285">
        <v>0</v>
      </c>
      <c r="J1153" s="285">
        <v>72</v>
      </c>
      <c r="K1153" s="284">
        <v>0</v>
      </c>
      <c r="L1153" s="284">
        <v>0</v>
      </c>
      <c r="M1153" s="284">
        <v>0</v>
      </c>
      <c r="N1153" s="284">
        <v>77</v>
      </c>
      <c r="O1153" s="284">
        <v>0</v>
      </c>
      <c r="P1153" s="284">
        <v>193</v>
      </c>
      <c r="Q1153" s="286">
        <v>3</v>
      </c>
      <c r="R1153" s="274">
        <v>463</v>
      </c>
      <c r="S1153" s="274">
        <v>3</v>
      </c>
      <c r="T1153" s="287">
        <f t="shared" si="17"/>
        <v>2014</v>
      </c>
      <c r="U1153" s="274">
        <f>VLOOKUP(A1153,'[1]SB35 Determination Data'!$B$4:$F$542,5,FALSE)</f>
        <v>2014</v>
      </c>
    </row>
    <row r="1154" spans="1:21" s="274" customFormat="1" ht="12.75" x14ac:dyDescent="0.2">
      <c r="A1154" s="282" t="s">
        <v>497</v>
      </c>
      <c r="B1154" s="282" t="s">
        <v>262</v>
      </c>
      <c r="C1154" s="282" t="s">
        <v>649</v>
      </c>
      <c r="D1154" s="283">
        <v>2015</v>
      </c>
      <c r="E1154" s="282" t="s">
        <v>650</v>
      </c>
      <c r="F1154" s="284">
        <v>121</v>
      </c>
      <c r="G1154" s="285">
        <v>0</v>
      </c>
      <c r="H1154" s="288">
        <v>0</v>
      </c>
      <c r="I1154" s="285">
        <v>0</v>
      </c>
      <c r="J1154" s="285">
        <v>72</v>
      </c>
      <c r="K1154" s="284">
        <v>0</v>
      </c>
      <c r="L1154" s="284">
        <v>0</v>
      </c>
      <c r="M1154" s="284">
        <v>0</v>
      </c>
      <c r="N1154" s="284">
        <v>77</v>
      </c>
      <c r="O1154" s="284">
        <v>0</v>
      </c>
      <c r="P1154" s="284">
        <v>193</v>
      </c>
      <c r="Q1154" s="286">
        <v>7</v>
      </c>
      <c r="R1154" s="274">
        <v>463</v>
      </c>
      <c r="S1154" s="274">
        <v>7</v>
      </c>
      <c r="T1154" s="287">
        <f t="shared" si="17"/>
        <v>2015</v>
      </c>
      <c r="U1154" s="274">
        <f>VLOOKUP(A1154,'[1]SB35 Determination Data'!$B$4:$F$542,5,FALSE)</f>
        <v>2014</v>
      </c>
    </row>
    <row r="1155" spans="1:21" s="274" customFormat="1" ht="12.75" x14ac:dyDescent="0.2">
      <c r="A1155" s="282" t="s">
        <v>497</v>
      </c>
      <c r="B1155" s="282" t="s">
        <v>262</v>
      </c>
      <c r="C1155" s="282" t="s">
        <v>649</v>
      </c>
      <c r="D1155" s="283">
        <v>2016</v>
      </c>
      <c r="E1155" s="282" t="s">
        <v>650</v>
      </c>
      <c r="F1155" s="284">
        <v>121</v>
      </c>
      <c r="G1155" s="285">
        <v>0</v>
      </c>
      <c r="H1155" s="288">
        <v>0</v>
      </c>
      <c r="I1155" s="285">
        <v>0</v>
      </c>
      <c r="J1155" s="285">
        <v>72</v>
      </c>
      <c r="K1155" s="284">
        <v>0</v>
      </c>
      <c r="L1155" s="284">
        <v>0</v>
      </c>
      <c r="M1155" s="284">
        <v>0</v>
      </c>
      <c r="N1155" s="284">
        <v>77</v>
      </c>
      <c r="O1155" s="284">
        <v>0</v>
      </c>
      <c r="P1155" s="284">
        <v>193</v>
      </c>
      <c r="Q1155" s="286">
        <v>18</v>
      </c>
      <c r="R1155" s="274">
        <v>463</v>
      </c>
      <c r="S1155" s="274">
        <v>18</v>
      </c>
      <c r="T1155" s="287">
        <f t="shared" si="17"/>
        <v>2016</v>
      </c>
      <c r="U1155" s="274">
        <f>VLOOKUP(A1155,'[1]SB35 Determination Data'!$B$4:$F$542,5,FALSE)</f>
        <v>2014</v>
      </c>
    </row>
    <row r="1156" spans="1:21" s="274" customFormat="1" ht="12.75" x14ac:dyDescent="0.2">
      <c r="A1156" s="282" t="s">
        <v>497</v>
      </c>
      <c r="B1156" s="282" t="s">
        <v>262</v>
      </c>
      <c r="C1156" s="282" t="s">
        <v>649</v>
      </c>
      <c r="D1156" s="283">
        <v>2017</v>
      </c>
      <c r="E1156" s="282" t="s">
        <v>650</v>
      </c>
      <c r="F1156" s="284">
        <v>121</v>
      </c>
      <c r="G1156" s="285">
        <v>0</v>
      </c>
      <c r="H1156" s="288">
        <v>0</v>
      </c>
      <c r="I1156" s="285">
        <v>0</v>
      </c>
      <c r="J1156" s="285">
        <v>72</v>
      </c>
      <c r="K1156" s="284">
        <v>0</v>
      </c>
      <c r="L1156" s="284">
        <v>0</v>
      </c>
      <c r="M1156" s="284">
        <v>0</v>
      </c>
      <c r="N1156" s="289">
        <v>77</v>
      </c>
      <c r="O1156" s="284">
        <v>0</v>
      </c>
      <c r="P1156" s="284">
        <v>193</v>
      </c>
      <c r="Q1156" s="286">
        <v>7</v>
      </c>
      <c r="R1156" s="274">
        <v>463</v>
      </c>
      <c r="S1156" s="274">
        <v>7</v>
      </c>
      <c r="T1156" s="287">
        <f t="shared" ref="T1156:T1219" si="18">IF(D1156&gt;U1156,D1156,U1156)</f>
        <v>2017</v>
      </c>
      <c r="U1156" s="274">
        <f>VLOOKUP(A1156,'[1]SB35 Determination Data'!$B$4:$F$542,5,FALSE)</f>
        <v>2014</v>
      </c>
    </row>
    <row r="1157" spans="1:21" s="274" customFormat="1" ht="12.75" x14ac:dyDescent="0.2">
      <c r="A1157" s="282" t="s">
        <v>498</v>
      </c>
      <c r="B1157" s="282" t="s">
        <v>262</v>
      </c>
      <c r="C1157" s="282" t="s">
        <v>649</v>
      </c>
      <c r="D1157" s="283">
        <v>2014</v>
      </c>
      <c r="E1157" s="282" t="s">
        <v>650</v>
      </c>
      <c r="F1157" s="284">
        <v>55</v>
      </c>
      <c r="G1157" s="285">
        <v>28</v>
      </c>
      <c r="H1157" s="288">
        <v>28</v>
      </c>
      <c r="I1157" s="285">
        <v>0</v>
      </c>
      <c r="J1157" s="285">
        <v>32</v>
      </c>
      <c r="K1157" s="284">
        <v>4</v>
      </c>
      <c r="L1157" s="284">
        <v>4</v>
      </c>
      <c r="M1157" s="284">
        <v>0</v>
      </c>
      <c r="N1157" s="284">
        <v>35</v>
      </c>
      <c r="O1157" s="284">
        <v>0</v>
      </c>
      <c r="P1157" s="284">
        <v>95</v>
      </c>
      <c r="Q1157" s="286">
        <v>27</v>
      </c>
      <c r="R1157" s="274">
        <v>217</v>
      </c>
      <c r="S1157" s="274">
        <v>59</v>
      </c>
      <c r="T1157" s="287">
        <f t="shared" si="18"/>
        <v>2014</v>
      </c>
      <c r="U1157" s="274">
        <f>VLOOKUP(A1157,'[1]SB35 Determination Data'!$B$4:$F$542,5,FALSE)</f>
        <v>2014</v>
      </c>
    </row>
    <row r="1158" spans="1:21" s="274" customFormat="1" ht="12.75" x14ac:dyDescent="0.2">
      <c r="A1158" s="282" t="s">
        <v>498</v>
      </c>
      <c r="B1158" s="282" t="s">
        <v>262</v>
      </c>
      <c r="C1158" s="282" t="s">
        <v>649</v>
      </c>
      <c r="D1158" s="283">
        <v>2015</v>
      </c>
      <c r="E1158" s="282" t="s">
        <v>650</v>
      </c>
      <c r="F1158" s="284">
        <v>55</v>
      </c>
      <c r="G1158" s="285">
        <v>0</v>
      </c>
      <c r="H1158" s="288">
        <v>0</v>
      </c>
      <c r="I1158" s="285">
        <v>0</v>
      </c>
      <c r="J1158" s="285">
        <v>32</v>
      </c>
      <c r="K1158" s="284">
        <v>5</v>
      </c>
      <c r="L1158" s="284">
        <v>0</v>
      </c>
      <c r="M1158" s="284">
        <v>5</v>
      </c>
      <c r="N1158" s="284">
        <v>35</v>
      </c>
      <c r="O1158" s="284">
        <v>0</v>
      </c>
      <c r="P1158" s="284">
        <v>95</v>
      </c>
      <c r="Q1158" s="286">
        <v>0</v>
      </c>
      <c r="R1158" s="274">
        <v>217</v>
      </c>
      <c r="S1158" s="274">
        <v>5</v>
      </c>
      <c r="T1158" s="287">
        <f t="shared" si="18"/>
        <v>2015</v>
      </c>
      <c r="U1158" s="274">
        <f>VLOOKUP(A1158,'[1]SB35 Determination Data'!$B$4:$F$542,5,FALSE)</f>
        <v>2014</v>
      </c>
    </row>
    <row r="1159" spans="1:21" s="274" customFormat="1" ht="12.75" x14ac:dyDescent="0.2">
      <c r="A1159" s="282" t="s">
        <v>498</v>
      </c>
      <c r="B1159" s="282" t="s">
        <v>262</v>
      </c>
      <c r="C1159" s="282" t="s">
        <v>649</v>
      </c>
      <c r="D1159" s="283">
        <v>2016</v>
      </c>
      <c r="E1159" s="282" t="s">
        <v>650</v>
      </c>
      <c r="F1159" s="284">
        <v>55</v>
      </c>
      <c r="G1159" s="285">
        <v>0</v>
      </c>
      <c r="H1159" s="288">
        <v>0</v>
      </c>
      <c r="I1159" s="285">
        <v>0</v>
      </c>
      <c r="J1159" s="285">
        <v>32</v>
      </c>
      <c r="K1159" s="284">
        <v>5</v>
      </c>
      <c r="L1159" s="284">
        <v>0</v>
      </c>
      <c r="M1159" s="284">
        <v>5</v>
      </c>
      <c r="N1159" s="284">
        <v>35</v>
      </c>
      <c r="O1159" s="284">
        <v>0</v>
      </c>
      <c r="P1159" s="284">
        <v>95</v>
      </c>
      <c r="Q1159" s="286">
        <v>9</v>
      </c>
      <c r="R1159" s="274">
        <v>217</v>
      </c>
      <c r="S1159" s="274">
        <v>14</v>
      </c>
      <c r="T1159" s="287">
        <f t="shared" si="18"/>
        <v>2016</v>
      </c>
      <c r="U1159" s="274">
        <f>VLOOKUP(A1159,'[1]SB35 Determination Data'!$B$4:$F$542,5,FALSE)</f>
        <v>2014</v>
      </c>
    </row>
    <row r="1160" spans="1:21" s="274" customFormat="1" ht="12.75" x14ac:dyDescent="0.2">
      <c r="A1160" s="282" t="s">
        <v>498</v>
      </c>
      <c r="B1160" s="282" t="s">
        <v>262</v>
      </c>
      <c r="C1160" s="282" t="s">
        <v>649</v>
      </c>
      <c r="D1160" s="283">
        <v>2017</v>
      </c>
      <c r="E1160" s="282" t="s">
        <v>650</v>
      </c>
      <c r="F1160" s="284">
        <v>55</v>
      </c>
      <c r="G1160" s="285">
        <v>0</v>
      </c>
      <c r="H1160" s="288">
        <v>0</v>
      </c>
      <c r="I1160" s="285">
        <v>0</v>
      </c>
      <c r="J1160" s="285">
        <v>32</v>
      </c>
      <c r="K1160" s="284">
        <v>24</v>
      </c>
      <c r="L1160" s="284">
        <v>0</v>
      </c>
      <c r="M1160" s="284">
        <v>24</v>
      </c>
      <c r="N1160" s="284">
        <v>35</v>
      </c>
      <c r="O1160" s="284">
        <v>3</v>
      </c>
      <c r="P1160" s="284">
        <v>95</v>
      </c>
      <c r="Q1160" s="286">
        <v>2</v>
      </c>
      <c r="R1160" s="274">
        <v>217</v>
      </c>
      <c r="S1160" s="274">
        <v>29</v>
      </c>
      <c r="T1160" s="287">
        <f t="shared" si="18"/>
        <v>2017</v>
      </c>
      <c r="U1160" s="274">
        <f>VLOOKUP(A1160,'[1]SB35 Determination Data'!$B$4:$F$542,5,FALSE)</f>
        <v>2014</v>
      </c>
    </row>
    <row r="1161" spans="1:21" s="274" customFormat="1" ht="12.75" x14ac:dyDescent="0.2">
      <c r="A1161" s="282" t="s">
        <v>575</v>
      </c>
      <c r="B1161" s="282" t="s">
        <v>575</v>
      </c>
      <c r="C1161" s="282" t="s">
        <v>654</v>
      </c>
      <c r="D1161" s="283">
        <v>2014</v>
      </c>
      <c r="E1161" s="282" t="s">
        <v>650</v>
      </c>
      <c r="F1161" s="284">
        <v>6234</v>
      </c>
      <c r="G1161" s="285">
        <v>552</v>
      </c>
      <c r="H1161" s="288">
        <v>552</v>
      </c>
      <c r="I1161" s="285">
        <v>0</v>
      </c>
      <c r="J1161" s="285">
        <v>4639</v>
      </c>
      <c r="K1161" s="284">
        <v>377</v>
      </c>
      <c r="L1161" s="284">
        <v>377</v>
      </c>
      <c r="M1161" s="284">
        <v>0</v>
      </c>
      <c r="N1161" s="284">
        <v>5460</v>
      </c>
      <c r="O1161" s="284">
        <v>77</v>
      </c>
      <c r="P1161" s="284">
        <v>12536</v>
      </c>
      <c r="Q1161" s="286">
        <v>2430</v>
      </c>
      <c r="R1161" s="274">
        <v>28869</v>
      </c>
      <c r="S1161" s="274">
        <v>3436</v>
      </c>
      <c r="T1161" s="287">
        <f t="shared" si="18"/>
        <v>2015</v>
      </c>
      <c r="U1161" s="274">
        <f>VLOOKUP(A1161,'[1]SB35 Determination Data'!$B$4:$F$542,5,FALSE)</f>
        <v>2015</v>
      </c>
    </row>
    <row r="1162" spans="1:21" s="274" customFormat="1" ht="12.75" x14ac:dyDescent="0.2">
      <c r="A1162" s="282" t="s">
        <v>575</v>
      </c>
      <c r="B1162" s="282" t="s">
        <v>575</v>
      </c>
      <c r="C1162" s="282" t="s">
        <v>654</v>
      </c>
      <c r="D1162" s="283">
        <v>2015</v>
      </c>
      <c r="E1162" s="282" t="s">
        <v>650</v>
      </c>
      <c r="F1162" s="284">
        <v>6234</v>
      </c>
      <c r="G1162" s="285">
        <v>429</v>
      </c>
      <c r="H1162" s="288">
        <v>429</v>
      </c>
      <c r="I1162" s="285">
        <v>0</v>
      </c>
      <c r="J1162" s="285">
        <v>4639</v>
      </c>
      <c r="K1162" s="284">
        <v>179</v>
      </c>
      <c r="L1162" s="284">
        <v>179</v>
      </c>
      <c r="M1162" s="284">
        <v>0</v>
      </c>
      <c r="N1162" s="284">
        <v>5460</v>
      </c>
      <c r="O1162" s="284">
        <v>113</v>
      </c>
      <c r="P1162" s="284">
        <v>12536</v>
      </c>
      <c r="Q1162" s="286">
        <v>2874</v>
      </c>
      <c r="R1162" s="274">
        <v>28869</v>
      </c>
      <c r="S1162" s="274">
        <v>3595</v>
      </c>
      <c r="T1162" s="287">
        <f t="shared" si="18"/>
        <v>2015</v>
      </c>
      <c r="U1162" s="274">
        <f>VLOOKUP(A1162,'[1]SB35 Determination Data'!$B$4:$F$542,5,FALSE)</f>
        <v>2015</v>
      </c>
    </row>
    <row r="1163" spans="1:21" s="274" customFormat="1" ht="12.75" x14ac:dyDescent="0.2">
      <c r="A1163" s="282" t="s">
        <v>575</v>
      </c>
      <c r="B1163" s="282" t="s">
        <v>575</v>
      </c>
      <c r="C1163" s="282" t="s">
        <v>654</v>
      </c>
      <c r="D1163" s="283">
        <v>2016</v>
      </c>
      <c r="E1163" s="282" t="s">
        <v>650</v>
      </c>
      <c r="F1163" s="284">
        <v>6234</v>
      </c>
      <c r="G1163" s="285">
        <v>410</v>
      </c>
      <c r="H1163" s="288">
        <v>410</v>
      </c>
      <c r="I1163" s="285">
        <v>0</v>
      </c>
      <c r="J1163" s="285">
        <v>4639</v>
      </c>
      <c r="K1163" s="284">
        <v>353</v>
      </c>
      <c r="L1163" s="284">
        <v>353</v>
      </c>
      <c r="M1163" s="284">
        <v>0</v>
      </c>
      <c r="N1163" s="284">
        <v>5460</v>
      </c>
      <c r="O1163" s="284">
        <v>333</v>
      </c>
      <c r="P1163" s="284">
        <v>12536</v>
      </c>
      <c r="Q1163" s="286">
        <v>3604</v>
      </c>
      <c r="R1163" s="274">
        <v>28869</v>
      </c>
      <c r="S1163" s="274">
        <v>4700</v>
      </c>
      <c r="T1163" s="287">
        <f t="shared" si="18"/>
        <v>2016</v>
      </c>
      <c r="U1163" s="274">
        <f>VLOOKUP(A1163,'[1]SB35 Determination Data'!$B$4:$F$542,5,FALSE)</f>
        <v>2015</v>
      </c>
    </row>
    <row r="1164" spans="1:21" s="274" customFormat="1" ht="12.75" x14ac:dyDescent="0.2">
      <c r="A1164" s="282" t="s">
        <v>575</v>
      </c>
      <c r="B1164" s="282" t="s">
        <v>575</v>
      </c>
      <c r="C1164" s="282" t="s">
        <v>654</v>
      </c>
      <c r="D1164" s="283">
        <v>2017</v>
      </c>
      <c r="E1164" s="282" t="s">
        <v>650</v>
      </c>
      <c r="F1164" s="284">
        <v>6234</v>
      </c>
      <c r="G1164" s="285">
        <v>468</v>
      </c>
      <c r="H1164" s="288">
        <v>468</v>
      </c>
      <c r="I1164" s="285">
        <v>0</v>
      </c>
      <c r="J1164" s="285">
        <v>4639</v>
      </c>
      <c r="K1164" s="284">
        <v>427</v>
      </c>
      <c r="L1164" s="284">
        <v>427</v>
      </c>
      <c r="M1164" s="284">
        <v>0</v>
      </c>
      <c r="N1164" s="284">
        <v>5460</v>
      </c>
      <c r="O1164" s="284">
        <v>268</v>
      </c>
      <c r="P1164" s="284">
        <v>12536</v>
      </c>
      <c r="Q1164" s="286">
        <v>4641</v>
      </c>
      <c r="R1164" s="274">
        <v>28869</v>
      </c>
      <c r="S1164" s="274">
        <v>5804</v>
      </c>
      <c r="T1164" s="287">
        <f t="shared" si="18"/>
        <v>2017</v>
      </c>
      <c r="U1164" s="274">
        <f>VLOOKUP(A1164,'[1]SB35 Determination Data'!$B$4:$F$542,5,FALSE)</f>
        <v>2015</v>
      </c>
    </row>
    <row r="1165" spans="1:21" s="274" customFormat="1" ht="12.75" x14ac:dyDescent="0.2">
      <c r="A1165" s="282" t="s">
        <v>500</v>
      </c>
      <c r="B1165" s="282" t="s">
        <v>262</v>
      </c>
      <c r="C1165" s="282" t="s">
        <v>649</v>
      </c>
      <c r="D1165" s="283">
        <v>2014</v>
      </c>
      <c r="E1165" s="282" t="s">
        <v>650</v>
      </c>
      <c r="F1165" s="284">
        <v>236</v>
      </c>
      <c r="G1165" s="285">
        <v>0</v>
      </c>
      <c r="H1165" s="288">
        <v>0</v>
      </c>
      <c r="I1165" s="285">
        <v>0</v>
      </c>
      <c r="J1165" s="285">
        <v>142</v>
      </c>
      <c r="K1165" s="284">
        <v>0</v>
      </c>
      <c r="L1165" s="284">
        <v>0</v>
      </c>
      <c r="M1165" s="284">
        <v>0</v>
      </c>
      <c r="N1165" s="284">
        <v>154</v>
      </c>
      <c r="O1165" s="284">
        <v>6</v>
      </c>
      <c r="P1165" s="284">
        <v>398</v>
      </c>
      <c r="Q1165" s="286">
        <v>18</v>
      </c>
      <c r="R1165" s="274">
        <v>930</v>
      </c>
      <c r="S1165" s="274">
        <v>24</v>
      </c>
      <c r="T1165" s="287">
        <f t="shared" si="18"/>
        <v>2014</v>
      </c>
      <c r="U1165" s="274">
        <f>VLOOKUP(A1165,'[1]SB35 Determination Data'!$B$4:$F$542,5,FALSE)</f>
        <v>2014</v>
      </c>
    </row>
    <row r="1166" spans="1:21" s="274" customFormat="1" ht="12.75" x14ac:dyDescent="0.2">
      <c r="A1166" s="282" t="s">
        <v>500</v>
      </c>
      <c r="B1166" s="282" t="s">
        <v>262</v>
      </c>
      <c r="C1166" s="282" t="s">
        <v>649</v>
      </c>
      <c r="D1166" s="283">
        <v>2015</v>
      </c>
      <c r="E1166" s="282" t="s">
        <v>650</v>
      </c>
      <c r="F1166" s="284">
        <v>236</v>
      </c>
      <c r="G1166" s="285">
        <v>1</v>
      </c>
      <c r="H1166" s="288">
        <v>0</v>
      </c>
      <c r="I1166" s="285">
        <v>1</v>
      </c>
      <c r="J1166" s="285">
        <v>142</v>
      </c>
      <c r="K1166" s="284">
        <v>0</v>
      </c>
      <c r="L1166" s="284">
        <v>0</v>
      </c>
      <c r="M1166" s="284">
        <v>0</v>
      </c>
      <c r="N1166" s="284">
        <v>154</v>
      </c>
      <c r="O1166" s="284">
        <v>54</v>
      </c>
      <c r="P1166" s="284">
        <v>398</v>
      </c>
      <c r="Q1166" s="286">
        <v>63</v>
      </c>
      <c r="R1166" s="274">
        <v>930</v>
      </c>
      <c r="S1166" s="274">
        <v>118</v>
      </c>
      <c r="T1166" s="287">
        <f t="shared" si="18"/>
        <v>2015</v>
      </c>
      <c r="U1166" s="274">
        <f>VLOOKUP(A1166,'[1]SB35 Determination Data'!$B$4:$F$542,5,FALSE)</f>
        <v>2014</v>
      </c>
    </row>
    <row r="1167" spans="1:21" s="274" customFormat="1" ht="12.75" x14ac:dyDescent="0.2">
      <c r="A1167" s="282" t="s">
        <v>500</v>
      </c>
      <c r="B1167" s="282" t="s">
        <v>262</v>
      </c>
      <c r="C1167" s="282" t="s">
        <v>649</v>
      </c>
      <c r="D1167" s="283">
        <v>2016</v>
      </c>
      <c r="E1167" s="282" t="s">
        <v>650</v>
      </c>
      <c r="F1167" s="284">
        <v>236</v>
      </c>
      <c r="G1167" s="285">
        <v>0</v>
      </c>
      <c r="H1167" s="288">
        <v>0</v>
      </c>
      <c r="I1167" s="285">
        <v>0</v>
      </c>
      <c r="J1167" s="285">
        <v>142</v>
      </c>
      <c r="K1167" s="284">
        <v>2</v>
      </c>
      <c r="L1167" s="284">
        <v>0</v>
      </c>
      <c r="M1167" s="284">
        <v>2</v>
      </c>
      <c r="N1167" s="284">
        <v>154</v>
      </c>
      <c r="O1167" s="284">
        <v>31</v>
      </c>
      <c r="P1167" s="284">
        <v>398</v>
      </c>
      <c r="Q1167" s="286">
        <v>37</v>
      </c>
      <c r="R1167" s="274">
        <v>930</v>
      </c>
      <c r="S1167" s="274">
        <v>70</v>
      </c>
      <c r="T1167" s="287">
        <f t="shared" si="18"/>
        <v>2016</v>
      </c>
      <c r="U1167" s="274">
        <f>VLOOKUP(A1167,'[1]SB35 Determination Data'!$B$4:$F$542,5,FALSE)</f>
        <v>2014</v>
      </c>
    </row>
    <row r="1168" spans="1:21" s="274" customFormat="1" ht="12.75" x14ac:dyDescent="0.2">
      <c r="A1168" s="282" t="s">
        <v>500</v>
      </c>
      <c r="B1168" s="282" t="s">
        <v>262</v>
      </c>
      <c r="C1168" s="282" t="s">
        <v>649</v>
      </c>
      <c r="D1168" s="283">
        <v>2017</v>
      </c>
      <c r="E1168" s="282" t="s">
        <v>650</v>
      </c>
      <c r="F1168" s="284">
        <v>236</v>
      </c>
      <c r="G1168" s="285">
        <v>0</v>
      </c>
      <c r="H1168" s="288">
        <v>0</v>
      </c>
      <c r="I1168" s="285">
        <v>0</v>
      </c>
      <c r="J1168" s="285">
        <v>142</v>
      </c>
      <c r="K1168" s="284">
        <v>0</v>
      </c>
      <c r="L1168" s="284">
        <v>0</v>
      </c>
      <c r="M1168" s="284">
        <v>0</v>
      </c>
      <c r="N1168" s="284">
        <v>154</v>
      </c>
      <c r="O1168" s="284">
        <v>2</v>
      </c>
      <c r="P1168" s="284">
        <v>398</v>
      </c>
      <c r="Q1168" s="286">
        <v>102</v>
      </c>
      <c r="R1168" s="274">
        <v>930</v>
      </c>
      <c r="S1168" s="274">
        <v>104</v>
      </c>
      <c r="T1168" s="287">
        <f t="shared" si="18"/>
        <v>2017</v>
      </c>
      <c r="U1168" s="274">
        <f>VLOOKUP(A1168,'[1]SB35 Determination Data'!$B$4:$F$542,5,FALSE)</f>
        <v>2014</v>
      </c>
    </row>
    <row r="1169" spans="1:21" s="274" customFormat="1" ht="12.75" x14ac:dyDescent="0.2">
      <c r="A1169" s="282" t="s">
        <v>648</v>
      </c>
      <c r="B1169" s="282" t="s">
        <v>481</v>
      </c>
      <c r="C1169" s="282" t="s">
        <v>649</v>
      </c>
      <c r="D1169" s="283">
        <v>2014</v>
      </c>
      <c r="E1169" s="282" t="s">
        <v>650</v>
      </c>
      <c r="F1169" s="284">
        <v>562</v>
      </c>
      <c r="G1169" s="285">
        <v>0</v>
      </c>
      <c r="H1169" s="288">
        <v>0</v>
      </c>
      <c r="I1169" s="285">
        <v>0</v>
      </c>
      <c r="J1169" s="285">
        <v>394</v>
      </c>
      <c r="K1169" s="284">
        <v>0</v>
      </c>
      <c r="L1169" s="284">
        <v>0</v>
      </c>
      <c r="M1169" s="284">
        <v>0</v>
      </c>
      <c r="N1169" s="284">
        <v>441</v>
      </c>
      <c r="O1169" s="284">
        <v>8</v>
      </c>
      <c r="P1169" s="284">
        <v>1036</v>
      </c>
      <c r="Q1169" s="286">
        <v>102</v>
      </c>
      <c r="R1169" s="274">
        <v>2433</v>
      </c>
      <c r="S1169" s="274">
        <v>110</v>
      </c>
      <c r="T1169" s="287">
        <f t="shared" si="18"/>
        <v>2014</v>
      </c>
      <c r="U1169" s="274">
        <f>VLOOKUP(A1169,'[1]SB35 Determination Data'!$B$4:$F$542,5,FALSE)</f>
        <v>2014</v>
      </c>
    </row>
    <row r="1170" spans="1:21" s="274" customFormat="1" ht="12.75" x14ac:dyDescent="0.2">
      <c r="A1170" s="282" t="s">
        <v>648</v>
      </c>
      <c r="B1170" s="282" t="s">
        <v>481</v>
      </c>
      <c r="C1170" s="282" t="s">
        <v>649</v>
      </c>
      <c r="D1170" s="283">
        <v>2016</v>
      </c>
      <c r="E1170" s="282" t="s">
        <v>650</v>
      </c>
      <c r="F1170" s="290">
        <v>562</v>
      </c>
      <c r="G1170" s="285">
        <v>0</v>
      </c>
      <c r="H1170" s="291">
        <v>0</v>
      </c>
      <c r="I1170" s="290">
        <v>0</v>
      </c>
      <c r="J1170" s="285">
        <v>394</v>
      </c>
      <c r="K1170" s="284">
        <v>0</v>
      </c>
      <c r="L1170" s="290">
        <v>0</v>
      </c>
      <c r="M1170" s="290">
        <v>0</v>
      </c>
      <c r="N1170" s="290">
        <v>441</v>
      </c>
      <c r="O1170" s="290">
        <v>0</v>
      </c>
      <c r="P1170" s="290">
        <v>1036</v>
      </c>
      <c r="Q1170" s="286">
        <v>0</v>
      </c>
      <c r="R1170" s="274">
        <v>2433</v>
      </c>
      <c r="S1170" s="274">
        <v>0</v>
      </c>
      <c r="T1170" s="287">
        <f t="shared" si="18"/>
        <v>2016</v>
      </c>
      <c r="U1170" s="274">
        <f>VLOOKUP(A1170,'[1]SB35 Determination Data'!$B$4:$F$542,5,FALSE)</f>
        <v>2014</v>
      </c>
    </row>
    <row r="1171" spans="1:21" s="274" customFormat="1" ht="12.75" x14ac:dyDescent="0.2">
      <c r="A1171" s="282" t="s">
        <v>648</v>
      </c>
      <c r="B1171" s="282" t="s">
        <v>481</v>
      </c>
      <c r="C1171" s="282" t="s">
        <v>649</v>
      </c>
      <c r="D1171" s="283">
        <v>2017</v>
      </c>
      <c r="E1171" s="282" t="s">
        <v>650</v>
      </c>
      <c r="F1171" s="284">
        <v>562</v>
      </c>
      <c r="G1171" s="285">
        <v>0</v>
      </c>
      <c r="H1171" s="288">
        <v>0</v>
      </c>
      <c r="I1171" s="285">
        <v>0</v>
      </c>
      <c r="J1171" s="285">
        <v>394</v>
      </c>
      <c r="K1171" s="284">
        <v>0</v>
      </c>
      <c r="L1171" s="284">
        <v>0</v>
      </c>
      <c r="M1171" s="284">
        <v>0</v>
      </c>
      <c r="N1171" s="284">
        <v>441</v>
      </c>
      <c r="O1171" s="284">
        <v>0</v>
      </c>
      <c r="P1171" s="284">
        <v>1036</v>
      </c>
      <c r="Q1171" s="286">
        <v>216</v>
      </c>
      <c r="R1171" s="274">
        <v>2433</v>
      </c>
      <c r="S1171" s="274">
        <v>216</v>
      </c>
      <c r="T1171" s="287">
        <f t="shared" si="18"/>
        <v>2017</v>
      </c>
      <c r="U1171" s="274">
        <f>VLOOKUP(A1171,'[1]SB35 Determination Data'!$B$4:$F$542,5,FALSE)</f>
        <v>2014</v>
      </c>
    </row>
    <row r="1172" spans="1:21" s="274" customFormat="1" ht="12.75" x14ac:dyDescent="0.2">
      <c r="A1172" s="282" t="s">
        <v>652</v>
      </c>
      <c r="B1172" s="282" t="s">
        <v>383</v>
      </c>
      <c r="C1172" s="282" t="s">
        <v>531</v>
      </c>
      <c r="D1172" s="283">
        <v>2015</v>
      </c>
      <c r="E1172" s="282" t="s">
        <v>650</v>
      </c>
      <c r="F1172" s="284">
        <v>2496</v>
      </c>
      <c r="G1172" s="285">
        <v>10</v>
      </c>
      <c r="H1172" s="288">
        <v>0</v>
      </c>
      <c r="I1172" s="285">
        <v>10</v>
      </c>
      <c r="J1172" s="285">
        <v>1727</v>
      </c>
      <c r="K1172" s="284">
        <v>56</v>
      </c>
      <c r="L1172" s="284">
        <v>10</v>
      </c>
      <c r="M1172" s="284">
        <v>46</v>
      </c>
      <c r="N1172" s="284">
        <v>1724</v>
      </c>
      <c r="O1172" s="284">
        <v>90</v>
      </c>
      <c r="P1172" s="284">
        <v>4220</v>
      </c>
      <c r="Q1172" s="286">
        <v>183</v>
      </c>
      <c r="R1172" s="274">
        <v>10167</v>
      </c>
      <c r="S1172" s="274">
        <v>339</v>
      </c>
      <c r="T1172" s="287">
        <f t="shared" si="18"/>
        <v>2016</v>
      </c>
      <c r="U1172" s="274">
        <f>VLOOKUP(A1172,'[1]SB35 Determination Data'!$B$4:$F$542,5,FALSE)</f>
        <v>2016</v>
      </c>
    </row>
    <row r="1173" spans="1:21" s="274" customFormat="1" ht="12.75" x14ac:dyDescent="0.2">
      <c r="A1173" s="282" t="s">
        <v>652</v>
      </c>
      <c r="B1173" s="282" t="s">
        <v>383</v>
      </c>
      <c r="C1173" s="282" t="s">
        <v>531</v>
      </c>
      <c r="D1173" s="283">
        <v>2016</v>
      </c>
      <c r="E1173" s="282" t="s">
        <v>650</v>
      </c>
      <c r="F1173" s="284">
        <v>2496</v>
      </c>
      <c r="G1173" s="285">
        <v>1</v>
      </c>
      <c r="H1173" s="288">
        <v>0</v>
      </c>
      <c r="I1173" s="285">
        <v>1</v>
      </c>
      <c r="J1173" s="285">
        <v>1727</v>
      </c>
      <c r="K1173" s="284">
        <v>134</v>
      </c>
      <c r="L1173" s="284">
        <v>0</v>
      </c>
      <c r="M1173" s="284">
        <v>134</v>
      </c>
      <c r="N1173" s="284">
        <v>1724</v>
      </c>
      <c r="O1173" s="284">
        <v>96</v>
      </c>
      <c r="P1173" s="284">
        <v>4220</v>
      </c>
      <c r="Q1173" s="286">
        <v>234</v>
      </c>
      <c r="R1173" s="274">
        <v>10167</v>
      </c>
      <c r="S1173" s="274">
        <v>465</v>
      </c>
      <c r="T1173" s="287">
        <f t="shared" si="18"/>
        <v>2016</v>
      </c>
      <c r="U1173" s="274">
        <f>VLOOKUP(A1173,'[1]SB35 Determination Data'!$B$4:$F$542,5,FALSE)</f>
        <v>2016</v>
      </c>
    </row>
    <row r="1174" spans="1:21" s="274" customFormat="1" ht="12.75" x14ac:dyDescent="0.2">
      <c r="A1174" s="282" t="s">
        <v>652</v>
      </c>
      <c r="B1174" s="282" t="s">
        <v>383</v>
      </c>
      <c r="C1174" s="282" t="s">
        <v>531</v>
      </c>
      <c r="D1174" s="283">
        <v>2017</v>
      </c>
      <c r="E1174" s="282" t="s">
        <v>650</v>
      </c>
      <c r="F1174" s="284">
        <v>2496</v>
      </c>
      <c r="G1174" s="285">
        <v>0</v>
      </c>
      <c r="H1174" s="288">
        <v>0</v>
      </c>
      <c r="I1174" s="285">
        <v>0</v>
      </c>
      <c r="J1174" s="285">
        <v>1727</v>
      </c>
      <c r="K1174" s="284">
        <v>70</v>
      </c>
      <c r="L1174" s="284">
        <v>70</v>
      </c>
      <c r="M1174" s="284">
        <v>0</v>
      </c>
      <c r="N1174" s="284">
        <v>1724</v>
      </c>
      <c r="O1174" s="284">
        <v>93</v>
      </c>
      <c r="P1174" s="284">
        <v>4220</v>
      </c>
      <c r="Q1174" s="286">
        <v>180</v>
      </c>
      <c r="R1174" s="274">
        <v>10167</v>
      </c>
      <c r="S1174" s="274">
        <v>343</v>
      </c>
      <c r="T1174" s="287">
        <f t="shared" si="18"/>
        <v>2017</v>
      </c>
      <c r="U1174" s="274">
        <f>VLOOKUP(A1174,'[1]SB35 Determination Data'!$B$4:$F$542,5,FALSE)</f>
        <v>2016</v>
      </c>
    </row>
    <row r="1175" spans="1:21" s="274" customFormat="1" ht="12.75" x14ac:dyDescent="0.2">
      <c r="A1175" s="282" t="s">
        <v>653</v>
      </c>
      <c r="B1175" s="282" t="s">
        <v>614</v>
      </c>
      <c r="C1175" s="282" t="s">
        <v>654</v>
      </c>
      <c r="D1175" s="283">
        <v>2014</v>
      </c>
      <c r="E1175" s="282" t="s">
        <v>650</v>
      </c>
      <c r="F1175" s="284">
        <v>9233</v>
      </c>
      <c r="G1175" s="285">
        <v>275</v>
      </c>
      <c r="H1175" s="288">
        <v>275</v>
      </c>
      <c r="I1175" s="285">
        <v>0</v>
      </c>
      <c r="J1175" s="285">
        <v>5428</v>
      </c>
      <c r="K1175" s="284">
        <v>231</v>
      </c>
      <c r="L1175" s="284">
        <v>231</v>
      </c>
      <c r="M1175" s="284">
        <v>0</v>
      </c>
      <c r="N1175" s="284">
        <v>6188</v>
      </c>
      <c r="O1175" s="284">
        <v>0</v>
      </c>
      <c r="P1175" s="284">
        <v>14231</v>
      </c>
      <c r="Q1175" s="286">
        <v>3946</v>
      </c>
      <c r="R1175" s="274">
        <v>35080</v>
      </c>
      <c r="S1175" s="274">
        <v>4452</v>
      </c>
      <c r="T1175" s="287">
        <f t="shared" si="18"/>
        <v>2015</v>
      </c>
      <c r="U1175" s="274">
        <f>VLOOKUP(A1175,'[1]SB35 Determination Data'!$B$4:$F$542,5,FALSE)</f>
        <v>2015</v>
      </c>
    </row>
    <row r="1176" spans="1:21" s="274" customFormat="1" ht="12.75" x14ac:dyDescent="0.2">
      <c r="A1176" s="282" t="s">
        <v>653</v>
      </c>
      <c r="B1176" s="282" t="s">
        <v>614</v>
      </c>
      <c r="C1176" s="282" t="s">
        <v>654</v>
      </c>
      <c r="D1176" s="283">
        <v>2015</v>
      </c>
      <c r="E1176" s="282" t="s">
        <v>650</v>
      </c>
      <c r="F1176" s="284">
        <v>9233</v>
      </c>
      <c r="G1176" s="285">
        <v>70</v>
      </c>
      <c r="H1176" s="288">
        <v>70</v>
      </c>
      <c r="I1176" s="285">
        <v>0</v>
      </c>
      <c r="J1176" s="285">
        <v>5428</v>
      </c>
      <c r="K1176" s="284">
        <v>0</v>
      </c>
      <c r="L1176" s="284">
        <v>0</v>
      </c>
      <c r="M1176" s="284">
        <v>0</v>
      </c>
      <c r="N1176" s="284">
        <v>6188</v>
      </c>
      <c r="O1176" s="284">
        <v>0</v>
      </c>
      <c r="P1176" s="284">
        <v>14231</v>
      </c>
      <c r="Q1176" s="286">
        <v>1951</v>
      </c>
      <c r="R1176" s="274">
        <v>35080</v>
      </c>
      <c r="S1176" s="274">
        <v>2021</v>
      </c>
      <c r="T1176" s="287">
        <f t="shared" si="18"/>
        <v>2015</v>
      </c>
      <c r="U1176" s="274">
        <f>VLOOKUP(A1176,'[1]SB35 Determination Data'!$B$4:$F$542,5,FALSE)</f>
        <v>2015</v>
      </c>
    </row>
    <row r="1177" spans="1:21" s="274" customFormat="1" ht="12.75" x14ac:dyDescent="0.2">
      <c r="A1177" s="282" t="s">
        <v>653</v>
      </c>
      <c r="B1177" s="282" t="s">
        <v>614</v>
      </c>
      <c r="C1177" s="282" t="s">
        <v>654</v>
      </c>
      <c r="D1177" s="283">
        <v>2016</v>
      </c>
      <c r="E1177" s="282" t="s">
        <v>650</v>
      </c>
      <c r="F1177" s="284">
        <v>9233</v>
      </c>
      <c r="G1177" s="285">
        <v>314</v>
      </c>
      <c r="H1177" s="288">
        <v>314</v>
      </c>
      <c r="I1177" s="285">
        <v>0</v>
      </c>
      <c r="J1177" s="285">
        <v>5428</v>
      </c>
      <c r="K1177" s="284">
        <v>0</v>
      </c>
      <c r="L1177" s="284">
        <v>0</v>
      </c>
      <c r="M1177" s="284">
        <v>0</v>
      </c>
      <c r="N1177" s="284">
        <v>6188</v>
      </c>
      <c r="O1177" s="284">
        <v>0</v>
      </c>
      <c r="P1177" s="284">
        <v>14231</v>
      </c>
      <c r="Q1177" s="286">
        <v>1774</v>
      </c>
      <c r="R1177" s="274">
        <v>35080</v>
      </c>
      <c r="S1177" s="274">
        <v>2088</v>
      </c>
      <c r="T1177" s="287">
        <f t="shared" si="18"/>
        <v>2016</v>
      </c>
      <c r="U1177" s="274">
        <f>VLOOKUP(A1177,'[1]SB35 Determination Data'!$B$4:$F$542,5,FALSE)</f>
        <v>2015</v>
      </c>
    </row>
    <row r="1178" spans="1:21" s="274" customFormat="1" ht="12.75" x14ac:dyDescent="0.2">
      <c r="A1178" s="282" t="s">
        <v>653</v>
      </c>
      <c r="B1178" s="282" t="s">
        <v>614</v>
      </c>
      <c r="C1178" s="282" t="s">
        <v>654</v>
      </c>
      <c r="D1178" s="283">
        <v>2017</v>
      </c>
      <c r="E1178" s="282" t="s">
        <v>650</v>
      </c>
      <c r="F1178" s="284">
        <v>9233</v>
      </c>
      <c r="G1178" s="285">
        <v>190</v>
      </c>
      <c r="H1178" s="288">
        <v>190</v>
      </c>
      <c r="I1178" s="285">
        <v>0</v>
      </c>
      <c r="J1178" s="285">
        <v>5428</v>
      </c>
      <c r="K1178" s="284">
        <v>0</v>
      </c>
      <c r="L1178" s="284">
        <v>0</v>
      </c>
      <c r="M1178" s="284">
        <v>0</v>
      </c>
      <c r="N1178" s="289">
        <v>6188</v>
      </c>
      <c r="O1178" s="284">
        <v>285</v>
      </c>
      <c r="P1178" s="284">
        <v>14231</v>
      </c>
      <c r="Q1178" s="286">
        <v>2622</v>
      </c>
      <c r="R1178" s="274">
        <v>35080</v>
      </c>
      <c r="S1178" s="274">
        <v>3097</v>
      </c>
      <c r="T1178" s="287">
        <f t="shared" si="18"/>
        <v>2017</v>
      </c>
      <c r="U1178" s="274">
        <f>VLOOKUP(A1178,'[1]SB35 Determination Data'!$B$4:$F$542,5,FALSE)</f>
        <v>2015</v>
      </c>
    </row>
    <row r="1179" spans="1:21" s="274" customFormat="1" ht="12.75" x14ac:dyDescent="0.2">
      <c r="A1179" s="282" t="s">
        <v>656</v>
      </c>
      <c r="B1179" s="282" t="s">
        <v>436</v>
      </c>
      <c r="C1179" s="282" t="s">
        <v>649</v>
      </c>
      <c r="D1179" s="283">
        <v>2014</v>
      </c>
      <c r="E1179" s="282" t="s">
        <v>650</v>
      </c>
      <c r="F1179" s="284">
        <v>147</v>
      </c>
      <c r="G1179" s="285">
        <v>0</v>
      </c>
      <c r="H1179" s="288">
        <v>0</v>
      </c>
      <c r="I1179" s="285">
        <v>0</v>
      </c>
      <c r="J1179" s="285">
        <v>104</v>
      </c>
      <c r="K1179" s="284">
        <v>2</v>
      </c>
      <c r="L1179" s="284">
        <v>2</v>
      </c>
      <c r="M1179" s="284">
        <v>0</v>
      </c>
      <c r="N1179" s="284">
        <v>120</v>
      </c>
      <c r="O1179" s="284">
        <v>2</v>
      </c>
      <c r="P1179" s="284">
        <v>267</v>
      </c>
      <c r="Q1179" s="286">
        <v>90</v>
      </c>
      <c r="R1179" s="274">
        <v>638</v>
      </c>
      <c r="S1179" s="274">
        <v>94</v>
      </c>
      <c r="T1179" s="287">
        <f t="shared" si="18"/>
        <v>2014</v>
      </c>
      <c r="U1179" s="274">
        <f>VLOOKUP(A1179,'[1]SB35 Determination Data'!$B$4:$F$542,5,FALSE)</f>
        <v>2014</v>
      </c>
    </row>
    <row r="1180" spans="1:21" s="274" customFormat="1" ht="12.75" x14ac:dyDescent="0.2">
      <c r="A1180" s="282" t="s">
        <v>656</v>
      </c>
      <c r="B1180" s="282" t="s">
        <v>436</v>
      </c>
      <c r="C1180" s="282" t="s">
        <v>649</v>
      </c>
      <c r="D1180" s="283">
        <v>2015</v>
      </c>
      <c r="E1180" s="282" t="s">
        <v>650</v>
      </c>
      <c r="F1180" s="284">
        <v>147</v>
      </c>
      <c r="G1180" s="285">
        <v>0</v>
      </c>
      <c r="H1180" s="288">
        <v>0</v>
      </c>
      <c r="I1180" s="285">
        <v>0</v>
      </c>
      <c r="J1180" s="285">
        <v>104</v>
      </c>
      <c r="K1180" s="284">
        <v>0</v>
      </c>
      <c r="L1180" s="284">
        <v>0</v>
      </c>
      <c r="M1180" s="284">
        <v>0</v>
      </c>
      <c r="N1180" s="284">
        <v>120</v>
      </c>
      <c r="O1180" s="284">
        <v>0</v>
      </c>
      <c r="P1180" s="284">
        <v>267</v>
      </c>
      <c r="Q1180" s="286">
        <v>96</v>
      </c>
      <c r="R1180" s="274">
        <v>638</v>
      </c>
      <c r="S1180" s="274">
        <v>96</v>
      </c>
      <c r="T1180" s="287">
        <f t="shared" si="18"/>
        <v>2015</v>
      </c>
      <c r="U1180" s="274">
        <f>VLOOKUP(A1180,'[1]SB35 Determination Data'!$B$4:$F$542,5,FALSE)</f>
        <v>2014</v>
      </c>
    </row>
    <row r="1181" spans="1:21" s="274" customFormat="1" ht="12.75" x14ac:dyDescent="0.2">
      <c r="A1181" s="282" t="s">
        <v>656</v>
      </c>
      <c r="B1181" s="282" t="s">
        <v>436</v>
      </c>
      <c r="C1181" s="282" t="s">
        <v>649</v>
      </c>
      <c r="D1181" s="283">
        <v>2016</v>
      </c>
      <c r="E1181" s="282" t="s">
        <v>650</v>
      </c>
      <c r="F1181" s="284">
        <v>147</v>
      </c>
      <c r="G1181" s="285">
        <v>0</v>
      </c>
      <c r="H1181" s="288">
        <v>0</v>
      </c>
      <c r="I1181" s="285">
        <v>0</v>
      </c>
      <c r="J1181" s="285">
        <v>104</v>
      </c>
      <c r="K1181" s="284">
        <v>0</v>
      </c>
      <c r="L1181" s="284">
        <v>0</v>
      </c>
      <c r="M1181" s="284">
        <v>0</v>
      </c>
      <c r="N1181" s="284">
        <v>120</v>
      </c>
      <c r="O1181" s="284">
        <v>0</v>
      </c>
      <c r="P1181" s="284">
        <v>267</v>
      </c>
      <c r="Q1181" s="286">
        <v>62</v>
      </c>
      <c r="R1181" s="274">
        <v>638</v>
      </c>
      <c r="S1181" s="274">
        <v>62</v>
      </c>
      <c r="T1181" s="287">
        <f t="shared" si="18"/>
        <v>2016</v>
      </c>
      <c r="U1181" s="274">
        <f>VLOOKUP(A1181,'[1]SB35 Determination Data'!$B$4:$F$542,5,FALSE)</f>
        <v>2014</v>
      </c>
    </row>
    <row r="1182" spans="1:21" s="274" customFormat="1" ht="12.75" x14ac:dyDescent="0.2">
      <c r="A1182" s="282" t="s">
        <v>656</v>
      </c>
      <c r="B1182" s="282" t="s">
        <v>436</v>
      </c>
      <c r="C1182" s="282" t="s">
        <v>649</v>
      </c>
      <c r="D1182" s="283">
        <v>2017</v>
      </c>
      <c r="E1182" s="282" t="s">
        <v>650</v>
      </c>
      <c r="F1182" s="284">
        <v>147</v>
      </c>
      <c r="G1182" s="285">
        <v>0</v>
      </c>
      <c r="H1182" s="288">
        <v>0</v>
      </c>
      <c r="I1182" s="285">
        <v>0</v>
      </c>
      <c r="J1182" s="285">
        <v>104</v>
      </c>
      <c r="K1182" s="284">
        <v>0</v>
      </c>
      <c r="L1182" s="284">
        <v>0</v>
      </c>
      <c r="M1182" s="284">
        <v>0</v>
      </c>
      <c r="N1182" s="284">
        <v>120</v>
      </c>
      <c r="O1182" s="284">
        <v>0</v>
      </c>
      <c r="P1182" s="284">
        <v>267</v>
      </c>
      <c r="Q1182" s="286">
        <v>103</v>
      </c>
      <c r="R1182" s="274">
        <v>638</v>
      </c>
      <c r="S1182" s="274">
        <v>103</v>
      </c>
      <c r="T1182" s="287">
        <f t="shared" si="18"/>
        <v>2017</v>
      </c>
      <c r="U1182" s="274">
        <f>VLOOKUP(A1182,'[1]SB35 Determination Data'!$B$4:$F$542,5,FALSE)</f>
        <v>2014</v>
      </c>
    </row>
    <row r="1183" spans="1:21" s="274" customFormat="1" ht="12.75" x14ac:dyDescent="0.2">
      <c r="A1183" s="282" t="s">
        <v>194</v>
      </c>
      <c r="B1183" s="282" t="s">
        <v>40</v>
      </c>
      <c r="C1183" s="282" t="s">
        <v>654</v>
      </c>
      <c r="D1183" s="283">
        <v>2014</v>
      </c>
      <c r="E1183" s="282" t="s">
        <v>650</v>
      </c>
      <c r="F1183" s="284">
        <v>504</v>
      </c>
      <c r="G1183" s="285">
        <v>0</v>
      </c>
      <c r="H1183" s="288">
        <v>0</v>
      </c>
      <c r="I1183" s="285">
        <v>0</v>
      </c>
      <c r="J1183" s="285">
        <v>270</v>
      </c>
      <c r="K1183" s="284">
        <v>0</v>
      </c>
      <c r="L1183" s="284">
        <v>0</v>
      </c>
      <c r="M1183" s="284">
        <v>0</v>
      </c>
      <c r="N1183" s="289">
        <v>352</v>
      </c>
      <c r="O1183" s="284">
        <v>0</v>
      </c>
      <c r="P1183" s="284">
        <v>1161</v>
      </c>
      <c r="Q1183" s="286">
        <v>0</v>
      </c>
      <c r="R1183" s="274">
        <v>2287</v>
      </c>
      <c r="S1183" s="274">
        <v>0</v>
      </c>
      <c r="T1183" s="287">
        <f t="shared" si="18"/>
        <v>2015</v>
      </c>
      <c r="U1183" s="274">
        <f>VLOOKUP(A1183,'[1]SB35 Determination Data'!$B$4:$F$542,5,FALSE)</f>
        <v>2015</v>
      </c>
    </row>
    <row r="1184" spans="1:21" s="274" customFormat="1" ht="12.75" x14ac:dyDescent="0.2">
      <c r="A1184" s="282" t="s">
        <v>194</v>
      </c>
      <c r="B1184" s="282" t="s">
        <v>40</v>
      </c>
      <c r="C1184" s="282" t="s">
        <v>654</v>
      </c>
      <c r="D1184" s="283">
        <v>2015</v>
      </c>
      <c r="E1184" s="282" t="s">
        <v>650</v>
      </c>
      <c r="F1184" s="284">
        <v>504</v>
      </c>
      <c r="G1184" s="285">
        <v>82</v>
      </c>
      <c r="H1184" s="288">
        <v>82</v>
      </c>
      <c r="I1184" s="285">
        <v>0</v>
      </c>
      <c r="J1184" s="285">
        <v>270</v>
      </c>
      <c r="K1184" s="284">
        <v>31</v>
      </c>
      <c r="L1184" s="284">
        <v>31</v>
      </c>
      <c r="M1184" s="284">
        <v>0</v>
      </c>
      <c r="N1184" s="284">
        <v>352</v>
      </c>
      <c r="O1184" s="284">
        <v>0</v>
      </c>
      <c r="P1184" s="284">
        <v>1161</v>
      </c>
      <c r="Q1184" s="286">
        <v>5</v>
      </c>
      <c r="R1184" s="274">
        <v>2287</v>
      </c>
      <c r="S1184" s="274">
        <v>118</v>
      </c>
      <c r="T1184" s="287">
        <f t="shared" si="18"/>
        <v>2015</v>
      </c>
      <c r="U1184" s="274">
        <f>VLOOKUP(A1184,'[1]SB35 Determination Data'!$B$4:$F$542,5,FALSE)</f>
        <v>2015</v>
      </c>
    </row>
    <row r="1185" spans="1:21" s="274" customFormat="1" ht="12.75" x14ac:dyDescent="0.2">
      <c r="A1185" s="282" t="s">
        <v>194</v>
      </c>
      <c r="B1185" s="282" t="s">
        <v>40</v>
      </c>
      <c r="C1185" s="282" t="s">
        <v>654</v>
      </c>
      <c r="D1185" s="283">
        <v>2016</v>
      </c>
      <c r="E1185" s="282" t="s">
        <v>650</v>
      </c>
      <c r="F1185" s="284">
        <v>504</v>
      </c>
      <c r="G1185" s="285">
        <v>0</v>
      </c>
      <c r="H1185" s="288">
        <v>0</v>
      </c>
      <c r="I1185" s="285">
        <v>0</v>
      </c>
      <c r="J1185" s="285">
        <v>270</v>
      </c>
      <c r="K1185" s="284">
        <v>0</v>
      </c>
      <c r="L1185" s="284">
        <v>0</v>
      </c>
      <c r="M1185" s="284">
        <v>0</v>
      </c>
      <c r="N1185" s="284">
        <v>352</v>
      </c>
      <c r="O1185" s="284">
        <v>0</v>
      </c>
      <c r="P1185" s="284">
        <v>1161</v>
      </c>
      <c r="Q1185" s="286">
        <v>3</v>
      </c>
      <c r="R1185" s="274">
        <v>2287</v>
      </c>
      <c r="S1185" s="274">
        <v>3</v>
      </c>
      <c r="T1185" s="287">
        <f t="shared" si="18"/>
        <v>2016</v>
      </c>
      <c r="U1185" s="274">
        <f>VLOOKUP(A1185,'[1]SB35 Determination Data'!$B$4:$F$542,5,FALSE)</f>
        <v>2015</v>
      </c>
    </row>
    <row r="1186" spans="1:21" s="274" customFormat="1" ht="12.75" x14ac:dyDescent="0.2">
      <c r="A1186" s="282" t="s">
        <v>194</v>
      </c>
      <c r="B1186" s="282" t="s">
        <v>40</v>
      </c>
      <c r="C1186" s="282" t="s">
        <v>654</v>
      </c>
      <c r="D1186" s="283">
        <v>2017</v>
      </c>
      <c r="E1186" s="282" t="s">
        <v>650</v>
      </c>
      <c r="F1186" s="284">
        <v>504</v>
      </c>
      <c r="G1186" s="285">
        <v>27</v>
      </c>
      <c r="H1186" s="288">
        <v>27</v>
      </c>
      <c r="I1186" s="285">
        <v>0</v>
      </c>
      <c r="J1186" s="285">
        <v>270</v>
      </c>
      <c r="K1186" s="284">
        <v>57</v>
      </c>
      <c r="L1186" s="284">
        <v>57</v>
      </c>
      <c r="M1186" s="284">
        <v>0</v>
      </c>
      <c r="N1186" s="284">
        <v>352</v>
      </c>
      <c r="O1186" s="284">
        <v>0</v>
      </c>
      <c r="P1186" s="284">
        <v>1161</v>
      </c>
      <c r="Q1186" s="286">
        <v>8</v>
      </c>
      <c r="R1186" s="274">
        <v>2287</v>
      </c>
      <c r="S1186" s="274">
        <v>92</v>
      </c>
      <c r="T1186" s="287">
        <f t="shared" si="18"/>
        <v>2017</v>
      </c>
      <c r="U1186" s="274">
        <f>VLOOKUP(A1186,'[1]SB35 Determination Data'!$B$4:$F$542,5,FALSE)</f>
        <v>2015</v>
      </c>
    </row>
    <row r="1187" spans="1:21" s="274" customFormat="1" ht="12.75" x14ac:dyDescent="0.2">
      <c r="A1187" s="282" t="s">
        <v>583</v>
      </c>
      <c r="B1187" s="282" t="s">
        <v>583</v>
      </c>
      <c r="C1187" s="282" t="s">
        <v>660</v>
      </c>
      <c r="D1187" s="283">
        <v>2014</v>
      </c>
      <c r="E1187" s="282" t="s">
        <v>650</v>
      </c>
      <c r="F1187" s="284">
        <v>285</v>
      </c>
      <c r="G1187" s="285">
        <v>35</v>
      </c>
      <c r="H1187" s="288">
        <v>35</v>
      </c>
      <c r="I1187" s="285">
        <v>0</v>
      </c>
      <c r="J1187" s="285">
        <v>179</v>
      </c>
      <c r="K1187" s="284">
        <v>16</v>
      </c>
      <c r="L1187" s="284">
        <v>16</v>
      </c>
      <c r="M1187" s="284">
        <v>0</v>
      </c>
      <c r="N1187" s="289">
        <v>201</v>
      </c>
      <c r="O1187" s="284">
        <v>8</v>
      </c>
      <c r="P1187" s="284">
        <v>478</v>
      </c>
      <c r="Q1187" s="286">
        <v>146</v>
      </c>
      <c r="R1187" s="274">
        <v>1143</v>
      </c>
      <c r="S1187" s="274">
        <v>205</v>
      </c>
      <c r="T1187" s="287">
        <f t="shared" si="18"/>
        <v>2014</v>
      </c>
      <c r="U1187" s="274">
        <f>VLOOKUP(A1187,'[1]SB35 Determination Data'!$B$4:$F$542,5,FALSE)</f>
        <v>2014</v>
      </c>
    </row>
    <row r="1188" spans="1:21" s="274" customFormat="1" ht="12.75" x14ac:dyDescent="0.2">
      <c r="A1188" s="282" t="s">
        <v>583</v>
      </c>
      <c r="B1188" s="282" t="s">
        <v>583</v>
      </c>
      <c r="C1188" s="282" t="s">
        <v>660</v>
      </c>
      <c r="D1188" s="283">
        <v>2015</v>
      </c>
      <c r="E1188" s="282" t="s">
        <v>650</v>
      </c>
      <c r="F1188" s="284">
        <v>285</v>
      </c>
      <c r="G1188" s="285">
        <v>1</v>
      </c>
      <c r="H1188" s="288">
        <v>1</v>
      </c>
      <c r="I1188" s="285">
        <v>0</v>
      </c>
      <c r="J1188" s="285">
        <v>179</v>
      </c>
      <c r="K1188" s="284">
        <v>1</v>
      </c>
      <c r="L1188" s="284">
        <v>1</v>
      </c>
      <c r="M1188" s="284">
        <v>0</v>
      </c>
      <c r="N1188" s="284">
        <v>201</v>
      </c>
      <c r="O1188" s="284">
        <v>2</v>
      </c>
      <c r="P1188" s="284">
        <v>478</v>
      </c>
      <c r="Q1188" s="286">
        <v>168</v>
      </c>
      <c r="R1188" s="274">
        <v>1143</v>
      </c>
      <c r="S1188" s="274">
        <v>172</v>
      </c>
      <c r="T1188" s="287">
        <f t="shared" si="18"/>
        <v>2015</v>
      </c>
      <c r="U1188" s="274">
        <f>VLOOKUP(A1188,'[1]SB35 Determination Data'!$B$4:$F$542,5,FALSE)</f>
        <v>2014</v>
      </c>
    </row>
    <row r="1189" spans="1:21" s="274" customFormat="1" ht="12.75" x14ac:dyDescent="0.2">
      <c r="A1189" s="282" t="s">
        <v>583</v>
      </c>
      <c r="B1189" s="282" t="s">
        <v>583</v>
      </c>
      <c r="C1189" s="282" t="s">
        <v>660</v>
      </c>
      <c r="D1189" s="283">
        <v>2016</v>
      </c>
      <c r="E1189" s="282" t="s">
        <v>650</v>
      </c>
      <c r="F1189" s="284">
        <v>285</v>
      </c>
      <c r="G1189" s="285">
        <v>19</v>
      </c>
      <c r="H1189" s="288">
        <v>19</v>
      </c>
      <c r="I1189" s="285">
        <v>0</v>
      </c>
      <c r="J1189" s="285">
        <v>179</v>
      </c>
      <c r="K1189" s="284">
        <v>1</v>
      </c>
      <c r="L1189" s="284">
        <v>1</v>
      </c>
      <c r="M1189" s="284">
        <v>0</v>
      </c>
      <c r="N1189" s="284">
        <v>201</v>
      </c>
      <c r="O1189" s="284">
        <v>3</v>
      </c>
      <c r="P1189" s="284">
        <v>478</v>
      </c>
      <c r="Q1189" s="286">
        <v>111</v>
      </c>
      <c r="R1189" s="274">
        <v>1143</v>
      </c>
      <c r="S1189" s="274">
        <v>134</v>
      </c>
      <c r="T1189" s="287">
        <f t="shared" si="18"/>
        <v>2016</v>
      </c>
      <c r="U1189" s="274">
        <f>VLOOKUP(A1189,'[1]SB35 Determination Data'!$B$4:$F$542,5,FALSE)</f>
        <v>2014</v>
      </c>
    </row>
    <row r="1190" spans="1:21" s="274" customFormat="1" ht="12.75" x14ac:dyDescent="0.2">
      <c r="A1190" s="282" t="s">
        <v>583</v>
      </c>
      <c r="B1190" s="282" t="s">
        <v>583</v>
      </c>
      <c r="C1190" s="282" t="s">
        <v>660</v>
      </c>
      <c r="D1190" s="283">
        <v>2017</v>
      </c>
      <c r="E1190" s="282" t="s">
        <v>650</v>
      </c>
      <c r="F1190" s="284">
        <v>285</v>
      </c>
      <c r="G1190" s="285">
        <v>41</v>
      </c>
      <c r="H1190" s="288">
        <v>41</v>
      </c>
      <c r="I1190" s="285">
        <v>0</v>
      </c>
      <c r="J1190" s="285">
        <v>179</v>
      </c>
      <c r="K1190" s="284">
        <v>9</v>
      </c>
      <c r="L1190" s="284">
        <v>9</v>
      </c>
      <c r="M1190" s="284">
        <v>0</v>
      </c>
      <c r="N1190" s="284">
        <v>201</v>
      </c>
      <c r="O1190" s="284">
        <v>0</v>
      </c>
      <c r="P1190" s="284">
        <v>478</v>
      </c>
      <c r="Q1190" s="286">
        <v>164</v>
      </c>
      <c r="R1190" s="274">
        <v>1143</v>
      </c>
      <c r="S1190" s="274">
        <v>214</v>
      </c>
      <c r="T1190" s="287">
        <f t="shared" si="18"/>
        <v>2017</v>
      </c>
      <c r="U1190" s="274">
        <f>VLOOKUP(A1190,'[1]SB35 Determination Data'!$B$4:$F$542,5,FALSE)</f>
        <v>2014</v>
      </c>
    </row>
    <row r="1191" spans="1:21" s="274" customFormat="1" ht="12.75" x14ac:dyDescent="0.2">
      <c r="A1191" s="282" t="s">
        <v>657</v>
      </c>
      <c r="B1191" s="282" t="s">
        <v>583</v>
      </c>
      <c r="C1191" s="282" t="s">
        <v>660</v>
      </c>
      <c r="D1191" s="283">
        <v>2014</v>
      </c>
      <c r="E1191" s="282" t="s">
        <v>650</v>
      </c>
      <c r="F1191" s="284">
        <v>336</v>
      </c>
      <c r="G1191" s="285">
        <v>1</v>
      </c>
      <c r="H1191" s="288">
        <v>1</v>
      </c>
      <c r="I1191" s="285">
        <v>0</v>
      </c>
      <c r="J1191" s="285">
        <v>211</v>
      </c>
      <c r="K1191" s="284">
        <v>5</v>
      </c>
      <c r="L1191" s="284">
        <v>5</v>
      </c>
      <c r="M1191" s="284">
        <v>0</v>
      </c>
      <c r="N1191" s="284">
        <v>237</v>
      </c>
      <c r="O1191" s="284">
        <v>22</v>
      </c>
      <c r="P1191" s="284">
        <v>563</v>
      </c>
      <c r="Q1191" s="286">
        <v>293</v>
      </c>
      <c r="R1191" s="274">
        <v>1347</v>
      </c>
      <c r="S1191" s="274">
        <v>321</v>
      </c>
      <c r="T1191" s="287">
        <f t="shared" si="18"/>
        <v>2014</v>
      </c>
      <c r="U1191" s="274">
        <f>VLOOKUP(A1191,'[1]SB35 Determination Data'!$B$4:$F$542,5,FALSE)</f>
        <v>2014</v>
      </c>
    </row>
    <row r="1192" spans="1:21" s="274" customFormat="1" ht="12.75" x14ac:dyDescent="0.2">
      <c r="A1192" s="282" t="s">
        <v>657</v>
      </c>
      <c r="B1192" s="282" t="s">
        <v>583</v>
      </c>
      <c r="C1192" s="282" t="s">
        <v>660</v>
      </c>
      <c r="D1192" s="283">
        <v>2015</v>
      </c>
      <c r="E1192" s="282" t="s">
        <v>650</v>
      </c>
      <c r="F1192" s="284">
        <v>336</v>
      </c>
      <c r="G1192" s="285">
        <v>7</v>
      </c>
      <c r="H1192" s="288">
        <v>2</v>
      </c>
      <c r="I1192" s="285">
        <v>5</v>
      </c>
      <c r="J1192" s="285">
        <v>211</v>
      </c>
      <c r="K1192" s="284">
        <v>10</v>
      </c>
      <c r="L1192" s="284">
        <v>3</v>
      </c>
      <c r="M1192" s="284">
        <v>7</v>
      </c>
      <c r="N1192" s="284">
        <v>237</v>
      </c>
      <c r="O1192" s="284">
        <v>27</v>
      </c>
      <c r="P1192" s="284">
        <v>563</v>
      </c>
      <c r="Q1192" s="286">
        <v>282</v>
      </c>
      <c r="R1192" s="274">
        <v>1347</v>
      </c>
      <c r="S1192" s="274">
        <v>326</v>
      </c>
      <c r="T1192" s="287">
        <f t="shared" si="18"/>
        <v>2015</v>
      </c>
      <c r="U1192" s="274">
        <f>VLOOKUP(A1192,'[1]SB35 Determination Data'!$B$4:$F$542,5,FALSE)</f>
        <v>2014</v>
      </c>
    </row>
    <row r="1193" spans="1:21" s="274" customFormat="1" ht="12.75" x14ac:dyDescent="0.2">
      <c r="A1193" s="282" t="s">
        <v>657</v>
      </c>
      <c r="B1193" s="282" t="s">
        <v>583</v>
      </c>
      <c r="C1193" s="282" t="s">
        <v>660</v>
      </c>
      <c r="D1193" s="283">
        <v>2016</v>
      </c>
      <c r="E1193" s="282" t="s">
        <v>650</v>
      </c>
      <c r="F1193" s="284">
        <v>336</v>
      </c>
      <c r="G1193" s="285">
        <v>20</v>
      </c>
      <c r="H1193" s="288">
        <v>14</v>
      </c>
      <c r="I1193" s="285">
        <v>6</v>
      </c>
      <c r="J1193" s="285">
        <v>211</v>
      </c>
      <c r="K1193" s="284">
        <v>43</v>
      </c>
      <c r="L1193" s="284">
        <v>34</v>
      </c>
      <c r="M1193" s="284">
        <v>9</v>
      </c>
      <c r="N1193" s="289">
        <v>237</v>
      </c>
      <c r="O1193" s="284">
        <v>48</v>
      </c>
      <c r="P1193" s="284">
        <v>563</v>
      </c>
      <c r="Q1193" s="286">
        <v>278</v>
      </c>
      <c r="R1193" s="274">
        <v>1347</v>
      </c>
      <c r="S1193" s="274">
        <v>389</v>
      </c>
      <c r="T1193" s="287">
        <f t="shared" si="18"/>
        <v>2016</v>
      </c>
      <c r="U1193" s="274">
        <f>VLOOKUP(A1193,'[1]SB35 Determination Data'!$B$4:$F$542,5,FALSE)</f>
        <v>2014</v>
      </c>
    </row>
    <row r="1194" spans="1:21" s="274" customFormat="1" ht="12.75" x14ac:dyDescent="0.2">
      <c r="A1194" s="282" t="s">
        <v>657</v>
      </c>
      <c r="B1194" s="282" t="s">
        <v>583</v>
      </c>
      <c r="C1194" s="282" t="s">
        <v>660</v>
      </c>
      <c r="D1194" s="283">
        <v>2017</v>
      </c>
      <c r="E1194" s="282" t="s">
        <v>650</v>
      </c>
      <c r="F1194" s="284">
        <v>336</v>
      </c>
      <c r="G1194" s="285">
        <v>12</v>
      </c>
      <c r="H1194" s="288">
        <v>3</v>
      </c>
      <c r="I1194" s="285">
        <v>9</v>
      </c>
      <c r="J1194" s="285">
        <v>211</v>
      </c>
      <c r="K1194" s="284">
        <v>14</v>
      </c>
      <c r="L1194" s="284">
        <v>5</v>
      </c>
      <c r="M1194" s="284">
        <v>9</v>
      </c>
      <c r="N1194" s="284">
        <v>237</v>
      </c>
      <c r="O1194" s="284">
        <v>45</v>
      </c>
      <c r="P1194" s="284">
        <v>563</v>
      </c>
      <c r="Q1194" s="286">
        <v>371</v>
      </c>
      <c r="R1194" s="274">
        <v>1347</v>
      </c>
      <c r="S1194" s="274">
        <v>442</v>
      </c>
      <c r="T1194" s="287">
        <f t="shared" si="18"/>
        <v>2017</v>
      </c>
      <c r="U1194" s="274">
        <f>VLOOKUP(A1194,'[1]SB35 Determination Data'!$B$4:$F$542,5,FALSE)</f>
        <v>2014</v>
      </c>
    </row>
    <row r="1195" spans="1:21" s="274" customFormat="1" ht="12.75" x14ac:dyDescent="0.2">
      <c r="A1195" s="282" t="s">
        <v>658</v>
      </c>
      <c r="B1195" s="282" t="s">
        <v>557</v>
      </c>
      <c r="C1195" s="282" t="s">
        <v>758</v>
      </c>
      <c r="D1195" s="283">
        <v>2013</v>
      </c>
      <c r="E1195" s="282" t="s">
        <v>650</v>
      </c>
      <c r="F1195" s="284">
        <v>1043</v>
      </c>
      <c r="G1195" s="285">
        <v>136</v>
      </c>
      <c r="H1195" s="288">
        <v>136</v>
      </c>
      <c r="I1195" s="285">
        <v>0</v>
      </c>
      <c r="J1195" s="285">
        <v>793</v>
      </c>
      <c r="K1195" s="284">
        <v>50</v>
      </c>
      <c r="L1195" s="284">
        <v>50</v>
      </c>
      <c r="M1195" s="284">
        <v>0</v>
      </c>
      <c r="N1195" s="284">
        <v>734</v>
      </c>
      <c r="O1195" s="284">
        <v>63</v>
      </c>
      <c r="P1195" s="284">
        <v>1613</v>
      </c>
      <c r="Q1195" s="286">
        <v>1684</v>
      </c>
      <c r="R1195" s="274">
        <v>4183</v>
      </c>
      <c r="S1195" s="274">
        <v>1933</v>
      </c>
      <c r="T1195" s="287">
        <f t="shared" si="18"/>
        <v>2013</v>
      </c>
      <c r="U1195" s="274">
        <f>VLOOKUP(A1195,'[1]SB35 Determination Data'!$B$4:$F$542,5,FALSE)</f>
        <v>2013</v>
      </c>
    </row>
    <row r="1196" spans="1:21" s="274" customFormat="1" ht="12.75" x14ac:dyDescent="0.2">
      <c r="A1196" s="282" t="s">
        <v>658</v>
      </c>
      <c r="B1196" s="282" t="s">
        <v>557</v>
      </c>
      <c r="C1196" s="282" t="s">
        <v>758</v>
      </c>
      <c r="D1196" s="283">
        <v>2014</v>
      </c>
      <c r="E1196" s="282" t="s">
        <v>650</v>
      </c>
      <c r="F1196" s="284">
        <v>1043</v>
      </c>
      <c r="G1196" s="285">
        <v>0</v>
      </c>
      <c r="H1196" s="288">
        <v>0</v>
      </c>
      <c r="I1196" s="285">
        <v>0</v>
      </c>
      <c r="J1196" s="285">
        <v>793</v>
      </c>
      <c r="K1196" s="284">
        <v>0</v>
      </c>
      <c r="L1196" s="284">
        <v>0</v>
      </c>
      <c r="M1196" s="284">
        <v>0</v>
      </c>
      <c r="N1196" s="284">
        <v>734</v>
      </c>
      <c r="O1196" s="284">
        <v>0</v>
      </c>
      <c r="P1196" s="284">
        <v>1613</v>
      </c>
      <c r="Q1196" s="286">
        <v>97</v>
      </c>
      <c r="R1196" s="274">
        <v>4183</v>
      </c>
      <c r="S1196" s="274">
        <v>97</v>
      </c>
      <c r="T1196" s="287">
        <f t="shared" si="18"/>
        <v>2014</v>
      </c>
      <c r="U1196" s="274">
        <f>VLOOKUP(A1196,'[1]SB35 Determination Data'!$B$4:$F$542,5,FALSE)</f>
        <v>2013</v>
      </c>
    </row>
    <row r="1197" spans="1:21" s="274" customFormat="1" ht="12.75" x14ac:dyDescent="0.2">
      <c r="A1197" s="282" t="s">
        <v>658</v>
      </c>
      <c r="B1197" s="282" t="s">
        <v>557</v>
      </c>
      <c r="C1197" s="282" t="s">
        <v>758</v>
      </c>
      <c r="D1197" s="283">
        <v>2015</v>
      </c>
      <c r="E1197" s="282" t="s">
        <v>650</v>
      </c>
      <c r="F1197" s="284">
        <v>1043</v>
      </c>
      <c r="G1197" s="285">
        <v>51</v>
      </c>
      <c r="H1197" s="288">
        <v>51</v>
      </c>
      <c r="I1197" s="285">
        <v>0</v>
      </c>
      <c r="J1197" s="285">
        <v>793</v>
      </c>
      <c r="K1197" s="284">
        <v>54</v>
      </c>
      <c r="L1197" s="284">
        <v>54</v>
      </c>
      <c r="M1197" s="284">
        <v>0</v>
      </c>
      <c r="N1197" s="284">
        <v>734</v>
      </c>
      <c r="O1197" s="284">
        <v>1</v>
      </c>
      <c r="P1197" s="284">
        <v>1613</v>
      </c>
      <c r="Q1197" s="286">
        <v>487</v>
      </c>
      <c r="R1197" s="274">
        <v>4183</v>
      </c>
      <c r="S1197" s="274">
        <v>593</v>
      </c>
      <c r="T1197" s="287">
        <f t="shared" si="18"/>
        <v>2015</v>
      </c>
      <c r="U1197" s="274">
        <f>VLOOKUP(A1197,'[1]SB35 Determination Data'!$B$4:$F$542,5,FALSE)</f>
        <v>2013</v>
      </c>
    </row>
    <row r="1198" spans="1:21" s="274" customFormat="1" ht="12.75" x14ac:dyDescent="0.2">
      <c r="A1198" s="282" t="s">
        <v>658</v>
      </c>
      <c r="B1198" s="282" t="s">
        <v>557</v>
      </c>
      <c r="C1198" s="282" t="s">
        <v>758</v>
      </c>
      <c r="D1198" s="283">
        <v>2016</v>
      </c>
      <c r="E1198" s="282" t="s">
        <v>650</v>
      </c>
      <c r="F1198" s="284">
        <v>1043</v>
      </c>
      <c r="G1198" s="285">
        <v>0</v>
      </c>
      <c r="H1198" s="288">
        <v>0</v>
      </c>
      <c r="I1198" s="285">
        <v>0</v>
      </c>
      <c r="J1198" s="285">
        <v>793</v>
      </c>
      <c r="K1198" s="284">
        <v>0</v>
      </c>
      <c r="L1198" s="284">
        <v>0</v>
      </c>
      <c r="M1198" s="284">
        <v>0</v>
      </c>
      <c r="N1198" s="284">
        <v>734</v>
      </c>
      <c r="O1198" s="284">
        <v>0</v>
      </c>
      <c r="P1198" s="284">
        <v>1613</v>
      </c>
      <c r="Q1198" s="286">
        <v>329</v>
      </c>
      <c r="R1198" s="274">
        <v>4183</v>
      </c>
      <c r="S1198" s="274">
        <v>329</v>
      </c>
      <c r="T1198" s="287">
        <f t="shared" si="18"/>
        <v>2016</v>
      </c>
      <c r="U1198" s="274">
        <f>VLOOKUP(A1198,'[1]SB35 Determination Data'!$B$4:$F$542,5,FALSE)</f>
        <v>2013</v>
      </c>
    </row>
    <row r="1199" spans="1:21" s="274" customFormat="1" ht="12.75" x14ac:dyDescent="0.2">
      <c r="A1199" s="282" t="s">
        <v>658</v>
      </c>
      <c r="B1199" s="282" t="s">
        <v>557</v>
      </c>
      <c r="C1199" s="282" t="s">
        <v>758</v>
      </c>
      <c r="D1199" s="283">
        <v>2017</v>
      </c>
      <c r="E1199" s="282" t="s">
        <v>650</v>
      </c>
      <c r="F1199" s="284">
        <v>1043</v>
      </c>
      <c r="G1199" s="285">
        <v>31</v>
      </c>
      <c r="H1199" s="288">
        <v>31</v>
      </c>
      <c r="I1199" s="285">
        <v>0</v>
      </c>
      <c r="J1199" s="285">
        <v>793</v>
      </c>
      <c r="K1199" s="284">
        <v>11</v>
      </c>
      <c r="L1199" s="284">
        <v>11</v>
      </c>
      <c r="M1199" s="284">
        <v>0</v>
      </c>
      <c r="N1199" s="284">
        <v>734</v>
      </c>
      <c r="O1199" s="284">
        <v>0</v>
      </c>
      <c r="P1199" s="284">
        <v>1613</v>
      </c>
      <c r="Q1199" s="286">
        <v>436</v>
      </c>
      <c r="R1199" s="274">
        <v>4183</v>
      </c>
      <c r="S1199" s="274">
        <v>478</v>
      </c>
      <c r="T1199" s="287">
        <f t="shared" si="18"/>
        <v>2017</v>
      </c>
      <c r="U1199" s="274">
        <f>VLOOKUP(A1199,'[1]SB35 Determination Data'!$B$4:$F$542,5,FALSE)</f>
        <v>2013</v>
      </c>
    </row>
    <row r="1200" spans="1:21" s="274" customFormat="1" ht="12.75" x14ac:dyDescent="0.2">
      <c r="A1200" s="282" t="s">
        <v>554</v>
      </c>
      <c r="B1200" s="282" t="s">
        <v>262</v>
      </c>
      <c r="C1200" s="282" t="s">
        <v>649</v>
      </c>
      <c r="D1200" s="283">
        <v>2015</v>
      </c>
      <c r="E1200" s="282" t="s">
        <v>650</v>
      </c>
      <c r="F1200" s="284">
        <v>1</v>
      </c>
      <c r="G1200" s="285">
        <v>0</v>
      </c>
      <c r="H1200" s="288">
        <v>0</v>
      </c>
      <c r="I1200" s="285">
        <v>0</v>
      </c>
      <c r="J1200" s="285">
        <v>1</v>
      </c>
      <c r="K1200" s="284">
        <v>0</v>
      </c>
      <c r="L1200" s="284">
        <v>0</v>
      </c>
      <c r="M1200" s="284">
        <v>0</v>
      </c>
      <c r="N1200" s="284">
        <v>0</v>
      </c>
      <c r="O1200" s="284">
        <v>0</v>
      </c>
      <c r="P1200" s="284">
        <v>0</v>
      </c>
      <c r="Q1200" s="286">
        <v>9</v>
      </c>
      <c r="R1200" s="274">
        <v>2</v>
      </c>
      <c r="S1200" s="274">
        <v>9</v>
      </c>
      <c r="T1200" s="287">
        <f t="shared" si="18"/>
        <v>2015</v>
      </c>
      <c r="U1200" s="274">
        <f>VLOOKUP(A1200,'[1]SB35 Determination Data'!$B$4:$F$542,5,FALSE)</f>
        <v>2014</v>
      </c>
    </row>
    <row r="1201" spans="1:21" s="274" customFormat="1" ht="12.75" x14ac:dyDescent="0.2">
      <c r="A1201" s="282" t="s">
        <v>554</v>
      </c>
      <c r="B1201" s="282" t="s">
        <v>262</v>
      </c>
      <c r="C1201" s="282" t="s">
        <v>649</v>
      </c>
      <c r="D1201" s="283">
        <v>2016</v>
      </c>
      <c r="E1201" s="282" t="s">
        <v>650</v>
      </c>
      <c r="F1201" s="284">
        <v>1</v>
      </c>
      <c r="G1201" s="285">
        <v>0</v>
      </c>
      <c r="H1201" s="288">
        <v>0</v>
      </c>
      <c r="I1201" s="285">
        <v>0</v>
      </c>
      <c r="J1201" s="285">
        <v>1</v>
      </c>
      <c r="K1201" s="284">
        <v>0</v>
      </c>
      <c r="L1201" s="284">
        <v>0</v>
      </c>
      <c r="M1201" s="284">
        <v>0</v>
      </c>
      <c r="N1201" s="284">
        <v>0</v>
      </c>
      <c r="O1201" s="284">
        <v>2</v>
      </c>
      <c r="P1201" s="284">
        <v>0</v>
      </c>
      <c r="Q1201" s="286">
        <v>8</v>
      </c>
      <c r="R1201" s="274">
        <v>2</v>
      </c>
      <c r="S1201" s="274">
        <v>10</v>
      </c>
      <c r="T1201" s="287">
        <f t="shared" si="18"/>
        <v>2016</v>
      </c>
      <c r="U1201" s="274">
        <f>VLOOKUP(A1201,'[1]SB35 Determination Data'!$B$4:$F$542,5,FALSE)</f>
        <v>2014</v>
      </c>
    </row>
    <row r="1202" spans="1:21" s="274" customFormat="1" ht="12.75" x14ac:dyDescent="0.2">
      <c r="A1202" s="282" t="s">
        <v>554</v>
      </c>
      <c r="B1202" s="282" t="s">
        <v>262</v>
      </c>
      <c r="C1202" s="282" t="s">
        <v>649</v>
      </c>
      <c r="D1202" s="283">
        <v>2017</v>
      </c>
      <c r="E1202" s="282" t="s">
        <v>650</v>
      </c>
      <c r="F1202" s="284">
        <v>1</v>
      </c>
      <c r="G1202" s="285">
        <v>1</v>
      </c>
      <c r="H1202" s="288">
        <v>1</v>
      </c>
      <c r="I1202" s="285">
        <v>0</v>
      </c>
      <c r="J1202" s="285">
        <v>1</v>
      </c>
      <c r="K1202" s="284">
        <v>0</v>
      </c>
      <c r="L1202" s="284">
        <v>0</v>
      </c>
      <c r="M1202" s="284">
        <v>0</v>
      </c>
      <c r="N1202" s="289">
        <v>0</v>
      </c>
      <c r="O1202" s="284">
        <v>2</v>
      </c>
      <c r="P1202" s="284">
        <v>0</v>
      </c>
      <c r="Q1202" s="286">
        <v>7</v>
      </c>
      <c r="R1202" s="274">
        <v>2</v>
      </c>
      <c r="S1202" s="274">
        <v>10</v>
      </c>
      <c r="T1202" s="287">
        <f t="shared" si="18"/>
        <v>2017</v>
      </c>
      <c r="U1202" s="274">
        <f>VLOOKUP(A1202,'[1]SB35 Determination Data'!$B$4:$F$542,5,FALSE)</f>
        <v>2014</v>
      </c>
    </row>
    <row r="1203" spans="1:21" s="274" customFormat="1" ht="12.75" x14ac:dyDescent="0.2">
      <c r="A1203" s="282" t="s">
        <v>595</v>
      </c>
      <c r="B1203" s="282" t="s">
        <v>595</v>
      </c>
      <c r="C1203" s="282" t="s">
        <v>654</v>
      </c>
      <c r="D1203" s="283">
        <v>2015</v>
      </c>
      <c r="E1203" s="282" t="s">
        <v>650</v>
      </c>
      <c r="F1203" s="284">
        <v>859</v>
      </c>
      <c r="G1203" s="285">
        <v>0</v>
      </c>
      <c r="H1203" s="288">
        <v>0</v>
      </c>
      <c r="I1203" s="285">
        <v>0</v>
      </c>
      <c r="J1203" s="285">
        <v>469</v>
      </c>
      <c r="K1203" s="284">
        <v>23</v>
      </c>
      <c r="L1203" s="284">
        <v>23</v>
      </c>
      <c r="M1203" s="284">
        <v>0</v>
      </c>
      <c r="N1203" s="284">
        <v>530</v>
      </c>
      <c r="O1203" s="284">
        <v>88</v>
      </c>
      <c r="P1203" s="284">
        <v>1242</v>
      </c>
      <c r="Q1203" s="286">
        <v>480</v>
      </c>
      <c r="R1203" s="274">
        <v>3100</v>
      </c>
      <c r="S1203" s="274">
        <v>591</v>
      </c>
      <c r="T1203" s="287">
        <f t="shared" si="18"/>
        <v>2015</v>
      </c>
      <c r="U1203" s="274">
        <f>VLOOKUP(A1203,'[1]SB35 Determination Data'!$B$4:$F$542,5,FALSE)</f>
        <v>2015</v>
      </c>
    </row>
    <row r="1204" spans="1:21" s="274" customFormat="1" ht="12.75" x14ac:dyDescent="0.2">
      <c r="A1204" s="282" t="s">
        <v>595</v>
      </c>
      <c r="B1204" s="282" t="s">
        <v>595</v>
      </c>
      <c r="C1204" s="282" t="s">
        <v>654</v>
      </c>
      <c r="D1204" s="283">
        <v>2016</v>
      </c>
      <c r="E1204" s="282" t="s">
        <v>650</v>
      </c>
      <c r="F1204" s="284">
        <v>859</v>
      </c>
      <c r="G1204" s="285">
        <v>12</v>
      </c>
      <c r="H1204" s="288">
        <v>12</v>
      </c>
      <c r="I1204" s="285">
        <v>0</v>
      </c>
      <c r="J1204" s="285">
        <v>469</v>
      </c>
      <c r="K1204" s="284">
        <v>3</v>
      </c>
      <c r="L1204" s="284">
        <v>3</v>
      </c>
      <c r="M1204" s="284">
        <v>0</v>
      </c>
      <c r="N1204" s="284">
        <v>530</v>
      </c>
      <c r="O1204" s="284">
        <v>2</v>
      </c>
      <c r="P1204" s="284">
        <v>1242</v>
      </c>
      <c r="Q1204" s="286">
        <v>172</v>
      </c>
      <c r="R1204" s="274">
        <v>3100</v>
      </c>
      <c r="S1204" s="274">
        <v>189</v>
      </c>
      <c r="T1204" s="287">
        <f t="shared" si="18"/>
        <v>2016</v>
      </c>
      <c r="U1204" s="274">
        <f>VLOOKUP(A1204,'[1]SB35 Determination Data'!$B$4:$F$542,5,FALSE)</f>
        <v>2015</v>
      </c>
    </row>
    <row r="1205" spans="1:21" s="274" customFormat="1" ht="12.75" x14ac:dyDescent="0.2">
      <c r="A1205" s="282" t="s">
        <v>595</v>
      </c>
      <c r="B1205" s="282" t="s">
        <v>595</v>
      </c>
      <c r="C1205" s="282" t="s">
        <v>654</v>
      </c>
      <c r="D1205" s="283">
        <v>2017</v>
      </c>
      <c r="E1205" s="282" t="s">
        <v>650</v>
      </c>
      <c r="F1205" s="284">
        <v>859</v>
      </c>
      <c r="G1205" s="285">
        <v>37</v>
      </c>
      <c r="H1205" s="288">
        <v>37</v>
      </c>
      <c r="I1205" s="285">
        <v>0</v>
      </c>
      <c r="J1205" s="285">
        <v>469</v>
      </c>
      <c r="K1205" s="284">
        <v>0</v>
      </c>
      <c r="L1205" s="284">
        <v>0</v>
      </c>
      <c r="M1205" s="284">
        <v>0</v>
      </c>
      <c r="N1205" s="284">
        <v>530</v>
      </c>
      <c r="O1205" s="284">
        <v>4</v>
      </c>
      <c r="P1205" s="284">
        <v>1242</v>
      </c>
      <c r="Q1205" s="286">
        <v>424</v>
      </c>
      <c r="R1205" s="274">
        <v>3100</v>
      </c>
      <c r="S1205" s="274">
        <v>465</v>
      </c>
      <c r="T1205" s="287">
        <f t="shared" si="18"/>
        <v>2017</v>
      </c>
      <c r="U1205" s="274">
        <f>VLOOKUP(A1205,'[1]SB35 Determination Data'!$B$4:$F$542,5,FALSE)</f>
        <v>2015</v>
      </c>
    </row>
    <row r="1206" spans="1:21" s="274" customFormat="1" ht="12.75" x14ac:dyDescent="0.2">
      <c r="A1206" s="282" t="s">
        <v>659</v>
      </c>
      <c r="B1206" s="282" t="s">
        <v>595</v>
      </c>
      <c r="C1206" s="282" t="s">
        <v>654</v>
      </c>
      <c r="D1206" s="283">
        <v>2015</v>
      </c>
      <c r="E1206" s="282" t="s">
        <v>650</v>
      </c>
      <c r="F1206" s="284">
        <v>153</v>
      </c>
      <c r="G1206" s="285">
        <v>0</v>
      </c>
      <c r="H1206" s="288">
        <v>0</v>
      </c>
      <c r="I1206" s="285">
        <v>0</v>
      </c>
      <c r="J1206" s="285">
        <v>103</v>
      </c>
      <c r="K1206" s="284">
        <v>1</v>
      </c>
      <c r="L1206" s="284">
        <v>0</v>
      </c>
      <c r="M1206" s="284">
        <v>1</v>
      </c>
      <c r="N1206" s="284">
        <v>102</v>
      </c>
      <c r="O1206" s="284">
        <v>6</v>
      </c>
      <c r="P1206" s="284">
        <v>555</v>
      </c>
      <c r="Q1206" s="286">
        <v>53</v>
      </c>
      <c r="R1206" s="274">
        <v>913</v>
      </c>
      <c r="S1206" s="274">
        <v>60</v>
      </c>
      <c r="T1206" s="287">
        <f t="shared" si="18"/>
        <v>2015</v>
      </c>
      <c r="U1206" s="274">
        <f>VLOOKUP(A1206,'[1]SB35 Determination Data'!$B$4:$F$542,5,FALSE)</f>
        <v>2015</v>
      </c>
    </row>
    <row r="1207" spans="1:21" s="274" customFormat="1" ht="12.75" x14ac:dyDescent="0.2">
      <c r="A1207" s="282" t="s">
        <v>659</v>
      </c>
      <c r="B1207" s="282" t="s">
        <v>595</v>
      </c>
      <c r="C1207" s="282" t="s">
        <v>654</v>
      </c>
      <c r="D1207" s="283">
        <v>2016</v>
      </c>
      <c r="E1207" s="282" t="s">
        <v>650</v>
      </c>
      <c r="F1207" s="284">
        <v>153</v>
      </c>
      <c r="G1207" s="285">
        <v>0</v>
      </c>
      <c r="H1207" s="288">
        <v>0</v>
      </c>
      <c r="I1207" s="285">
        <v>0</v>
      </c>
      <c r="J1207" s="285">
        <v>103</v>
      </c>
      <c r="K1207" s="284">
        <v>3</v>
      </c>
      <c r="L1207" s="284">
        <v>0</v>
      </c>
      <c r="M1207" s="284">
        <v>3</v>
      </c>
      <c r="N1207" s="284">
        <v>102</v>
      </c>
      <c r="O1207" s="284">
        <v>7</v>
      </c>
      <c r="P1207" s="284">
        <v>555</v>
      </c>
      <c r="Q1207" s="286">
        <v>50</v>
      </c>
      <c r="R1207" s="274">
        <v>913</v>
      </c>
      <c r="S1207" s="274">
        <v>60</v>
      </c>
      <c r="T1207" s="287">
        <f t="shared" si="18"/>
        <v>2016</v>
      </c>
      <c r="U1207" s="274">
        <f>VLOOKUP(A1207,'[1]SB35 Determination Data'!$B$4:$F$542,5,FALSE)</f>
        <v>2015</v>
      </c>
    </row>
    <row r="1208" spans="1:21" s="274" customFormat="1" ht="12.75" x14ac:dyDescent="0.2">
      <c r="A1208" s="282" t="s">
        <v>659</v>
      </c>
      <c r="B1208" s="282" t="s">
        <v>595</v>
      </c>
      <c r="C1208" s="282" t="s">
        <v>654</v>
      </c>
      <c r="D1208" s="283">
        <v>2017</v>
      </c>
      <c r="E1208" s="282" t="s">
        <v>650</v>
      </c>
      <c r="F1208" s="284">
        <v>153</v>
      </c>
      <c r="G1208" s="285">
        <v>1</v>
      </c>
      <c r="H1208" s="288">
        <v>0</v>
      </c>
      <c r="I1208" s="285">
        <v>1</v>
      </c>
      <c r="J1208" s="285">
        <v>103</v>
      </c>
      <c r="K1208" s="284">
        <v>8</v>
      </c>
      <c r="L1208" s="284">
        <v>7</v>
      </c>
      <c r="M1208" s="284">
        <v>1</v>
      </c>
      <c r="N1208" s="289">
        <v>102</v>
      </c>
      <c r="O1208" s="284">
        <v>4</v>
      </c>
      <c r="P1208" s="284">
        <v>555</v>
      </c>
      <c r="Q1208" s="286">
        <v>44</v>
      </c>
      <c r="R1208" s="274">
        <v>913</v>
      </c>
      <c r="S1208" s="274">
        <v>57</v>
      </c>
      <c r="T1208" s="287">
        <f t="shared" si="18"/>
        <v>2017</v>
      </c>
      <c r="U1208" s="274">
        <f>VLOOKUP(A1208,'[1]SB35 Determination Data'!$B$4:$F$542,5,FALSE)</f>
        <v>2015</v>
      </c>
    </row>
    <row r="1209" spans="1:21" s="274" customFormat="1" ht="12.75" x14ac:dyDescent="0.2">
      <c r="A1209" s="282" t="s">
        <v>313</v>
      </c>
      <c r="B1209" s="282" t="s">
        <v>120</v>
      </c>
      <c r="C1209" s="282" t="s">
        <v>654</v>
      </c>
      <c r="D1209" s="283">
        <v>2015</v>
      </c>
      <c r="E1209" s="282" t="s">
        <v>650</v>
      </c>
      <c r="F1209" s="284">
        <v>56</v>
      </c>
      <c r="G1209" s="285">
        <v>0</v>
      </c>
      <c r="H1209" s="288">
        <v>0</v>
      </c>
      <c r="I1209" s="285">
        <v>0</v>
      </c>
      <c r="J1209" s="285">
        <v>53</v>
      </c>
      <c r="K1209" s="284">
        <v>0</v>
      </c>
      <c r="L1209" s="284">
        <v>0</v>
      </c>
      <c r="M1209" s="284">
        <v>0</v>
      </c>
      <c r="N1209" s="284">
        <v>75</v>
      </c>
      <c r="O1209" s="284">
        <v>1</v>
      </c>
      <c r="P1209" s="284">
        <v>265</v>
      </c>
      <c r="Q1209" s="286">
        <v>29</v>
      </c>
      <c r="R1209" s="274">
        <v>449</v>
      </c>
      <c r="S1209" s="274">
        <v>30</v>
      </c>
      <c r="T1209" s="287">
        <f t="shared" si="18"/>
        <v>2015</v>
      </c>
      <c r="U1209" s="274">
        <f>VLOOKUP(A1209,'[1]SB35 Determination Data'!$B$4:$F$542,5,FALSE)</f>
        <v>2015</v>
      </c>
    </row>
    <row r="1210" spans="1:21" s="274" customFormat="1" ht="12.75" x14ac:dyDescent="0.2">
      <c r="A1210" s="282" t="s">
        <v>313</v>
      </c>
      <c r="B1210" s="282" t="s">
        <v>120</v>
      </c>
      <c r="C1210" s="282" t="s">
        <v>654</v>
      </c>
      <c r="D1210" s="283">
        <v>2016</v>
      </c>
      <c r="E1210" s="282" t="s">
        <v>650</v>
      </c>
      <c r="F1210" s="284">
        <v>56</v>
      </c>
      <c r="G1210" s="285">
        <v>0</v>
      </c>
      <c r="H1210" s="288">
        <v>0</v>
      </c>
      <c r="I1210" s="285">
        <v>0</v>
      </c>
      <c r="J1210" s="285">
        <v>53</v>
      </c>
      <c r="K1210" s="284">
        <v>2</v>
      </c>
      <c r="L1210" s="284">
        <v>2</v>
      </c>
      <c r="M1210" s="284">
        <v>0</v>
      </c>
      <c r="N1210" s="284">
        <v>75</v>
      </c>
      <c r="O1210" s="284">
        <v>5</v>
      </c>
      <c r="P1210" s="284">
        <v>265</v>
      </c>
      <c r="Q1210" s="286">
        <v>0</v>
      </c>
      <c r="R1210" s="274">
        <v>449</v>
      </c>
      <c r="S1210" s="274">
        <v>7</v>
      </c>
      <c r="T1210" s="287">
        <f t="shared" si="18"/>
        <v>2016</v>
      </c>
      <c r="U1210" s="274">
        <f>VLOOKUP(A1210,'[1]SB35 Determination Data'!$B$4:$F$542,5,FALSE)</f>
        <v>2015</v>
      </c>
    </row>
    <row r="1211" spans="1:21" s="274" customFormat="1" ht="12.75" x14ac:dyDescent="0.2">
      <c r="A1211" s="282" t="s">
        <v>313</v>
      </c>
      <c r="B1211" s="282" t="s">
        <v>120</v>
      </c>
      <c r="C1211" s="282" t="s">
        <v>654</v>
      </c>
      <c r="D1211" s="283">
        <v>2017</v>
      </c>
      <c r="E1211" s="282" t="s">
        <v>650</v>
      </c>
      <c r="F1211" s="284">
        <v>56</v>
      </c>
      <c r="G1211" s="285">
        <v>0</v>
      </c>
      <c r="H1211" s="288">
        <v>0</v>
      </c>
      <c r="I1211" s="285">
        <v>0</v>
      </c>
      <c r="J1211" s="285">
        <v>53</v>
      </c>
      <c r="K1211" s="284">
        <v>0</v>
      </c>
      <c r="L1211" s="284">
        <v>0</v>
      </c>
      <c r="M1211" s="284">
        <v>0</v>
      </c>
      <c r="N1211" s="284">
        <v>75</v>
      </c>
      <c r="O1211" s="284">
        <v>7</v>
      </c>
      <c r="P1211" s="284">
        <v>265</v>
      </c>
      <c r="Q1211" s="286">
        <v>0</v>
      </c>
      <c r="R1211" s="274">
        <v>449</v>
      </c>
      <c r="S1211" s="274">
        <v>7</v>
      </c>
      <c r="T1211" s="287">
        <f t="shared" si="18"/>
        <v>2017</v>
      </c>
      <c r="U1211" s="274">
        <f>VLOOKUP(A1211,'[1]SB35 Determination Data'!$B$4:$F$542,5,FALSE)</f>
        <v>2015</v>
      </c>
    </row>
    <row r="1212" spans="1:21" s="274" customFormat="1" ht="12.75" x14ac:dyDescent="0.2">
      <c r="A1212" s="282" t="s">
        <v>661</v>
      </c>
      <c r="B1212" s="282" t="s">
        <v>301</v>
      </c>
      <c r="C1212" s="282" t="s">
        <v>654</v>
      </c>
      <c r="D1212" s="283">
        <v>2014</v>
      </c>
      <c r="E1212" s="282" t="s">
        <v>650</v>
      </c>
      <c r="F1212" s="284">
        <v>240</v>
      </c>
      <c r="G1212" s="285">
        <v>1</v>
      </c>
      <c r="H1212" s="288">
        <v>1</v>
      </c>
      <c r="I1212" s="285">
        <v>0</v>
      </c>
      <c r="J1212" s="285">
        <v>148</v>
      </c>
      <c r="K1212" s="284">
        <v>1</v>
      </c>
      <c r="L1212" s="284">
        <v>1</v>
      </c>
      <c r="M1212" s="284">
        <v>0</v>
      </c>
      <c r="N1212" s="284">
        <v>181</v>
      </c>
      <c r="O1212" s="284">
        <v>0</v>
      </c>
      <c r="P1212" s="284">
        <v>438</v>
      </c>
      <c r="Q1212" s="286">
        <v>16</v>
      </c>
      <c r="R1212" s="274">
        <v>1007</v>
      </c>
      <c r="S1212" s="274">
        <v>18</v>
      </c>
      <c r="T1212" s="287">
        <f t="shared" si="18"/>
        <v>2015</v>
      </c>
      <c r="U1212" s="274">
        <f>VLOOKUP(A1212,'[1]SB35 Determination Data'!$B$4:$F$542,5,FALSE)</f>
        <v>2015</v>
      </c>
    </row>
    <row r="1213" spans="1:21" s="274" customFormat="1" ht="12.75" x14ac:dyDescent="0.2">
      <c r="A1213" s="282" t="s">
        <v>661</v>
      </c>
      <c r="B1213" s="282" t="s">
        <v>301</v>
      </c>
      <c r="C1213" s="282" t="s">
        <v>654</v>
      </c>
      <c r="D1213" s="283">
        <v>2015</v>
      </c>
      <c r="E1213" s="282" t="s">
        <v>650</v>
      </c>
      <c r="F1213" s="284">
        <v>240</v>
      </c>
      <c r="G1213" s="285">
        <v>2</v>
      </c>
      <c r="H1213" s="288">
        <v>2</v>
      </c>
      <c r="I1213" s="285">
        <v>0</v>
      </c>
      <c r="J1213" s="285">
        <v>148</v>
      </c>
      <c r="K1213" s="284">
        <v>14</v>
      </c>
      <c r="L1213" s="284">
        <v>10</v>
      </c>
      <c r="M1213" s="284">
        <v>4</v>
      </c>
      <c r="N1213" s="284">
        <v>181</v>
      </c>
      <c r="O1213" s="284">
        <v>10</v>
      </c>
      <c r="P1213" s="284">
        <v>438</v>
      </c>
      <c r="Q1213" s="286">
        <v>94</v>
      </c>
      <c r="R1213" s="274">
        <v>1007</v>
      </c>
      <c r="S1213" s="274">
        <v>120</v>
      </c>
      <c r="T1213" s="287">
        <f t="shared" si="18"/>
        <v>2015</v>
      </c>
      <c r="U1213" s="274">
        <f>VLOOKUP(A1213,'[1]SB35 Determination Data'!$B$4:$F$542,5,FALSE)</f>
        <v>2015</v>
      </c>
    </row>
    <row r="1214" spans="1:21" s="274" customFormat="1" ht="12.75" x14ac:dyDescent="0.2">
      <c r="A1214" s="282" t="s">
        <v>661</v>
      </c>
      <c r="B1214" s="282" t="s">
        <v>301</v>
      </c>
      <c r="C1214" s="282" t="s">
        <v>654</v>
      </c>
      <c r="D1214" s="283">
        <v>2016</v>
      </c>
      <c r="E1214" s="282" t="s">
        <v>650</v>
      </c>
      <c r="F1214" s="284">
        <v>240</v>
      </c>
      <c r="G1214" s="285">
        <v>0</v>
      </c>
      <c r="H1214" s="288">
        <v>0</v>
      </c>
      <c r="I1214" s="285">
        <v>0</v>
      </c>
      <c r="J1214" s="285">
        <v>148</v>
      </c>
      <c r="K1214" s="284">
        <v>5</v>
      </c>
      <c r="L1214" s="284">
        <v>5</v>
      </c>
      <c r="M1214" s="284">
        <v>0</v>
      </c>
      <c r="N1214" s="289">
        <v>181</v>
      </c>
      <c r="O1214" s="284">
        <v>0</v>
      </c>
      <c r="P1214" s="284">
        <v>438</v>
      </c>
      <c r="Q1214" s="286">
        <v>21</v>
      </c>
      <c r="R1214" s="274">
        <v>1007</v>
      </c>
      <c r="S1214" s="274">
        <v>26</v>
      </c>
      <c r="T1214" s="287">
        <f t="shared" si="18"/>
        <v>2016</v>
      </c>
      <c r="U1214" s="274">
        <f>VLOOKUP(A1214,'[1]SB35 Determination Data'!$B$4:$F$542,5,FALSE)</f>
        <v>2015</v>
      </c>
    </row>
    <row r="1215" spans="1:21" s="274" customFormat="1" ht="12.75" x14ac:dyDescent="0.2">
      <c r="A1215" s="282" t="s">
        <v>661</v>
      </c>
      <c r="B1215" s="282" t="s">
        <v>301</v>
      </c>
      <c r="C1215" s="282" t="s">
        <v>654</v>
      </c>
      <c r="D1215" s="283">
        <v>2017</v>
      </c>
      <c r="E1215" s="282" t="s">
        <v>650</v>
      </c>
      <c r="F1215" s="284">
        <v>240</v>
      </c>
      <c r="G1215" s="285">
        <v>0</v>
      </c>
      <c r="H1215" s="288">
        <v>0</v>
      </c>
      <c r="I1215" s="285">
        <v>0</v>
      </c>
      <c r="J1215" s="285">
        <v>148</v>
      </c>
      <c r="K1215" s="284">
        <v>7</v>
      </c>
      <c r="L1215" s="284">
        <v>0</v>
      </c>
      <c r="M1215" s="284">
        <v>7</v>
      </c>
      <c r="N1215" s="284">
        <v>181</v>
      </c>
      <c r="O1215" s="284">
        <v>0</v>
      </c>
      <c r="P1215" s="284">
        <v>438</v>
      </c>
      <c r="Q1215" s="286">
        <v>20</v>
      </c>
      <c r="R1215" s="274">
        <v>1007</v>
      </c>
      <c r="S1215" s="274">
        <v>27</v>
      </c>
      <c r="T1215" s="287">
        <f t="shared" si="18"/>
        <v>2017</v>
      </c>
      <c r="U1215" s="274">
        <f>VLOOKUP(A1215,'[1]SB35 Determination Data'!$B$4:$F$542,5,FALSE)</f>
        <v>2015</v>
      </c>
    </row>
    <row r="1216" spans="1:21" s="274" customFormat="1" ht="12.75" x14ac:dyDescent="0.2">
      <c r="A1216" s="282" t="s">
        <v>314</v>
      </c>
      <c r="B1216" s="282" t="s">
        <v>120</v>
      </c>
      <c r="C1216" s="282" t="s">
        <v>654</v>
      </c>
      <c r="D1216" s="283">
        <v>2014</v>
      </c>
      <c r="E1216" s="282" t="s">
        <v>650</v>
      </c>
      <c r="F1216" s="284">
        <v>516</v>
      </c>
      <c r="G1216" s="285">
        <v>0</v>
      </c>
      <c r="H1216" s="288">
        <v>0</v>
      </c>
      <c r="I1216" s="285">
        <v>0</v>
      </c>
      <c r="J1216" s="285">
        <v>279</v>
      </c>
      <c r="K1216" s="284">
        <v>0</v>
      </c>
      <c r="L1216" s="284">
        <v>0</v>
      </c>
      <c r="M1216" s="284">
        <v>0</v>
      </c>
      <c r="N1216" s="284">
        <v>282</v>
      </c>
      <c r="O1216" s="284">
        <v>5</v>
      </c>
      <c r="P1216" s="284">
        <v>340</v>
      </c>
      <c r="Q1216" s="286">
        <v>216</v>
      </c>
      <c r="R1216" s="274">
        <v>1417</v>
      </c>
      <c r="S1216" s="274">
        <v>221</v>
      </c>
      <c r="T1216" s="287">
        <f t="shared" si="18"/>
        <v>2015</v>
      </c>
      <c r="U1216" s="274">
        <f>VLOOKUP(A1216,'[1]SB35 Determination Data'!$B$4:$F$542,5,FALSE)</f>
        <v>2015</v>
      </c>
    </row>
    <row r="1217" spans="1:21" s="274" customFormat="1" ht="12.75" x14ac:dyDescent="0.2">
      <c r="A1217" s="282" t="s">
        <v>314</v>
      </c>
      <c r="B1217" s="282" t="s">
        <v>120</v>
      </c>
      <c r="C1217" s="282" t="s">
        <v>654</v>
      </c>
      <c r="D1217" s="283">
        <v>2015</v>
      </c>
      <c r="E1217" s="282" t="s">
        <v>650</v>
      </c>
      <c r="F1217" s="284">
        <v>516</v>
      </c>
      <c r="G1217" s="285">
        <v>0</v>
      </c>
      <c r="H1217" s="288">
        <v>0</v>
      </c>
      <c r="I1217" s="285">
        <v>0</v>
      </c>
      <c r="J1217" s="285">
        <v>279</v>
      </c>
      <c r="K1217" s="284">
        <v>0</v>
      </c>
      <c r="L1217" s="284">
        <v>0</v>
      </c>
      <c r="M1217" s="284">
        <v>0</v>
      </c>
      <c r="N1217" s="284">
        <v>282</v>
      </c>
      <c r="O1217" s="284">
        <v>2</v>
      </c>
      <c r="P1217" s="284">
        <v>340</v>
      </c>
      <c r="Q1217" s="286">
        <v>386</v>
      </c>
      <c r="R1217" s="274">
        <v>1417</v>
      </c>
      <c r="S1217" s="274">
        <v>388</v>
      </c>
      <c r="T1217" s="287">
        <f t="shared" si="18"/>
        <v>2015</v>
      </c>
      <c r="U1217" s="274">
        <f>VLOOKUP(A1217,'[1]SB35 Determination Data'!$B$4:$F$542,5,FALSE)</f>
        <v>2015</v>
      </c>
    </row>
    <row r="1218" spans="1:21" s="274" customFormat="1" ht="12.75" x14ac:dyDescent="0.2">
      <c r="A1218" s="282" t="s">
        <v>314</v>
      </c>
      <c r="B1218" s="282" t="s">
        <v>120</v>
      </c>
      <c r="C1218" s="282" t="s">
        <v>654</v>
      </c>
      <c r="D1218" s="283">
        <v>2016</v>
      </c>
      <c r="E1218" s="282" t="s">
        <v>650</v>
      </c>
      <c r="F1218" s="284">
        <v>516</v>
      </c>
      <c r="G1218" s="285">
        <v>20</v>
      </c>
      <c r="H1218" s="288">
        <v>20</v>
      </c>
      <c r="I1218" s="285">
        <v>0</v>
      </c>
      <c r="J1218" s="285">
        <v>279</v>
      </c>
      <c r="K1218" s="284">
        <v>82</v>
      </c>
      <c r="L1218" s="284">
        <v>82</v>
      </c>
      <c r="M1218" s="284">
        <v>0</v>
      </c>
      <c r="N1218" s="284">
        <v>282</v>
      </c>
      <c r="O1218" s="284">
        <v>162</v>
      </c>
      <c r="P1218" s="284">
        <v>340</v>
      </c>
      <c r="Q1218" s="286">
        <v>618</v>
      </c>
      <c r="R1218" s="274">
        <v>1417</v>
      </c>
      <c r="S1218" s="274">
        <v>882</v>
      </c>
      <c r="T1218" s="287">
        <f t="shared" si="18"/>
        <v>2016</v>
      </c>
      <c r="U1218" s="274">
        <f>VLOOKUP(A1218,'[1]SB35 Determination Data'!$B$4:$F$542,5,FALSE)</f>
        <v>2015</v>
      </c>
    </row>
    <row r="1219" spans="1:21" s="274" customFormat="1" ht="12.75" x14ac:dyDescent="0.2">
      <c r="A1219" s="282" t="s">
        <v>314</v>
      </c>
      <c r="B1219" s="282" t="s">
        <v>120</v>
      </c>
      <c r="C1219" s="282" t="s">
        <v>654</v>
      </c>
      <c r="D1219" s="283">
        <v>2017</v>
      </c>
      <c r="E1219" s="282" t="s">
        <v>650</v>
      </c>
      <c r="F1219" s="284">
        <v>516</v>
      </c>
      <c r="G1219" s="285">
        <v>0</v>
      </c>
      <c r="H1219" s="288">
        <v>0</v>
      </c>
      <c r="I1219" s="285">
        <v>0</v>
      </c>
      <c r="J1219" s="285">
        <v>279</v>
      </c>
      <c r="K1219" s="284">
        <v>0</v>
      </c>
      <c r="L1219" s="284">
        <v>0</v>
      </c>
      <c r="M1219" s="284">
        <v>0</v>
      </c>
      <c r="N1219" s="284">
        <v>282</v>
      </c>
      <c r="O1219" s="284">
        <v>0</v>
      </c>
      <c r="P1219" s="284">
        <v>340</v>
      </c>
      <c r="Q1219" s="286">
        <v>188</v>
      </c>
      <c r="R1219" s="274">
        <v>1417</v>
      </c>
      <c r="S1219" s="274">
        <v>188</v>
      </c>
      <c r="T1219" s="287">
        <f t="shared" si="18"/>
        <v>2017</v>
      </c>
      <c r="U1219" s="274">
        <f>VLOOKUP(A1219,'[1]SB35 Determination Data'!$B$4:$F$542,5,FALSE)</f>
        <v>2015</v>
      </c>
    </row>
    <row r="1220" spans="1:21" s="274" customFormat="1" ht="12.75" x14ac:dyDescent="0.2">
      <c r="A1220" s="282" t="s">
        <v>373</v>
      </c>
      <c r="B1220" s="282" t="s">
        <v>125</v>
      </c>
      <c r="C1220" s="282" t="s">
        <v>531</v>
      </c>
      <c r="D1220" s="283">
        <v>2016</v>
      </c>
      <c r="E1220" s="282" t="s">
        <v>650</v>
      </c>
      <c r="F1220" s="284">
        <v>312</v>
      </c>
      <c r="G1220" s="285">
        <v>0</v>
      </c>
      <c r="H1220" s="288">
        <v>0</v>
      </c>
      <c r="I1220" s="285">
        <v>0</v>
      </c>
      <c r="J1220" s="285">
        <v>175</v>
      </c>
      <c r="K1220" s="284">
        <v>0</v>
      </c>
      <c r="L1220" s="284">
        <v>0</v>
      </c>
      <c r="M1220" s="284">
        <v>0</v>
      </c>
      <c r="N1220" s="284">
        <v>163</v>
      </c>
      <c r="O1220" s="284">
        <v>0</v>
      </c>
      <c r="P1220" s="284">
        <v>568</v>
      </c>
      <c r="Q1220" s="286">
        <v>0</v>
      </c>
      <c r="R1220" s="274">
        <v>1218</v>
      </c>
      <c r="S1220" s="274">
        <v>0</v>
      </c>
      <c r="T1220" s="287">
        <f t="shared" ref="T1220:T1283" si="19">IF(D1220&gt;U1220,D1220,U1220)</f>
        <v>2016</v>
      </c>
      <c r="U1220" s="274">
        <f>VLOOKUP(A1220,'[1]SB35 Determination Data'!$B$4:$F$542,5,FALSE)</f>
        <v>2016</v>
      </c>
    </row>
    <row r="1221" spans="1:21" s="274" customFormat="1" ht="12.75" x14ac:dyDescent="0.2">
      <c r="A1221" s="282" t="s">
        <v>664</v>
      </c>
      <c r="B1221" s="282" t="s">
        <v>436</v>
      </c>
      <c r="C1221" s="282" t="s">
        <v>649</v>
      </c>
      <c r="D1221" s="283">
        <v>2014</v>
      </c>
      <c r="E1221" s="282" t="s">
        <v>650</v>
      </c>
      <c r="F1221" s="284">
        <v>45</v>
      </c>
      <c r="G1221" s="285">
        <v>20</v>
      </c>
      <c r="H1221" s="288">
        <v>20</v>
      </c>
      <c r="I1221" s="285">
        <v>0</v>
      </c>
      <c r="J1221" s="285">
        <v>32</v>
      </c>
      <c r="K1221" s="284">
        <v>20</v>
      </c>
      <c r="L1221" s="284">
        <v>20</v>
      </c>
      <c r="M1221" s="284">
        <v>0</v>
      </c>
      <c r="N1221" s="284">
        <v>37</v>
      </c>
      <c r="O1221" s="284">
        <v>0</v>
      </c>
      <c r="P1221" s="284">
        <v>90</v>
      </c>
      <c r="Q1221" s="286">
        <v>242</v>
      </c>
      <c r="R1221" s="274">
        <v>204</v>
      </c>
      <c r="S1221" s="274">
        <v>282</v>
      </c>
      <c r="T1221" s="287">
        <f t="shared" si="19"/>
        <v>2014</v>
      </c>
      <c r="U1221" s="274">
        <f>VLOOKUP(A1221,'[1]SB35 Determination Data'!$B$4:$F$542,5,FALSE)</f>
        <v>2014</v>
      </c>
    </row>
    <row r="1222" spans="1:21" s="274" customFormat="1" ht="12.75" x14ac:dyDescent="0.2">
      <c r="A1222" s="282" t="s">
        <v>664</v>
      </c>
      <c r="B1222" s="282" t="s">
        <v>436</v>
      </c>
      <c r="C1222" s="282" t="s">
        <v>649</v>
      </c>
      <c r="D1222" s="283">
        <v>2015</v>
      </c>
      <c r="E1222" s="282" t="s">
        <v>650</v>
      </c>
      <c r="F1222" s="284">
        <v>45</v>
      </c>
      <c r="G1222" s="285">
        <v>0</v>
      </c>
      <c r="H1222" s="288">
        <v>0</v>
      </c>
      <c r="I1222" s="285">
        <v>0</v>
      </c>
      <c r="J1222" s="285">
        <v>32</v>
      </c>
      <c r="K1222" s="284">
        <v>0</v>
      </c>
      <c r="L1222" s="284">
        <v>0</v>
      </c>
      <c r="M1222" s="284">
        <v>0</v>
      </c>
      <c r="N1222" s="284">
        <v>37</v>
      </c>
      <c r="O1222" s="284">
        <v>11</v>
      </c>
      <c r="P1222" s="284">
        <v>90</v>
      </c>
      <c r="Q1222" s="286">
        <v>127</v>
      </c>
      <c r="R1222" s="274">
        <v>204</v>
      </c>
      <c r="S1222" s="274">
        <v>138</v>
      </c>
      <c r="T1222" s="287">
        <f t="shared" si="19"/>
        <v>2015</v>
      </c>
      <c r="U1222" s="274">
        <f>VLOOKUP(A1222,'[1]SB35 Determination Data'!$B$4:$F$542,5,FALSE)</f>
        <v>2014</v>
      </c>
    </row>
    <row r="1223" spans="1:21" s="274" customFormat="1" ht="12.75" x14ac:dyDescent="0.2">
      <c r="A1223" s="282" t="s">
        <v>664</v>
      </c>
      <c r="B1223" s="282" t="s">
        <v>436</v>
      </c>
      <c r="C1223" s="282" t="s">
        <v>649</v>
      </c>
      <c r="D1223" s="283">
        <v>2016</v>
      </c>
      <c r="E1223" s="282" t="s">
        <v>650</v>
      </c>
      <c r="F1223" s="284">
        <v>45</v>
      </c>
      <c r="G1223" s="285">
        <v>0</v>
      </c>
      <c r="H1223" s="288">
        <v>0</v>
      </c>
      <c r="I1223" s="285">
        <v>0</v>
      </c>
      <c r="J1223" s="285">
        <v>32</v>
      </c>
      <c r="K1223" s="284">
        <v>12</v>
      </c>
      <c r="L1223" s="284">
        <v>12</v>
      </c>
      <c r="M1223" s="284">
        <v>0</v>
      </c>
      <c r="N1223" s="284">
        <v>37</v>
      </c>
      <c r="O1223" s="284">
        <v>2</v>
      </c>
      <c r="P1223" s="284">
        <v>90</v>
      </c>
      <c r="Q1223" s="286">
        <v>285</v>
      </c>
      <c r="R1223" s="274">
        <v>204</v>
      </c>
      <c r="S1223" s="274">
        <v>299</v>
      </c>
      <c r="T1223" s="287">
        <f t="shared" si="19"/>
        <v>2016</v>
      </c>
      <c r="U1223" s="274">
        <f>VLOOKUP(A1223,'[1]SB35 Determination Data'!$B$4:$F$542,5,FALSE)</f>
        <v>2014</v>
      </c>
    </row>
    <row r="1224" spans="1:21" s="274" customFormat="1" ht="12.75" x14ac:dyDescent="0.2">
      <c r="A1224" s="282" t="s">
        <v>664</v>
      </c>
      <c r="B1224" s="282" t="s">
        <v>436</v>
      </c>
      <c r="C1224" s="282" t="s">
        <v>649</v>
      </c>
      <c r="D1224" s="283">
        <v>2017</v>
      </c>
      <c r="E1224" s="282" t="s">
        <v>650</v>
      </c>
      <c r="F1224" s="284">
        <v>45</v>
      </c>
      <c r="G1224" s="285">
        <v>49</v>
      </c>
      <c r="H1224" s="288">
        <v>49</v>
      </c>
      <c r="I1224" s="285">
        <v>0</v>
      </c>
      <c r="J1224" s="285">
        <v>32</v>
      </c>
      <c r="K1224" s="284">
        <v>20</v>
      </c>
      <c r="L1224" s="284">
        <v>20</v>
      </c>
      <c r="M1224" s="284">
        <v>0</v>
      </c>
      <c r="N1224" s="289">
        <v>37</v>
      </c>
      <c r="O1224" s="284">
        <v>11</v>
      </c>
      <c r="P1224" s="284">
        <v>90</v>
      </c>
      <c r="Q1224" s="286">
        <v>115</v>
      </c>
      <c r="R1224" s="274">
        <v>204</v>
      </c>
      <c r="S1224" s="274">
        <v>195</v>
      </c>
      <c r="T1224" s="287">
        <f t="shared" si="19"/>
        <v>2017</v>
      </c>
      <c r="U1224" s="274">
        <f>VLOOKUP(A1224,'[1]SB35 Determination Data'!$B$4:$F$542,5,FALSE)</f>
        <v>2014</v>
      </c>
    </row>
    <row r="1225" spans="1:21" s="274" customFormat="1" ht="12.75" x14ac:dyDescent="0.2">
      <c r="A1225" s="282" t="s">
        <v>602</v>
      </c>
      <c r="B1225" s="282" t="s">
        <v>602</v>
      </c>
      <c r="C1225" s="282" t="s">
        <v>732</v>
      </c>
      <c r="D1225" s="283">
        <v>2015</v>
      </c>
      <c r="E1225" s="282" t="s">
        <v>650</v>
      </c>
      <c r="F1225" s="284">
        <v>962</v>
      </c>
      <c r="G1225" s="285">
        <v>0</v>
      </c>
      <c r="H1225" s="288">
        <v>0</v>
      </c>
      <c r="I1225" s="285">
        <v>0</v>
      </c>
      <c r="J1225" s="285">
        <v>701</v>
      </c>
      <c r="K1225" s="284">
        <v>0</v>
      </c>
      <c r="L1225" s="284">
        <v>0</v>
      </c>
      <c r="M1225" s="284">
        <v>0</v>
      </c>
      <c r="N1225" s="284">
        <v>820</v>
      </c>
      <c r="O1225" s="284">
        <v>4</v>
      </c>
      <c r="P1225" s="284">
        <v>1617</v>
      </c>
      <c r="Q1225" s="286">
        <v>290</v>
      </c>
      <c r="R1225" s="274">
        <v>4100</v>
      </c>
      <c r="S1225" s="274">
        <v>294</v>
      </c>
      <c r="T1225" s="287">
        <f t="shared" si="19"/>
        <v>2015</v>
      </c>
      <c r="U1225" s="274">
        <f>VLOOKUP(A1225,'[1]SB35 Determination Data'!$B$4:$F$542,5,FALSE)</f>
        <v>2015</v>
      </c>
    </row>
    <row r="1226" spans="1:21" s="274" customFormat="1" ht="12.75" x14ac:dyDescent="0.2">
      <c r="A1226" s="282" t="s">
        <v>602</v>
      </c>
      <c r="B1226" s="282" t="s">
        <v>602</v>
      </c>
      <c r="C1226" s="282" t="s">
        <v>732</v>
      </c>
      <c r="D1226" s="283">
        <v>2016</v>
      </c>
      <c r="E1226" s="282" t="s">
        <v>650</v>
      </c>
      <c r="F1226" s="284">
        <v>962</v>
      </c>
      <c r="G1226" s="285">
        <v>61</v>
      </c>
      <c r="H1226" s="288">
        <v>61</v>
      </c>
      <c r="I1226" s="285">
        <v>0</v>
      </c>
      <c r="J1226" s="285">
        <v>701</v>
      </c>
      <c r="K1226" s="284">
        <v>36</v>
      </c>
      <c r="L1226" s="284">
        <v>36</v>
      </c>
      <c r="M1226" s="284">
        <v>0</v>
      </c>
      <c r="N1226" s="284">
        <v>820</v>
      </c>
      <c r="O1226" s="284">
        <v>0</v>
      </c>
      <c r="P1226" s="284">
        <v>1617</v>
      </c>
      <c r="Q1226" s="286">
        <v>159</v>
      </c>
      <c r="R1226" s="274">
        <v>4100</v>
      </c>
      <c r="S1226" s="274">
        <v>256</v>
      </c>
      <c r="T1226" s="287">
        <f t="shared" si="19"/>
        <v>2016</v>
      </c>
      <c r="U1226" s="274">
        <f>VLOOKUP(A1226,'[1]SB35 Determination Data'!$B$4:$F$542,5,FALSE)</f>
        <v>2015</v>
      </c>
    </row>
    <row r="1227" spans="1:21" s="274" customFormat="1" ht="12.75" x14ac:dyDescent="0.2">
      <c r="A1227" s="282" t="s">
        <v>602</v>
      </c>
      <c r="B1227" s="282" t="s">
        <v>602</v>
      </c>
      <c r="C1227" s="282" t="s">
        <v>732</v>
      </c>
      <c r="D1227" s="283">
        <v>2017</v>
      </c>
      <c r="E1227" s="282" t="s">
        <v>650</v>
      </c>
      <c r="F1227" s="284">
        <v>962</v>
      </c>
      <c r="G1227" s="285">
        <v>0</v>
      </c>
      <c r="H1227" s="288">
        <v>0</v>
      </c>
      <c r="I1227" s="285">
        <v>0</v>
      </c>
      <c r="J1227" s="285">
        <v>701</v>
      </c>
      <c r="K1227" s="284">
        <v>0</v>
      </c>
      <c r="L1227" s="284">
        <v>0</v>
      </c>
      <c r="M1227" s="284">
        <v>0</v>
      </c>
      <c r="N1227" s="284">
        <v>820</v>
      </c>
      <c r="O1227" s="284">
        <v>0</v>
      </c>
      <c r="P1227" s="284">
        <v>1617</v>
      </c>
      <c r="Q1227" s="286">
        <v>117</v>
      </c>
      <c r="R1227" s="274">
        <v>4100</v>
      </c>
      <c r="S1227" s="274">
        <v>117</v>
      </c>
      <c r="T1227" s="287">
        <f t="shared" si="19"/>
        <v>2017</v>
      </c>
      <c r="U1227" s="274">
        <f>VLOOKUP(A1227,'[1]SB35 Determination Data'!$B$4:$F$542,5,FALSE)</f>
        <v>2015</v>
      </c>
    </row>
    <row r="1228" spans="1:21" s="274" customFormat="1" ht="12.75" x14ac:dyDescent="0.2">
      <c r="A1228" s="282" t="s">
        <v>665</v>
      </c>
      <c r="B1228" s="282" t="s">
        <v>602</v>
      </c>
      <c r="C1228" s="282" t="s">
        <v>732</v>
      </c>
      <c r="D1228" s="283">
        <v>2014</v>
      </c>
      <c r="E1228" s="282" t="s">
        <v>650</v>
      </c>
      <c r="F1228" s="284">
        <v>159</v>
      </c>
      <c r="G1228" s="285">
        <v>0</v>
      </c>
      <c r="H1228" s="288">
        <v>0</v>
      </c>
      <c r="I1228" s="285">
        <v>0</v>
      </c>
      <c r="J1228" s="285">
        <v>106</v>
      </c>
      <c r="K1228" s="284">
        <v>0</v>
      </c>
      <c r="L1228" s="284">
        <v>0</v>
      </c>
      <c r="M1228" s="284">
        <v>0</v>
      </c>
      <c r="N1228" s="284">
        <v>112</v>
      </c>
      <c r="O1228" s="284">
        <v>59</v>
      </c>
      <c r="P1228" s="284">
        <v>284</v>
      </c>
      <c r="Q1228" s="286">
        <v>80</v>
      </c>
      <c r="R1228" s="274">
        <v>661</v>
      </c>
      <c r="S1228" s="274">
        <v>139</v>
      </c>
      <c r="T1228" s="287">
        <f t="shared" si="19"/>
        <v>2015</v>
      </c>
      <c r="U1228" s="274">
        <f>VLOOKUP(A1228,'[1]SB35 Determination Data'!$B$4:$F$542,5,FALSE)</f>
        <v>2015</v>
      </c>
    </row>
    <row r="1229" spans="1:21" s="274" customFormat="1" ht="12.75" x14ac:dyDescent="0.2">
      <c r="A1229" s="282" t="s">
        <v>665</v>
      </c>
      <c r="B1229" s="282" t="s">
        <v>602</v>
      </c>
      <c r="C1229" s="282" t="s">
        <v>732</v>
      </c>
      <c r="D1229" s="283">
        <v>2015</v>
      </c>
      <c r="E1229" s="282" t="s">
        <v>650</v>
      </c>
      <c r="F1229" s="284">
        <v>159</v>
      </c>
      <c r="G1229" s="285">
        <v>49</v>
      </c>
      <c r="H1229" s="288">
        <v>49</v>
      </c>
      <c r="I1229" s="285">
        <v>0</v>
      </c>
      <c r="J1229" s="285">
        <v>106</v>
      </c>
      <c r="K1229" s="284">
        <v>41</v>
      </c>
      <c r="L1229" s="284">
        <v>36</v>
      </c>
      <c r="M1229" s="284">
        <v>5</v>
      </c>
      <c r="N1229" s="289">
        <v>112</v>
      </c>
      <c r="O1229" s="284">
        <v>44</v>
      </c>
      <c r="P1229" s="284">
        <v>284</v>
      </c>
      <c r="Q1229" s="286">
        <v>94</v>
      </c>
      <c r="R1229" s="274">
        <v>661</v>
      </c>
      <c r="S1229" s="274">
        <v>228</v>
      </c>
      <c r="T1229" s="287">
        <f t="shared" si="19"/>
        <v>2015</v>
      </c>
      <c r="U1229" s="274">
        <f>VLOOKUP(A1229,'[1]SB35 Determination Data'!$B$4:$F$542,5,FALSE)</f>
        <v>2015</v>
      </c>
    </row>
    <row r="1230" spans="1:21" s="274" customFormat="1" ht="12.75" x14ac:dyDescent="0.2">
      <c r="A1230" s="282" t="s">
        <v>665</v>
      </c>
      <c r="B1230" s="282" t="s">
        <v>602</v>
      </c>
      <c r="C1230" s="282" t="s">
        <v>732</v>
      </c>
      <c r="D1230" s="283">
        <v>2016</v>
      </c>
      <c r="E1230" s="282" t="s">
        <v>650</v>
      </c>
      <c r="F1230" s="284">
        <v>159</v>
      </c>
      <c r="G1230" s="285">
        <v>0</v>
      </c>
      <c r="H1230" s="288">
        <v>0</v>
      </c>
      <c r="I1230" s="285">
        <v>0</v>
      </c>
      <c r="J1230" s="285">
        <v>106</v>
      </c>
      <c r="K1230" s="284">
        <v>7</v>
      </c>
      <c r="L1230" s="284">
        <v>0</v>
      </c>
      <c r="M1230" s="284">
        <v>7</v>
      </c>
      <c r="N1230" s="284">
        <v>112</v>
      </c>
      <c r="O1230" s="284">
        <v>13</v>
      </c>
      <c r="P1230" s="284">
        <v>284</v>
      </c>
      <c r="Q1230" s="286">
        <v>31</v>
      </c>
      <c r="R1230" s="274">
        <v>661</v>
      </c>
      <c r="S1230" s="274">
        <v>51</v>
      </c>
      <c r="T1230" s="287">
        <f t="shared" si="19"/>
        <v>2016</v>
      </c>
      <c r="U1230" s="274">
        <f>VLOOKUP(A1230,'[1]SB35 Determination Data'!$B$4:$F$542,5,FALSE)</f>
        <v>2015</v>
      </c>
    </row>
    <row r="1231" spans="1:21" s="274" customFormat="1" ht="12.75" x14ac:dyDescent="0.2">
      <c r="A1231" s="282" t="s">
        <v>665</v>
      </c>
      <c r="B1231" s="282" t="s">
        <v>602</v>
      </c>
      <c r="C1231" s="282" t="s">
        <v>732</v>
      </c>
      <c r="D1231" s="283">
        <v>2017</v>
      </c>
      <c r="E1231" s="282" t="s">
        <v>650</v>
      </c>
      <c r="F1231" s="284">
        <v>159</v>
      </c>
      <c r="G1231" s="285">
        <v>8</v>
      </c>
      <c r="H1231" s="288">
        <v>8</v>
      </c>
      <c r="I1231" s="285">
        <v>0</v>
      </c>
      <c r="J1231" s="285">
        <v>106</v>
      </c>
      <c r="K1231" s="284">
        <v>1</v>
      </c>
      <c r="L1231" s="284">
        <v>0</v>
      </c>
      <c r="M1231" s="284">
        <v>1</v>
      </c>
      <c r="N1231" s="284">
        <v>112</v>
      </c>
      <c r="O1231" s="284">
        <v>54</v>
      </c>
      <c r="P1231" s="284">
        <v>284</v>
      </c>
      <c r="Q1231" s="286">
        <v>145</v>
      </c>
      <c r="R1231" s="274">
        <v>661</v>
      </c>
      <c r="S1231" s="274">
        <v>208</v>
      </c>
      <c r="T1231" s="287">
        <f t="shared" si="19"/>
        <v>2017</v>
      </c>
      <c r="U1231" s="274">
        <f>VLOOKUP(A1231,'[1]SB35 Determination Data'!$B$4:$F$542,5,FALSE)</f>
        <v>2015</v>
      </c>
    </row>
    <row r="1232" spans="1:21" s="274" customFormat="1" ht="12.75" x14ac:dyDescent="0.2">
      <c r="A1232" s="282" t="s">
        <v>614</v>
      </c>
      <c r="B1232" s="282" t="s">
        <v>614</v>
      </c>
      <c r="C1232" s="282" t="s">
        <v>654</v>
      </c>
      <c r="D1232" s="283">
        <v>2015</v>
      </c>
      <c r="E1232" s="282" t="s">
        <v>650</v>
      </c>
      <c r="F1232" s="284">
        <v>1050</v>
      </c>
      <c r="G1232" s="285">
        <v>0</v>
      </c>
      <c r="H1232" s="288">
        <v>0</v>
      </c>
      <c r="I1232" s="285">
        <v>0</v>
      </c>
      <c r="J1232" s="285">
        <v>695</v>
      </c>
      <c r="K1232" s="284">
        <v>0</v>
      </c>
      <c r="L1232" s="284">
        <v>0</v>
      </c>
      <c r="M1232" s="284">
        <v>0</v>
      </c>
      <c r="N1232" s="284">
        <v>755</v>
      </c>
      <c r="O1232" s="284">
        <v>19</v>
      </c>
      <c r="P1232" s="284">
        <v>1593</v>
      </c>
      <c r="Q1232" s="286">
        <v>212</v>
      </c>
      <c r="R1232" s="274">
        <v>4093</v>
      </c>
      <c r="S1232" s="274">
        <v>231</v>
      </c>
      <c r="T1232" s="287">
        <f t="shared" si="19"/>
        <v>2015</v>
      </c>
      <c r="U1232" s="274">
        <f>VLOOKUP(A1232,'[1]SB35 Determination Data'!$B$4:$F$542,5,FALSE)</f>
        <v>2015</v>
      </c>
    </row>
    <row r="1233" spans="1:21" s="274" customFormat="1" ht="12.75" x14ac:dyDescent="0.2">
      <c r="A1233" s="282" t="s">
        <v>614</v>
      </c>
      <c r="B1233" s="282" t="s">
        <v>614</v>
      </c>
      <c r="C1233" s="282" t="s">
        <v>654</v>
      </c>
      <c r="D1233" s="283">
        <v>2016</v>
      </c>
      <c r="E1233" s="282" t="s">
        <v>650</v>
      </c>
      <c r="F1233" s="284">
        <v>1050</v>
      </c>
      <c r="G1233" s="285">
        <v>1</v>
      </c>
      <c r="H1233" s="288">
        <v>1</v>
      </c>
      <c r="I1233" s="285">
        <v>0</v>
      </c>
      <c r="J1233" s="285">
        <v>695</v>
      </c>
      <c r="K1233" s="284">
        <v>1</v>
      </c>
      <c r="L1233" s="284">
        <v>1</v>
      </c>
      <c r="M1233" s="284">
        <v>0</v>
      </c>
      <c r="N1233" s="289">
        <v>755</v>
      </c>
      <c r="O1233" s="284">
        <v>16</v>
      </c>
      <c r="P1233" s="284">
        <v>1593</v>
      </c>
      <c r="Q1233" s="286">
        <v>399</v>
      </c>
      <c r="R1233" s="274">
        <v>4093</v>
      </c>
      <c r="S1233" s="274">
        <v>417</v>
      </c>
      <c r="T1233" s="287">
        <f t="shared" si="19"/>
        <v>2016</v>
      </c>
      <c r="U1233" s="274">
        <f>VLOOKUP(A1233,'[1]SB35 Determination Data'!$B$4:$F$542,5,FALSE)</f>
        <v>2015</v>
      </c>
    </row>
    <row r="1234" spans="1:21" s="274" customFormat="1" ht="12.75" x14ac:dyDescent="0.2">
      <c r="A1234" s="282" t="s">
        <v>614</v>
      </c>
      <c r="B1234" s="282" t="s">
        <v>614</v>
      </c>
      <c r="C1234" s="282" t="s">
        <v>654</v>
      </c>
      <c r="D1234" s="283">
        <v>2017</v>
      </c>
      <c r="E1234" s="282" t="s">
        <v>650</v>
      </c>
      <c r="F1234" s="284">
        <v>1050</v>
      </c>
      <c r="G1234" s="285">
        <v>0</v>
      </c>
      <c r="H1234" s="288">
        <v>0</v>
      </c>
      <c r="I1234" s="285">
        <v>0</v>
      </c>
      <c r="J1234" s="285">
        <v>695</v>
      </c>
      <c r="K1234" s="284">
        <v>0</v>
      </c>
      <c r="L1234" s="284">
        <v>0</v>
      </c>
      <c r="M1234" s="284">
        <v>0</v>
      </c>
      <c r="N1234" s="284">
        <v>755</v>
      </c>
      <c r="O1234" s="284">
        <v>6</v>
      </c>
      <c r="P1234" s="284">
        <v>1593</v>
      </c>
      <c r="Q1234" s="286">
        <v>1609</v>
      </c>
      <c r="R1234" s="274">
        <v>4093</v>
      </c>
      <c r="S1234" s="274">
        <v>1615</v>
      </c>
      <c r="T1234" s="287">
        <f t="shared" si="19"/>
        <v>2017</v>
      </c>
      <c r="U1234" s="274">
        <f>VLOOKUP(A1234,'[1]SB35 Determination Data'!$B$4:$F$542,5,FALSE)</f>
        <v>2015</v>
      </c>
    </row>
    <row r="1235" spans="1:21" s="274" customFormat="1" ht="12.75" x14ac:dyDescent="0.2">
      <c r="A1235" s="282" t="s">
        <v>666</v>
      </c>
      <c r="B1235" s="282" t="s">
        <v>614</v>
      </c>
      <c r="C1235" s="282" t="s">
        <v>654</v>
      </c>
      <c r="D1235" s="283">
        <v>2014</v>
      </c>
      <c r="E1235" s="282" t="s">
        <v>650</v>
      </c>
      <c r="F1235" s="284">
        <v>22</v>
      </c>
      <c r="G1235" s="285">
        <v>13</v>
      </c>
      <c r="H1235" s="288">
        <v>13</v>
      </c>
      <c r="I1235" s="285">
        <v>0</v>
      </c>
      <c r="J1235" s="285">
        <v>13</v>
      </c>
      <c r="K1235" s="284">
        <v>0</v>
      </c>
      <c r="L1235" s="284">
        <v>0</v>
      </c>
      <c r="M1235" s="284">
        <v>0</v>
      </c>
      <c r="N1235" s="284">
        <v>214</v>
      </c>
      <c r="O1235" s="284">
        <v>0</v>
      </c>
      <c r="P1235" s="284">
        <v>28</v>
      </c>
      <c r="Q1235" s="286">
        <v>58</v>
      </c>
      <c r="R1235" s="274">
        <v>277</v>
      </c>
      <c r="S1235" s="274">
        <v>71</v>
      </c>
      <c r="T1235" s="287">
        <f t="shared" si="19"/>
        <v>2015</v>
      </c>
      <c r="U1235" s="274">
        <f>VLOOKUP(A1235,'[1]SB35 Determination Data'!$B$4:$F$542,5,FALSE)</f>
        <v>2015</v>
      </c>
    </row>
    <row r="1236" spans="1:21" s="274" customFormat="1" ht="12.75" x14ac:dyDescent="0.2">
      <c r="A1236" s="282" t="s">
        <v>666</v>
      </c>
      <c r="B1236" s="282" t="s">
        <v>614</v>
      </c>
      <c r="C1236" s="282" t="s">
        <v>654</v>
      </c>
      <c r="D1236" s="283">
        <v>2015</v>
      </c>
      <c r="E1236" s="282" t="s">
        <v>650</v>
      </c>
      <c r="F1236" s="284">
        <v>22</v>
      </c>
      <c r="G1236" s="285">
        <v>5</v>
      </c>
      <c r="H1236" s="288">
        <v>5</v>
      </c>
      <c r="I1236" s="285">
        <v>0</v>
      </c>
      <c r="J1236" s="285">
        <v>13</v>
      </c>
      <c r="K1236" s="284">
        <v>0</v>
      </c>
      <c r="L1236" s="284">
        <v>0</v>
      </c>
      <c r="M1236" s="284">
        <v>0</v>
      </c>
      <c r="N1236" s="284">
        <v>214</v>
      </c>
      <c r="O1236" s="284">
        <v>0</v>
      </c>
      <c r="P1236" s="284">
        <v>28</v>
      </c>
      <c r="Q1236" s="286">
        <v>60</v>
      </c>
      <c r="R1236" s="274">
        <v>277</v>
      </c>
      <c r="S1236" s="274">
        <v>65</v>
      </c>
      <c r="T1236" s="287">
        <f t="shared" si="19"/>
        <v>2015</v>
      </c>
      <c r="U1236" s="274">
        <f>VLOOKUP(A1236,'[1]SB35 Determination Data'!$B$4:$F$542,5,FALSE)</f>
        <v>2015</v>
      </c>
    </row>
    <row r="1237" spans="1:21" s="274" customFormat="1" ht="12.75" x14ac:dyDescent="0.2">
      <c r="A1237" s="282" t="s">
        <v>666</v>
      </c>
      <c r="B1237" s="282" t="s">
        <v>614</v>
      </c>
      <c r="C1237" s="282" t="s">
        <v>654</v>
      </c>
      <c r="D1237" s="283">
        <v>2016</v>
      </c>
      <c r="E1237" s="282" t="s">
        <v>650</v>
      </c>
      <c r="F1237" s="284">
        <v>22</v>
      </c>
      <c r="G1237" s="285">
        <v>11</v>
      </c>
      <c r="H1237" s="288">
        <v>11</v>
      </c>
      <c r="I1237" s="285">
        <v>0</v>
      </c>
      <c r="J1237" s="285">
        <v>13</v>
      </c>
      <c r="K1237" s="284">
        <v>0</v>
      </c>
      <c r="L1237" s="284">
        <v>0</v>
      </c>
      <c r="M1237" s="284">
        <v>0</v>
      </c>
      <c r="N1237" s="284">
        <v>214</v>
      </c>
      <c r="O1237" s="284">
        <v>0</v>
      </c>
      <c r="P1237" s="284">
        <v>28</v>
      </c>
      <c r="Q1237" s="286">
        <v>66</v>
      </c>
      <c r="R1237" s="274">
        <v>277</v>
      </c>
      <c r="S1237" s="274">
        <v>77</v>
      </c>
      <c r="T1237" s="287">
        <f t="shared" si="19"/>
        <v>2016</v>
      </c>
      <c r="U1237" s="274">
        <f>VLOOKUP(A1237,'[1]SB35 Determination Data'!$B$4:$F$542,5,FALSE)</f>
        <v>2015</v>
      </c>
    </row>
    <row r="1238" spans="1:21" s="274" customFormat="1" ht="12.75" x14ac:dyDescent="0.2">
      <c r="A1238" s="282" t="s">
        <v>666</v>
      </c>
      <c r="B1238" s="282" t="s">
        <v>614</v>
      </c>
      <c r="C1238" s="282" t="s">
        <v>654</v>
      </c>
      <c r="D1238" s="283">
        <v>2017</v>
      </c>
      <c r="E1238" s="282" t="s">
        <v>650</v>
      </c>
      <c r="F1238" s="284">
        <v>22</v>
      </c>
      <c r="G1238" s="285">
        <v>13</v>
      </c>
      <c r="H1238" s="288">
        <v>0</v>
      </c>
      <c r="I1238" s="285">
        <v>13</v>
      </c>
      <c r="J1238" s="285">
        <v>13</v>
      </c>
      <c r="K1238" s="284">
        <v>0</v>
      </c>
      <c r="L1238" s="284">
        <v>0</v>
      </c>
      <c r="M1238" s="284">
        <v>0</v>
      </c>
      <c r="N1238" s="284">
        <v>214</v>
      </c>
      <c r="O1238" s="284">
        <v>0</v>
      </c>
      <c r="P1238" s="284">
        <v>28</v>
      </c>
      <c r="Q1238" s="286">
        <v>43</v>
      </c>
      <c r="R1238" s="274">
        <v>277</v>
      </c>
      <c r="S1238" s="274">
        <v>56</v>
      </c>
      <c r="T1238" s="287">
        <f t="shared" si="19"/>
        <v>2017</v>
      </c>
      <c r="U1238" s="274">
        <f>VLOOKUP(A1238,'[1]SB35 Determination Data'!$B$4:$F$542,5,FALSE)</f>
        <v>2015</v>
      </c>
    </row>
    <row r="1239" spans="1:21" s="274" customFormat="1" ht="12.75" x14ac:dyDescent="0.2">
      <c r="A1239" s="282" t="s">
        <v>502</v>
      </c>
      <c r="B1239" s="282" t="s">
        <v>262</v>
      </c>
      <c r="C1239" s="282" t="s">
        <v>649</v>
      </c>
      <c r="D1239" s="283">
        <v>2014</v>
      </c>
      <c r="E1239" s="282" t="s">
        <v>650</v>
      </c>
      <c r="F1239" s="284">
        <v>2645</v>
      </c>
      <c r="G1239" s="285">
        <v>3</v>
      </c>
      <c r="H1239" s="288">
        <v>3</v>
      </c>
      <c r="I1239" s="285">
        <v>0</v>
      </c>
      <c r="J1239" s="285">
        <v>1678</v>
      </c>
      <c r="K1239" s="284">
        <v>32</v>
      </c>
      <c r="L1239" s="284">
        <v>2</v>
      </c>
      <c r="M1239" s="284">
        <v>30</v>
      </c>
      <c r="N1239" s="284">
        <v>1532</v>
      </c>
      <c r="O1239" s="284">
        <v>141</v>
      </c>
      <c r="P1239" s="284">
        <v>5126</v>
      </c>
      <c r="Q1239" s="286">
        <v>212</v>
      </c>
      <c r="R1239" s="274">
        <v>10981</v>
      </c>
      <c r="S1239" s="274">
        <v>388</v>
      </c>
      <c r="T1239" s="287">
        <f t="shared" si="19"/>
        <v>2014</v>
      </c>
      <c r="U1239" s="274">
        <f>VLOOKUP(A1239,'[1]SB35 Determination Data'!$B$4:$F$542,5,FALSE)</f>
        <v>2014</v>
      </c>
    </row>
    <row r="1240" spans="1:21" s="274" customFormat="1" ht="12.75" x14ac:dyDescent="0.2">
      <c r="A1240" s="282" t="s">
        <v>502</v>
      </c>
      <c r="B1240" s="282" t="s">
        <v>262</v>
      </c>
      <c r="C1240" s="282" t="s">
        <v>649</v>
      </c>
      <c r="D1240" s="283">
        <v>2015</v>
      </c>
      <c r="E1240" s="282" t="s">
        <v>650</v>
      </c>
      <c r="F1240" s="284">
        <v>2645</v>
      </c>
      <c r="G1240" s="285">
        <v>0</v>
      </c>
      <c r="H1240" s="288">
        <v>0</v>
      </c>
      <c r="I1240" s="285">
        <v>0</v>
      </c>
      <c r="J1240" s="285">
        <v>1678</v>
      </c>
      <c r="K1240" s="284">
        <v>73</v>
      </c>
      <c r="L1240" s="284">
        <v>73</v>
      </c>
      <c r="M1240" s="284">
        <v>0</v>
      </c>
      <c r="N1240" s="284">
        <v>1532</v>
      </c>
      <c r="O1240" s="284">
        <v>11</v>
      </c>
      <c r="P1240" s="284">
        <v>5126</v>
      </c>
      <c r="Q1240" s="286">
        <v>306</v>
      </c>
      <c r="R1240" s="274">
        <v>10981</v>
      </c>
      <c r="S1240" s="274">
        <v>390</v>
      </c>
      <c r="T1240" s="287">
        <f t="shared" si="19"/>
        <v>2015</v>
      </c>
      <c r="U1240" s="274">
        <f>VLOOKUP(A1240,'[1]SB35 Determination Data'!$B$4:$F$542,5,FALSE)</f>
        <v>2014</v>
      </c>
    </row>
    <row r="1241" spans="1:21" s="274" customFormat="1" ht="12.75" x14ac:dyDescent="0.2">
      <c r="A1241" s="282" t="s">
        <v>502</v>
      </c>
      <c r="B1241" s="282" t="s">
        <v>262</v>
      </c>
      <c r="C1241" s="282" t="s">
        <v>649</v>
      </c>
      <c r="D1241" s="283">
        <v>2016</v>
      </c>
      <c r="E1241" s="282" t="s">
        <v>650</v>
      </c>
      <c r="F1241" s="284">
        <v>2645</v>
      </c>
      <c r="G1241" s="285">
        <v>10</v>
      </c>
      <c r="H1241" s="288">
        <v>10</v>
      </c>
      <c r="I1241" s="285">
        <v>0</v>
      </c>
      <c r="J1241" s="285">
        <v>1678</v>
      </c>
      <c r="K1241" s="284">
        <v>19</v>
      </c>
      <c r="L1241" s="284">
        <v>19</v>
      </c>
      <c r="M1241" s="284">
        <v>0</v>
      </c>
      <c r="N1241" s="284">
        <v>1532</v>
      </c>
      <c r="O1241" s="284">
        <v>0</v>
      </c>
      <c r="P1241" s="284">
        <v>5126</v>
      </c>
      <c r="Q1241" s="286">
        <v>433</v>
      </c>
      <c r="R1241" s="274">
        <v>10981</v>
      </c>
      <c r="S1241" s="274">
        <v>462</v>
      </c>
      <c r="T1241" s="287">
        <f t="shared" si="19"/>
        <v>2016</v>
      </c>
      <c r="U1241" s="274">
        <f>VLOOKUP(A1241,'[1]SB35 Determination Data'!$B$4:$F$542,5,FALSE)</f>
        <v>2014</v>
      </c>
    </row>
    <row r="1242" spans="1:21" s="274" customFormat="1" ht="12.75" x14ac:dyDescent="0.2">
      <c r="A1242" s="282" t="s">
        <v>502</v>
      </c>
      <c r="B1242" s="282" t="s">
        <v>262</v>
      </c>
      <c r="C1242" s="282" t="s">
        <v>649</v>
      </c>
      <c r="D1242" s="283">
        <v>2017</v>
      </c>
      <c r="E1242" s="282" t="s">
        <v>650</v>
      </c>
      <c r="F1242" s="284">
        <v>2645</v>
      </c>
      <c r="G1242" s="285">
        <v>0</v>
      </c>
      <c r="H1242" s="288">
        <v>0</v>
      </c>
      <c r="I1242" s="285">
        <v>0</v>
      </c>
      <c r="J1242" s="285">
        <v>1678</v>
      </c>
      <c r="K1242" s="284">
        <v>0</v>
      </c>
      <c r="L1242" s="284">
        <v>0</v>
      </c>
      <c r="M1242" s="284">
        <v>0</v>
      </c>
      <c r="N1242" s="284">
        <v>1532</v>
      </c>
      <c r="O1242" s="284">
        <v>0</v>
      </c>
      <c r="P1242" s="284">
        <v>5126</v>
      </c>
      <c r="Q1242" s="286">
        <v>578</v>
      </c>
      <c r="R1242" s="274">
        <v>10981</v>
      </c>
      <c r="S1242" s="274">
        <v>578</v>
      </c>
      <c r="T1242" s="287">
        <f t="shared" si="19"/>
        <v>2017</v>
      </c>
      <c r="U1242" s="274">
        <f>VLOOKUP(A1242,'[1]SB35 Determination Data'!$B$4:$F$542,5,FALSE)</f>
        <v>2014</v>
      </c>
    </row>
    <row r="1243" spans="1:21" s="274" customFormat="1" ht="12.75" x14ac:dyDescent="0.2">
      <c r="A1243" s="282" t="s">
        <v>621</v>
      </c>
      <c r="B1243" s="282" t="s">
        <v>621</v>
      </c>
      <c r="C1243" s="282" t="s">
        <v>531</v>
      </c>
      <c r="D1243" s="283">
        <v>2015</v>
      </c>
      <c r="E1243" s="282" t="s">
        <v>650</v>
      </c>
      <c r="F1243" s="284">
        <v>180</v>
      </c>
      <c r="G1243" s="285">
        <v>5</v>
      </c>
      <c r="H1243" s="288">
        <v>5</v>
      </c>
      <c r="I1243" s="285">
        <v>0</v>
      </c>
      <c r="J1243" s="285">
        <v>118</v>
      </c>
      <c r="K1243" s="284">
        <v>7</v>
      </c>
      <c r="L1243" s="284">
        <v>7</v>
      </c>
      <c r="M1243" s="284">
        <v>0</v>
      </c>
      <c r="N1243" s="289">
        <v>136</v>
      </c>
      <c r="O1243" s="284">
        <v>39</v>
      </c>
      <c r="P1243" s="284">
        <v>313</v>
      </c>
      <c r="Q1243" s="286">
        <v>94</v>
      </c>
      <c r="R1243" s="274">
        <v>747</v>
      </c>
      <c r="S1243" s="274">
        <v>145</v>
      </c>
      <c r="T1243" s="287">
        <f t="shared" si="19"/>
        <v>2016</v>
      </c>
      <c r="U1243" s="274">
        <f>VLOOKUP(A1243,'[1]SB35 Determination Data'!$B$4:$F$542,5,FALSE)</f>
        <v>2016</v>
      </c>
    </row>
    <row r="1244" spans="1:21" s="274" customFormat="1" ht="12.75" x14ac:dyDescent="0.2">
      <c r="A1244" s="282" t="s">
        <v>621</v>
      </c>
      <c r="B1244" s="282" t="s">
        <v>621</v>
      </c>
      <c r="C1244" s="282" t="s">
        <v>531</v>
      </c>
      <c r="D1244" s="283">
        <v>2016</v>
      </c>
      <c r="E1244" s="282" t="s">
        <v>650</v>
      </c>
      <c r="F1244" s="284">
        <v>180</v>
      </c>
      <c r="G1244" s="285">
        <v>1</v>
      </c>
      <c r="H1244" s="288">
        <v>1</v>
      </c>
      <c r="I1244" s="285">
        <v>0</v>
      </c>
      <c r="J1244" s="285">
        <v>118</v>
      </c>
      <c r="K1244" s="284">
        <v>15</v>
      </c>
      <c r="L1244" s="284">
        <v>15</v>
      </c>
      <c r="M1244" s="284">
        <v>0</v>
      </c>
      <c r="N1244" s="284">
        <v>136</v>
      </c>
      <c r="O1244" s="284">
        <v>112</v>
      </c>
      <c r="P1244" s="284">
        <v>313</v>
      </c>
      <c r="Q1244" s="286">
        <v>44</v>
      </c>
      <c r="R1244" s="274">
        <v>747</v>
      </c>
      <c r="S1244" s="274">
        <v>172</v>
      </c>
      <c r="T1244" s="287">
        <f t="shared" si="19"/>
        <v>2016</v>
      </c>
      <c r="U1244" s="274">
        <f>VLOOKUP(A1244,'[1]SB35 Determination Data'!$B$4:$F$542,5,FALSE)</f>
        <v>2016</v>
      </c>
    </row>
    <row r="1245" spans="1:21" s="274" customFormat="1" ht="12.75" x14ac:dyDescent="0.2">
      <c r="A1245" s="282" t="s">
        <v>621</v>
      </c>
      <c r="B1245" s="282" t="s">
        <v>621</v>
      </c>
      <c r="C1245" s="282" t="s">
        <v>531</v>
      </c>
      <c r="D1245" s="283">
        <v>2017</v>
      </c>
      <c r="E1245" s="282" t="s">
        <v>650</v>
      </c>
      <c r="F1245" s="284">
        <v>180</v>
      </c>
      <c r="G1245" s="285">
        <v>0</v>
      </c>
      <c r="H1245" s="288">
        <v>0</v>
      </c>
      <c r="I1245" s="285">
        <v>0</v>
      </c>
      <c r="J1245" s="285">
        <v>118</v>
      </c>
      <c r="K1245" s="284">
        <v>13</v>
      </c>
      <c r="L1245" s="284">
        <v>13</v>
      </c>
      <c r="M1245" s="284">
        <v>0</v>
      </c>
      <c r="N1245" s="284">
        <v>136</v>
      </c>
      <c r="O1245" s="284">
        <v>41</v>
      </c>
      <c r="P1245" s="284">
        <v>313</v>
      </c>
      <c r="Q1245" s="286">
        <v>109</v>
      </c>
      <c r="R1245" s="274">
        <v>747</v>
      </c>
      <c r="S1245" s="274">
        <v>163</v>
      </c>
      <c r="T1245" s="287">
        <f t="shared" si="19"/>
        <v>2017</v>
      </c>
      <c r="U1245" s="274">
        <f>VLOOKUP(A1245,'[1]SB35 Determination Data'!$B$4:$F$542,5,FALSE)</f>
        <v>2016</v>
      </c>
    </row>
    <row r="1246" spans="1:21" s="274" customFormat="1" ht="12.75" x14ac:dyDescent="0.2">
      <c r="A1246" s="282" t="s">
        <v>667</v>
      </c>
      <c r="B1246" s="282" t="s">
        <v>621</v>
      </c>
      <c r="C1246" s="282" t="s">
        <v>531</v>
      </c>
      <c r="D1246" s="283">
        <v>2015</v>
      </c>
      <c r="E1246" s="282" t="s">
        <v>650</v>
      </c>
      <c r="F1246" s="284">
        <v>317</v>
      </c>
      <c r="G1246" s="285">
        <v>1</v>
      </c>
      <c r="H1246" s="288">
        <v>1</v>
      </c>
      <c r="I1246" s="285">
        <v>0</v>
      </c>
      <c r="J1246" s="285">
        <v>207</v>
      </c>
      <c r="K1246" s="284">
        <v>2</v>
      </c>
      <c r="L1246" s="284">
        <v>2</v>
      </c>
      <c r="M1246" s="284">
        <v>0</v>
      </c>
      <c r="N1246" s="284">
        <v>239</v>
      </c>
      <c r="O1246" s="284">
        <v>84</v>
      </c>
      <c r="P1246" s="284">
        <v>551</v>
      </c>
      <c r="Q1246" s="286">
        <v>33</v>
      </c>
      <c r="R1246" s="274">
        <v>1314</v>
      </c>
      <c r="S1246" s="274">
        <v>120</v>
      </c>
      <c r="T1246" s="287">
        <f t="shared" si="19"/>
        <v>2016</v>
      </c>
      <c r="U1246" s="274">
        <f>VLOOKUP(A1246,'[1]SB35 Determination Data'!$B$4:$F$542,5,FALSE)</f>
        <v>2016</v>
      </c>
    </row>
    <row r="1247" spans="1:21" s="274" customFormat="1" ht="12.75" x14ac:dyDescent="0.2">
      <c r="A1247" s="282" t="s">
        <v>667</v>
      </c>
      <c r="B1247" s="282" t="s">
        <v>621</v>
      </c>
      <c r="C1247" s="282" t="s">
        <v>531</v>
      </c>
      <c r="D1247" s="283">
        <v>2016</v>
      </c>
      <c r="E1247" s="282" t="s">
        <v>650</v>
      </c>
      <c r="F1247" s="284">
        <v>317</v>
      </c>
      <c r="G1247" s="285">
        <v>42</v>
      </c>
      <c r="H1247" s="288">
        <v>42</v>
      </c>
      <c r="I1247" s="285">
        <v>0</v>
      </c>
      <c r="J1247" s="285">
        <v>207</v>
      </c>
      <c r="K1247" s="284">
        <v>23</v>
      </c>
      <c r="L1247" s="284">
        <v>23</v>
      </c>
      <c r="M1247" s="284">
        <v>0</v>
      </c>
      <c r="N1247" s="289">
        <v>239</v>
      </c>
      <c r="O1247" s="284">
        <v>35</v>
      </c>
      <c r="P1247" s="284">
        <v>551</v>
      </c>
      <c r="Q1247" s="286">
        <v>17</v>
      </c>
      <c r="R1247" s="274">
        <v>1314</v>
      </c>
      <c r="S1247" s="274">
        <v>117</v>
      </c>
      <c r="T1247" s="287">
        <f t="shared" si="19"/>
        <v>2016</v>
      </c>
      <c r="U1247" s="274">
        <f>VLOOKUP(A1247,'[1]SB35 Determination Data'!$B$4:$F$542,5,FALSE)</f>
        <v>2016</v>
      </c>
    </row>
    <row r="1248" spans="1:21" s="274" customFormat="1" ht="12.75" x14ac:dyDescent="0.2">
      <c r="A1248" s="282" t="s">
        <v>667</v>
      </c>
      <c r="B1248" s="282" t="s">
        <v>621</v>
      </c>
      <c r="C1248" s="282" t="s">
        <v>531</v>
      </c>
      <c r="D1248" s="283">
        <v>2017</v>
      </c>
      <c r="E1248" s="282" t="s">
        <v>650</v>
      </c>
      <c r="F1248" s="284">
        <v>317</v>
      </c>
      <c r="G1248" s="285">
        <v>0</v>
      </c>
      <c r="H1248" s="288">
        <v>0</v>
      </c>
      <c r="I1248" s="285">
        <v>0</v>
      </c>
      <c r="J1248" s="285">
        <v>207</v>
      </c>
      <c r="K1248" s="284">
        <v>0</v>
      </c>
      <c r="L1248" s="284">
        <v>0</v>
      </c>
      <c r="M1248" s="284">
        <v>0</v>
      </c>
      <c r="N1248" s="284">
        <v>239</v>
      </c>
      <c r="O1248" s="284">
        <v>66</v>
      </c>
      <c r="P1248" s="284">
        <v>551</v>
      </c>
      <c r="Q1248" s="286">
        <v>38</v>
      </c>
      <c r="R1248" s="274">
        <v>1314</v>
      </c>
      <c r="S1248" s="274">
        <v>104</v>
      </c>
      <c r="T1248" s="287">
        <f t="shared" si="19"/>
        <v>2017</v>
      </c>
      <c r="U1248" s="274">
        <f>VLOOKUP(A1248,'[1]SB35 Determination Data'!$B$4:$F$542,5,FALSE)</f>
        <v>2016</v>
      </c>
    </row>
    <row r="1249" spans="1:21" s="274" customFormat="1" ht="12.75" x14ac:dyDescent="0.2">
      <c r="A1249" s="282" t="s">
        <v>504</v>
      </c>
      <c r="B1249" s="282" t="s">
        <v>262</v>
      </c>
      <c r="C1249" s="282" t="s">
        <v>649</v>
      </c>
      <c r="D1249" s="283">
        <v>2014</v>
      </c>
      <c r="E1249" s="282" t="s">
        <v>650</v>
      </c>
      <c r="F1249" s="284">
        <v>82</v>
      </c>
      <c r="G1249" s="285">
        <v>0</v>
      </c>
      <c r="H1249" s="288">
        <v>0</v>
      </c>
      <c r="I1249" s="285">
        <v>0</v>
      </c>
      <c r="J1249" s="285">
        <v>50</v>
      </c>
      <c r="K1249" s="284">
        <v>0</v>
      </c>
      <c r="L1249" s="284">
        <v>0</v>
      </c>
      <c r="M1249" s="284">
        <v>0</v>
      </c>
      <c r="N1249" s="284">
        <v>53</v>
      </c>
      <c r="O1249" s="284">
        <v>0</v>
      </c>
      <c r="P1249" s="284">
        <v>139</v>
      </c>
      <c r="Q1249" s="286">
        <v>156</v>
      </c>
      <c r="R1249" s="274">
        <v>324</v>
      </c>
      <c r="S1249" s="274">
        <v>156</v>
      </c>
      <c r="T1249" s="287">
        <f t="shared" si="19"/>
        <v>2014</v>
      </c>
      <c r="U1249" s="274">
        <f>VLOOKUP(A1249,'[1]SB35 Determination Data'!$B$4:$F$542,5,FALSE)</f>
        <v>2014</v>
      </c>
    </row>
    <row r="1250" spans="1:21" s="274" customFormat="1" ht="12.75" x14ac:dyDescent="0.2">
      <c r="A1250" s="282" t="s">
        <v>504</v>
      </c>
      <c r="B1250" s="282" t="s">
        <v>262</v>
      </c>
      <c r="C1250" s="282" t="s">
        <v>649</v>
      </c>
      <c r="D1250" s="283">
        <v>2015</v>
      </c>
      <c r="E1250" s="282" t="s">
        <v>650</v>
      </c>
      <c r="F1250" s="284">
        <v>82</v>
      </c>
      <c r="G1250" s="285">
        <v>0</v>
      </c>
      <c r="H1250" s="288">
        <v>0</v>
      </c>
      <c r="I1250" s="285">
        <v>0</v>
      </c>
      <c r="J1250" s="285">
        <v>50</v>
      </c>
      <c r="K1250" s="284">
        <v>0</v>
      </c>
      <c r="L1250" s="284">
        <v>0</v>
      </c>
      <c r="M1250" s="284">
        <v>0</v>
      </c>
      <c r="N1250" s="284">
        <v>53</v>
      </c>
      <c r="O1250" s="284">
        <v>0</v>
      </c>
      <c r="P1250" s="284">
        <v>139</v>
      </c>
      <c r="Q1250" s="286">
        <v>51</v>
      </c>
      <c r="R1250" s="274">
        <v>324</v>
      </c>
      <c r="S1250" s="274">
        <v>51</v>
      </c>
      <c r="T1250" s="287">
        <f t="shared" si="19"/>
        <v>2015</v>
      </c>
      <c r="U1250" s="274">
        <f>VLOOKUP(A1250,'[1]SB35 Determination Data'!$B$4:$F$542,5,FALSE)</f>
        <v>2014</v>
      </c>
    </row>
    <row r="1251" spans="1:21" s="274" customFormat="1" ht="12.75" x14ac:dyDescent="0.2">
      <c r="A1251" s="282" t="s">
        <v>504</v>
      </c>
      <c r="B1251" s="282" t="s">
        <v>262</v>
      </c>
      <c r="C1251" s="282" t="s">
        <v>649</v>
      </c>
      <c r="D1251" s="283">
        <v>2016</v>
      </c>
      <c r="E1251" s="282" t="s">
        <v>650</v>
      </c>
      <c r="F1251" s="284">
        <v>82</v>
      </c>
      <c r="G1251" s="285">
        <v>0</v>
      </c>
      <c r="H1251" s="288">
        <v>0</v>
      </c>
      <c r="I1251" s="285">
        <v>0</v>
      </c>
      <c r="J1251" s="285">
        <v>50</v>
      </c>
      <c r="K1251" s="284">
        <v>0</v>
      </c>
      <c r="L1251" s="284">
        <v>0</v>
      </c>
      <c r="M1251" s="284">
        <v>0</v>
      </c>
      <c r="N1251" s="284">
        <v>53</v>
      </c>
      <c r="O1251" s="284">
        <v>0</v>
      </c>
      <c r="P1251" s="284">
        <v>139</v>
      </c>
      <c r="Q1251" s="286">
        <v>0</v>
      </c>
      <c r="R1251" s="274">
        <v>324</v>
      </c>
      <c r="S1251" s="274">
        <v>0</v>
      </c>
      <c r="T1251" s="287">
        <f t="shared" si="19"/>
        <v>2016</v>
      </c>
      <c r="U1251" s="274">
        <f>VLOOKUP(A1251,'[1]SB35 Determination Data'!$B$4:$F$542,5,FALSE)</f>
        <v>2014</v>
      </c>
    </row>
    <row r="1252" spans="1:21" s="274" customFormat="1" ht="12.75" x14ac:dyDescent="0.2">
      <c r="A1252" s="282" t="s">
        <v>504</v>
      </c>
      <c r="B1252" s="282" t="s">
        <v>262</v>
      </c>
      <c r="C1252" s="282" t="s">
        <v>649</v>
      </c>
      <c r="D1252" s="283">
        <v>2017</v>
      </c>
      <c r="E1252" s="282" t="s">
        <v>650</v>
      </c>
      <c r="F1252" s="284">
        <v>82</v>
      </c>
      <c r="G1252" s="285">
        <v>0</v>
      </c>
      <c r="H1252" s="288">
        <v>0</v>
      </c>
      <c r="I1252" s="285">
        <v>0</v>
      </c>
      <c r="J1252" s="285">
        <v>50</v>
      </c>
      <c r="K1252" s="284">
        <v>1</v>
      </c>
      <c r="L1252" s="284">
        <v>0</v>
      </c>
      <c r="M1252" s="284">
        <v>1</v>
      </c>
      <c r="N1252" s="284">
        <v>53</v>
      </c>
      <c r="O1252" s="284">
        <v>0</v>
      </c>
      <c r="P1252" s="284">
        <v>139</v>
      </c>
      <c r="Q1252" s="286">
        <v>14</v>
      </c>
      <c r="R1252" s="274">
        <v>324</v>
      </c>
      <c r="S1252" s="274">
        <v>15</v>
      </c>
      <c r="T1252" s="287">
        <f t="shared" si="19"/>
        <v>2017</v>
      </c>
      <c r="U1252" s="274">
        <f>VLOOKUP(A1252,'[1]SB35 Determination Data'!$B$4:$F$542,5,FALSE)</f>
        <v>2014</v>
      </c>
    </row>
    <row r="1253" spans="1:21" s="274" customFormat="1" ht="12.75" x14ac:dyDescent="0.2">
      <c r="A1253" s="282" t="s">
        <v>668</v>
      </c>
      <c r="B1253" s="282" t="s">
        <v>602</v>
      </c>
      <c r="C1253" s="282" t="s">
        <v>732</v>
      </c>
      <c r="D1253" s="283">
        <v>2015</v>
      </c>
      <c r="E1253" s="282" t="s">
        <v>650</v>
      </c>
      <c r="F1253" s="284">
        <v>985</v>
      </c>
      <c r="G1253" s="285">
        <v>0</v>
      </c>
      <c r="H1253" s="288">
        <v>0</v>
      </c>
      <c r="I1253" s="285">
        <v>0</v>
      </c>
      <c r="J1253" s="285">
        <v>656</v>
      </c>
      <c r="K1253" s="284">
        <v>0</v>
      </c>
      <c r="L1253" s="284">
        <v>0</v>
      </c>
      <c r="M1253" s="284">
        <v>0</v>
      </c>
      <c r="N1253" s="289">
        <v>730</v>
      </c>
      <c r="O1253" s="284">
        <v>286</v>
      </c>
      <c r="P1253" s="284">
        <v>1731</v>
      </c>
      <c r="Q1253" s="286">
        <v>150</v>
      </c>
      <c r="R1253" s="274">
        <v>4102</v>
      </c>
      <c r="S1253" s="274">
        <v>436</v>
      </c>
      <c r="T1253" s="287">
        <f t="shared" si="19"/>
        <v>2015</v>
      </c>
      <c r="U1253" s="274">
        <f>VLOOKUP(A1253,'[1]SB35 Determination Data'!$B$4:$F$542,5,FALSE)</f>
        <v>2015</v>
      </c>
    </row>
    <row r="1254" spans="1:21" s="274" customFormat="1" ht="12.75" x14ac:dyDescent="0.2">
      <c r="A1254" s="282" t="s">
        <v>668</v>
      </c>
      <c r="B1254" s="282" t="s">
        <v>602</v>
      </c>
      <c r="C1254" s="282" t="s">
        <v>732</v>
      </c>
      <c r="D1254" s="283">
        <v>2016</v>
      </c>
      <c r="E1254" s="282" t="s">
        <v>650</v>
      </c>
      <c r="F1254" s="284">
        <v>985</v>
      </c>
      <c r="G1254" s="285">
        <v>27</v>
      </c>
      <c r="H1254" s="288">
        <v>27</v>
      </c>
      <c r="I1254" s="285">
        <v>0</v>
      </c>
      <c r="J1254" s="285">
        <v>656</v>
      </c>
      <c r="K1254" s="284">
        <v>59</v>
      </c>
      <c r="L1254" s="284">
        <v>59</v>
      </c>
      <c r="M1254" s="284">
        <v>0</v>
      </c>
      <c r="N1254" s="284">
        <v>730</v>
      </c>
      <c r="O1254" s="284">
        <v>14</v>
      </c>
      <c r="P1254" s="284">
        <v>1731</v>
      </c>
      <c r="Q1254" s="286">
        <v>191</v>
      </c>
      <c r="R1254" s="274">
        <v>4102</v>
      </c>
      <c r="S1254" s="274">
        <v>291</v>
      </c>
      <c r="T1254" s="287">
        <f t="shared" si="19"/>
        <v>2016</v>
      </c>
      <c r="U1254" s="274">
        <f>VLOOKUP(A1254,'[1]SB35 Determination Data'!$B$4:$F$542,5,FALSE)</f>
        <v>2015</v>
      </c>
    </row>
    <row r="1255" spans="1:21" s="274" customFormat="1" ht="12.75" x14ac:dyDescent="0.2">
      <c r="A1255" s="282" t="s">
        <v>668</v>
      </c>
      <c r="B1255" s="282" t="s">
        <v>602</v>
      </c>
      <c r="C1255" s="282" t="s">
        <v>732</v>
      </c>
      <c r="D1255" s="283">
        <v>2017</v>
      </c>
      <c r="E1255" s="282" t="s">
        <v>650</v>
      </c>
      <c r="F1255" s="284">
        <v>985</v>
      </c>
      <c r="G1255" s="285">
        <v>0</v>
      </c>
      <c r="H1255" s="288">
        <v>0</v>
      </c>
      <c r="I1255" s="285">
        <v>0</v>
      </c>
      <c r="J1255" s="285">
        <v>656</v>
      </c>
      <c r="K1255" s="284">
        <v>0</v>
      </c>
      <c r="L1255" s="284">
        <v>0</v>
      </c>
      <c r="M1255" s="284">
        <v>0</v>
      </c>
      <c r="N1255" s="284">
        <v>730</v>
      </c>
      <c r="O1255" s="284">
        <v>391</v>
      </c>
      <c r="P1255" s="284">
        <v>1731</v>
      </c>
      <c r="Q1255" s="286">
        <v>125</v>
      </c>
      <c r="R1255" s="274">
        <v>4102</v>
      </c>
      <c r="S1255" s="274">
        <v>516</v>
      </c>
      <c r="T1255" s="287">
        <f t="shared" si="19"/>
        <v>2017</v>
      </c>
      <c r="U1255" s="274">
        <f>VLOOKUP(A1255,'[1]SB35 Determination Data'!$B$4:$F$542,5,FALSE)</f>
        <v>2015</v>
      </c>
    </row>
    <row r="1256" spans="1:21" s="274" customFormat="1" ht="12.75" x14ac:dyDescent="0.2">
      <c r="A1256" s="282" t="s">
        <v>505</v>
      </c>
      <c r="B1256" s="282" t="s">
        <v>262</v>
      </c>
      <c r="C1256" s="282" t="s">
        <v>649</v>
      </c>
      <c r="D1256" s="283">
        <v>2014</v>
      </c>
      <c r="E1256" s="282" t="s">
        <v>650</v>
      </c>
      <c r="F1256" s="284">
        <v>428</v>
      </c>
      <c r="G1256" s="285">
        <v>167</v>
      </c>
      <c r="H1256" s="288">
        <v>167</v>
      </c>
      <c r="I1256" s="285">
        <v>0</v>
      </c>
      <c r="J1256" s="285">
        <v>263</v>
      </c>
      <c r="K1256" s="284">
        <v>97</v>
      </c>
      <c r="L1256" s="284">
        <v>97</v>
      </c>
      <c r="M1256" s="284">
        <v>0</v>
      </c>
      <c r="N1256" s="284">
        <v>283</v>
      </c>
      <c r="O1256" s="284">
        <v>17</v>
      </c>
      <c r="P1256" s="284">
        <v>700</v>
      </c>
      <c r="Q1256" s="286">
        <v>301</v>
      </c>
      <c r="R1256" s="274">
        <v>1674</v>
      </c>
      <c r="S1256" s="274">
        <v>582</v>
      </c>
      <c r="T1256" s="287">
        <f t="shared" si="19"/>
        <v>2014</v>
      </c>
      <c r="U1256" s="274">
        <f>VLOOKUP(A1256,'[1]SB35 Determination Data'!$B$4:$F$542,5,FALSE)</f>
        <v>2014</v>
      </c>
    </row>
    <row r="1257" spans="1:21" s="274" customFormat="1" ht="12.75" x14ac:dyDescent="0.2">
      <c r="A1257" s="282" t="s">
        <v>505</v>
      </c>
      <c r="B1257" s="282" t="s">
        <v>262</v>
      </c>
      <c r="C1257" s="282" t="s">
        <v>649</v>
      </c>
      <c r="D1257" s="283">
        <v>2015</v>
      </c>
      <c r="E1257" s="282" t="s">
        <v>650</v>
      </c>
      <c r="F1257" s="284">
        <v>428</v>
      </c>
      <c r="G1257" s="285">
        <v>37</v>
      </c>
      <c r="H1257" s="288">
        <v>37</v>
      </c>
      <c r="I1257" s="285">
        <v>0</v>
      </c>
      <c r="J1257" s="285">
        <v>263</v>
      </c>
      <c r="K1257" s="284">
        <v>0</v>
      </c>
      <c r="L1257" s="284">
        <v>0</v>
      </c>
      <c r="M1257" s="284">
        <v>0</v>
      </c>
      <c r="N1257" s="284">
        <v>283</v>
      </c>
      <c r="O1257" s="284">
        <v>1</v>
      </c>
      <c r="P1257" s="284">
        <v>700</v>
      </c>
      <c r="Q1257" s="286">
        <v>108</v>
      </c>
      <c r="R1257" s="274">
        <v>1674</v>
      </c>
      <c r="S1257" s="274">
        <v>146</v>
      </c>
      <c r="T1257" s="287">
        <f t="shared" si="19"/>
        <v>2015</v>
      </c>
      <c r="U1257" s="274">
        <f>VLOOKUP(A1257,'[1]SB35 Determination Data'!$B$4:$F$542,5,FALSE)</f>
        <v>2014</v>
      </c>
    </row>
    <row r="1258" spans="1:21" s="274" customFormat="1" ht="12.75" x14ac:dyDescent="0.2">
      <c r="A1258" s="282" t="s">
        <v>505</v>
      </c>
      <c r="B1258" s="282" t="s">
        <v>262</v>
      </c>
      <c r="C1258" s="282" t="s">
        <v>649</v>
      </c>
      <c r="D1258" s="283">
        <v>2016</v>
      </c>
      <c r="E1258" s="282" t="s">
        <v>650</v>
      </c>
      <c r="F1258" s="284">
        <v>428</v>
      </c>
      <c r="G1258" s="285">
        <v>6</v>
      </c>
      <c r="H1258" s="288">
        <v>6</v>
      </c>
      <c r="I1258" s="285">
        <v>0</v>
      </c>
      <c r="J1258" s="285">
        <v>263</v>
      </c>
      <c r="K1258" s="284">
        <v>6</v>
      </c>
      <c r="L1258" s="284">
        <v>6</v>
      </c>
      <c r="M1258" s="284">
        <v>0</v>
      </c>
      <c r="N1258" s="284">
        <v>283</v>
      </c>
      <c r="O1258" s="284">
        <v>0</v>
      </c>
      <c r="P1258" s="284">
        <v>700</v>
      </c>
      <c r="Q1258" s="286">
        <v>244</v>
      </c>
      <c r="R1258" s="274">
        <v>1674</v>
      </c>
      <c r="S1258" s="274">
        <v>256</v>
      </c>
      <c r="T1258" s="287">
        <f t="shared" si="19"/>
        <v>2016</v>
      </c>
      <c r="U1258" s="274">
        <f>VLOOKUP(A1258,'[1]SB35 Determination Data'!$B$4:$F$542,5,FALSE)</f>
        <v>2014</v>
      </c>
    </row>
    <row r="1259" spans="1:21" s="274" customFormat="1" ht="12.75" x14ac:dyDescent="0.2">
      <c r="A1259" s="282" t="s">
        <v>505</v>
      </c>
      <c r="B1259" s="282" t="s">
        <v>262</v>
      </c>
      <c r="C1259" s="282" t="s">
        <v>649</v>
      </c>
      <c r="D1259" s="283">
        <v>2017</v>
      </c>
      <c r="E1259" s="282" t="s">
        <v>650</v>
      </c>
      <c r="F1259" s="284">
        <v>428</v>
      </c>
      <c r="G1259" s="285">
        <v>93</v>
      </c>
      <c r="H1259" s="288">
        <v>93</v>
      </c>
      <c r="I1259" s="285">
        <v>0</v>
      </c>
      <c r="J1259" s="285">
        <v>263</v>
      </c>
      <c r="K1259" s="284">
        <v>21</v>
      </c>
      <c r="L1259" s="284">
        <v>21</v>
      </c>
      <c r="M1259" s="284">
        <v>0</v>
      </c>
      <c r="N1259" s="284">
        <v>283</v>
      </c>
      <c r="O1259" s="284">
        <v>8</v>
      </c>
      <c r="P1259" s="284">
        <v>700</v>
      </c>
      <c r="Q1259" s="286">
        <v>569</v>
      </c>
      <c r="R1259" s="274">
        <v>1674</v>
      </c>
      <c r="S1259" s="274">
        <v>691</v>
      </c>
      <c r="T1259" s="287">
        <f t="shared" si="19"/>
        <v>2017</v>
      </c>
      <c r="U1259" s="274">
        <f>VLOOKUP(A1259,'[1]SB35 Determination Data'!$B$4:$F$542,5,FALSE)</f>
        <v>2014</v>
      </c>
    </row>
    <row r="1260" spans="1:21" s="274" customFormat="1" ht="12.75" x14ac:dyDescent="0.2">
      <c r="A1260" s="282" t="s">
        <v>670</v>
      </c>
      <c r="B1260" s="282" t="s">
        <v>743</v>
      </c>
      <c r="C1260" s="282" t="s">
        <v>649</v>
      </c>
      <c r="D1260" s="283">
        <v>2017</v>
      </c>
      <c r="E1260" s="282" t="s">
        <v>650</v>
      </c>
      <c r="F1260" s="284">
        <v>288</v>
      </c>
      <c r="G1260" s="285">
        <v>0</v>
      </c>
      <c r="H1260" s="288">
        <v>0</v>
      </c>
      <c r="I1260" s="285">
        <v>0</v>
      </c>
      <c r="J1260" s="285">
        <v>201</v>
      </c>
      <c r="K1260" s="284">
        <v>10</v>
      </c>
      <c r="L1260" s="284">
        <v>10</v>
      </c>
      <c r="M1260" s="284">
        <v>0</v>
      </c>
      <c r="N1260" s="284">
        <v>241</v>
      </c>
      <c r="O1260" s="284">
        <v>6</v>
      </c>
      <c r="P1260" s="284">
        <v>555</v>
      </c>
      <c r="Q1260" s="286">
        <v>1</v>
      </c>
      <c r="R1260" s="274">
        <v>1285</v>
      </c>
      <c r="S1260" s="274">
        <v>17</v>
      </c>
      <c r="T1260" s="287">
        <f t="shared" si="19"/>
        <v>2017</v>
      </c>
      <c r="U1260" s="274">
        <f>VLOOKUP(A1260,'[1]SB35 Determination Data'!$B$4:$F$542,5,FALSE)</f>
        <v>2014</v>
      </c>
    </row>
    <row r="1261" spans="1:21" s="274" customFormat="1" ht="12.75" x14ac:dyDescent="0.2">
      <c r="A1261" s="282" t="s">
        <v>671</v>
      </c>
      <c r="B1261" s="282" t="s">
        <v>669</v>
      </c>
      <c r="C1261" s="282" t="s">
        <v>654</v>
      </c>
      <c r="D1261" s="283">
        <v>2014</v>
      </c>
      <c r="E1261" s="282" t="s">
        <v>650</v>
      </c>
      <c r="F1261" s="284">
        <v>1041</v>
      </c>
      <c r="G1261" s="285">
        <v>11</v>
      </c>
      <c r="H1261" s="288">
        <v>11</v>
      </c>
      <c r="I1261" s="285">
        <v>0</v>
      </c>
      <c r="J1261" s="285">
        <v>671</v>
      </c>
      <c r="K1261" s="284">
        <v>90</v>
      </c>
      <c r="L1261" s="284">
        <v>90</v>
      </c>
      <c r="M1261" s="284">
        <v>0</v>
      </c>
      <c r="N1261" s="284">
        <v>759</v>
      </c>
      <c r="O1261" s="284">
        <v>10</v>
      </c>
      <c r="P1261" s="284">
        <v>2612</v>
      </c>
      <c r="Q1261" s="286">
        <v>141</v>
      </c>
      <c r="R1261" s="274">
        <v>5083</v>
      </c>
      <c r="S1261" s="274">
        <v>252</v>
      </c>
      <c r="T1261" s="287">
        <f t="shared" si="19"/>
        <v>2015</v>
      </c>
      <c r="U1261" s="274">
        <f>VLOOKUP(A1261,'[1]SB35 Determination Data'!$B$4:$F$542,5,FALSE)</f>
        <v>2015</v>
      </c>
    </row>
    <row r="1262" spans="1:21" s="274" customFormat="1" ht="12.75" x14ac:dyDescent="0.2">
      <c r="A1262" s="282" t="s">
        <v>671</v>
      </c>
      <c r="B1262" s="282" t="s">
        <v>669</v>
      </c>
      <c r="C1262" s="282" t="s">
        <v>654</v>
      </c>
      <c r="D1262" s="283">
        <v>2015</v>
      </c>
      <c r="E1262" s="282" t="s">
        <v>650</v>
      </c>
      <c r="F1262" s="284">
        <v>1041</v>
      </c>
      <c r="G1262" s="285">
        <v>0</v>
      </c>
      <c r="H1262" s="288">
        <v>0</v>
      </c>
      <c r="I1262" s="285">
        <v>0</v>
      </c>
      <c r="J1262" s="285">
        <v>671</v>
      </c>
      <c r="K1262" s="284">
        <v>24</v>
      </c>
      <c r="L1262" s="284">
        <v>24</v>
      </c>
      <c r="M1262" s="284">
        <v>0</v>
      </c>
      <c r="N1262" s="284">
        <v>759</v>
      </c>
      <c r="O1262" s="284">
        <v>8</v>
      </c>
      <c r="P1262" s="284">
        <v>2612</v>
      </c>
      <c r="Q1262" s="286">
        <v>94</v>
      </c>
      <c r="R1262" s="274">
        <v>5083</v>
      </c>
      <c r="S1262" s="274">
        <v>126</v>
      </c>
      <c r="T1262" s="287">
        <f t="shared" si="19"/>
        <v>2015</v>
      </c>
      <c r="U1262" s="274">
        <f>VLOOKUP(A1262,'[1]SB35 Determination Data'!$B$4:$F$542,5,FALSE)</f>
        <v>2015</v>
      </c>
    </row>
    <row r="1263" spans="1:21" s="274" customFormat="1" ht="12.75" x14ac:dyDescent="0.2">
      <c r="A1263" s="282" t="s">
        <v>671</v>
      </c>
      <c r="B1263" s="282" t="s">
        <v>669</v>
      </c>
      <c r="C1263" s="282" t="s">
        <v>654</v>
      </c>
      <c r="D1263" s="283">
        <v>2016</v>
      </c>
      <c r="E1263" s="282" t="s">
        <v>650</v>
      </c>
      <c r="F1263" s="284">
        <v>1041</v>
      </c>
      <c r="G1263" s="285">
        <v>38</v>
      </c>
      <c r="H1263" s="288">
        <v>38</v>
      </c>
      <c r="I1263" s="285">
        <v>0</v>
      </c>
      <c r="J1263" s="285">
        <v>671</v>
      </c>
      <c r="K1263" s="284">
        <v>3</v>
      </c>
      <c r="L1263" s="284">
        <v>3</v>
      </c>
      <c r="M1263" s="284">
        <v>0</v>
      </c>
      <c r="N1263" s="289">
        <v>759</v>
      </c>
      <c r="O1263" s="284">
        <v>16</v>
      </c>
      <c r="P1263" s="284">
        <v>2612</v>
      </c>
      <c r="Q1263" s="286">
        <v>246</v>
      </c>
      <c r="R1263" s="274">
        <v>5083</v>
      </c>
      <c r="S1263" s="274">
        <v>303</v>
      </c>
      <c r="T1263" s="287">
        <f t="shared" si="19"/>
        <v>2016</v>
      </c>
      <c r="U1263" s="274">
        <f>VLOOKUP(A1263,'[1]SB35 Determination Data'!$B$4:$F$542,5,FALSE)</f>
        <v>2015</v>
      </c>
    </row>
    <row r="1264" spans="1:21" s="274" customFormat="1" ht="12.75" x14ac:dyDescent="0.2">
      <c r="A1264" s="282" t="s">
        <v>671</v>
      </c>
      <c r="B1264" s="282" t="s">
        <v>669</v>
      </c>
      <c r="C1264" s="282" t="s">
        <v>654</v>
      </c>
      <c r="D1264" s="283">
        <v>2017</v>
      </c>
      <c r="E1264" s="282" t="s">
        <v>650</v>
      </c>
      <c r="F1264" s="284">
        <v>1041</v>
      </c>
      <c r="G1264" s="285">
        <v>56</v>
      </c>
      <c r="H1264" s="288">
        <v>56</v>
      </c>
      <c r="I1264" s="285">
        <v>0</v>
      </c>
      <c r="J1264" s="285">
        <v>671</v>
      </c>
      <c r="K1264" s="284">
        <v>22</v>
      </c>
      <c r="L1264" s="284">
        <v>22</v>
      </c>
      <c r="M1264" s="284">
        <v>0</v>
      </c>
      <c r="N1264" s="284">
        <v>759</v>
      </c>
      <c r="O1264" s="284">
        <v>16</v>
      </c>
      <c r="P1264" s="284">
        <v>2612</v>
      </c>
      <c r="Q1264" s="286">
        <v>251</v>
      </c>
      <c r="R1264" s="274">
        <v>5083</v>
      </c>
      <c r="S1264" s="274">
        <v>345</v>
      </c>
      <c r="T1264" s="287">
        <f t="shared" si="19"/>
        <v>2017</v>
      </c>
      <c r="U1264" s="274">
        <f>VLOOKUP(A1264,'[1]SB35 Determination Data'!$B$4:$F$542,5,FALSE)</f>
        <v>2015</v>
      </c>
    </row>
    <row r="1265" spans="1:21" s="274" customFormat="1" ht="12.75" x14ac:dyDescent="0.2">
      <c r="A1265" s="282" t="s">
        <v>672</v>
      </c>
      <c r="B1265" s="282" t="s">
        <v>557</v>
      </c>
      <c r="C1265" s="282" t="s">
        <v>758</v>
      </c>
      <c r="D1265" s="283">
        <v>2013</v>
      </c>
      <c r="E1265" s="282" t="s">
        <v>650</v>
      </c>
      <c r="F1265" s="284">
        <v>914</v>
      </c>
      <c r="G1265" s="285">
        <v>10</v>
      </c>
      <c r="H1265" s="288">
        <v>10</v>
      </c>
      <c r="I1265" s="285">
        <v>0</v>
      </c>
      <c r="J1265" s="285">
        <v>694</v>
      </c>
      <c r="K1265" s="284">
        <v>41</v>
      </c>
      <c r="L1265" s="284">
        <v>37</v>
      </c>
      <c r="M1265" s="284">
        <v>4</v>
      </c>
      <c r="N1265" s="289">
        <v>642</v>
      </c>
      <c r="O1265" s="284">
        <v>80</v>
      </c>
      <c r="P1265" s="284">
        <v>1410</v>
      </c>
      <c r="Q1265" s="286">
        <v>368</v>
      </c>
      <c r="R1265" s="274">
        <v>3660</v>
      </c>
      <c r="S1265" s="274">
        <v>499</v>
      </c>
      <c r="T1265" s="287">
        <f t="shared" si="19"/>
        <v>2013</v>
      </c>
      <c r="U1265" s="274">
        <f>VLOOKUP(A1265,'[1]SB35 Determination Data'!$B$4:$F$542,5,FALSE)</f>
        <v>2013</v>
      </c>
    </row>
    <row r="1266" spans="1:21" s="274" customFormat="1" ht="12.75" x14ac:dyDescent="0.2">
      <c r="A1266" s="282" t="s">
        <v>672</v>
      </c>
      <c r="B1266" s="282" t="s">
        <v>557</v>
      </c>
      <c r="C1266" s="282" t="s">
        <v>758</v>
      </c>
      <c r="D1266" s="283">
        <v>2014</v>
      </c>
      <c r="E1266" s="282" t="s">
        <v>650</v>
      </c>
      <c r="F1266" s="284">
        <v>914</v>
      </c>
      <c r="G1266" s="285">
        <v>0</v>
      </c>
      <c r="H1266" s="288">
        <v>0</v>
      </c>
      <c r="I1266" s="285">
        <v>0</v>
      </c>
      <c r="J1266" s="285">
        <v>694</v>
      </c>
      <c r="K1266" s="284">
        <v>0</v>
      </c>
      <c r="L1266" s="284">
        <v>0</v>
      </c>
      <c r="M1266" s="284">
        <v>0</v>
      </c>
      <c r="N1266" s="284">
        <v>642</v>
      </c>
      <c r="O1266" s="284">
        <v>0</v>
      </c>
      <c r="P1266" s="284">
        <v>1410</v>
      </c>
      <c r="Q1266" s="286">
        <v>175</v>
      </c>
      <c r="R1266" s="274">
        <v>3660</v>
      </c>
      <c r="S1266" s="274">
        <v>175</v>
      </c>
      <c r="T1266" s="287">
        <f t="shared" si="19"/>
        <v>2014</v>
      </c>
      <c r="U1266" s="274">
        <f>VLOOKUP(A1266,'[1]SB35 Determination Data'!$B$4:$F$542,5,FALSE)</f>
        <v>2013</v>
      </c>
    </row>
    <row r="1267" spans="1:21" s="274" customFormat="1" ht="12.75" x14ac:dyDescent="0.2">
      <c r="A1267" s="282" t="s">
        <v>672</v>
      </c>
      <c r="B1267" s="282" t="s">
        <v>557</v>
      </c>
      <c r="C1267" s="282" t="s">
        <v>758</v>
      </c>
      <c r="D1267" s="283">
        <v>2015</v>
      </c>
      <c r="E1267" s="282" t="s">
        <v>650</v>
      </c>
      <c r="F1267" s="284">
        <v>914</v>
      </c>
      <c r="G1267" s="285">
        <v>0</v>
      </c>
      <c r="H1267" s="288">
        <v>0</v>
      </c>
      <c r="I1267" s="285">
        <v>0</v>
      </c>
      <c r="J1267" s="285">
        <v>694</v>
      </c>
      <c r="K1267" s="284">
        <v>0</v>
      </c>
      <c r="L1267" s="284">
        <v>0</v>
      </c>
      <c r="M1267" s="284">
        <v>0</v>
      </c>
      <c r="N1267" s="284">
        <v>642</v>
      </c>
      <c r="O1267" s="284">
        <v>0</v>
      </c>
      <c r="P1267" s="284">
        <v>1410</v>
      </c>
      <c r="Q1267" s="286">
        <v>5</v>
      </c>
      <c r="R1267" s="274">
        <v>3660</v>
      </c>
      <c r="S1267" s="274">
        <v>5</v>
      </c>
      <c r="T1267" s="287">
        <f t="shared" si="19"/>
        <v>2015</v>
      </c>
      <c r="U1267" s="274">
        <f>VLOOKUP(A1267,'[1]SB35 Determination Data'!$B$4:$F$542,5,FALSE)</f>
        <v>2013</v>
      </c>
    </row>
    <row r="1268" spans="1:21" s="274" customFormat="1" ht="12.75" x14ac:dyDescent="0.2">
      <c r="A1268" s="282" t="s">
        <v>672</v>
      </c>
      <c r="B1268" s="282" t="s">
        <v>557</v>
      </c>
      <c r="C1268" s="282" t="s">
        <v>758</v>
      </c>
      <c r="D1268" s="283">
        <v>2016</v>
      </c>
      <c r="E1268" s="282" t="s">
        <v>650</v>
      </c>
      <c r="F1268" s="284">
        <v>914</v>
      </c>
      <c r="G1268" s="285">
        <v>0</v>
      </c>
      <c r="H1268" s="288">
        <v>0</v>
      </c>
      <c r="I1268" s="285">
        <v>0</v>
      </c>
      <c r="J1268" s="285">
        <v>694</v>
      </c>
      <c r="K1268" s="284">
        <v>2</v>
      </c>
      <c r="L1268" s="284">
        <v>0</v>
      </c>
      <c r="M1268" s="284">
        <v>2</v>
      </c>
      <c r="N1268" s="284">
        <v>642</v>
      </c>
      <c r="O1268" s="284">
        <v>0</v>
      </c>
      <c r="P1268" s="284">
        <v>1410</v>
      </c>
      <c r="Q1268" s="286">
        <v>50</v>
      </c>
      <c r="R1268" s="274">
        <v>3660</v>
      </c>
      <c r="S1268" s="274">
        <v>52</v>
      </c>
      <c r="T1268" s="287">
        <f t="shared" si="19"/>
        <v>2016</v>
      </c>
      <c r="U1268" s="274">
        <f>VLOOKUP(A1268,'[1]SB35 Determination Data'!$B$4:$F$542,5,FALSE)</f>
        <v>2013</v>
      </c>
    </row>
    <row r="1269" spans="1:21" s="274" customFormat="1" ht="12.75" x14ac:dyDescent="0.2">
      <c r="A1269" s="282" t="s">
        <v>672</v>
      </c>
      <c r="B1269" s="282" t="s">
        <v>557</v>
      </c>
      <c r="C1269" s="282" t="s">
        <v>758</v>
      </c>
      <c r="D1269" s="283">
        <v>2017</v>
      </c>
      <c r="E1269" s="282" t="s">
        <v>650</v>
      </c>
      <c r="F1269" s="284">
        <v>914</v>
      </c>
      <c r="G1269" s="285">
        <v>0</v>
      </c>
      <c r="H1269" s="288">
        <v>0</v>
      </c>
      <c r="I1269" s="285">
        <v>0</v>
      </c>
      <c r="J1269" s="285">
        <v>694</v>
      </c>
      <c r="K1269" s="284">
        <v>0</v>
      </c>
      <c r="L1269" s="284">
        <v>0</v>
      </c>
      <c r="M1269" s="284">
        <v>0</v>
      </c>
      <c r="N1269" s="284">
        <v>642</v>
      </c>
      <c r="O1269" s="284">
        <v>16</v>
      </c>
      <c r="P1269" s="284">
        <v>1410</v>
      </c>
      <c r="Q1269" s="286">
        <v>128</v>
      </c>
      <c r="R1269" s="274">
        <v>3660</v>
      </c>
      <c r="S1269" s="274">
        <v>144</v>
      </c>
      <c r="T1269" s="287">
        <f t="shared" si="19"/>
        <v>2017</v>
      </c>
      <c r="U1269" s="274">
        <f>VLOOKUP(A1269,'[1]SB35 Determination Data'!$B$4:$F$542,5,FALSE)</f>
        <v>2013</v>
      </c>
    </row>
    <row r="1270" spans="1:21" s="274" customFormat="1" ht="12.75" x14ac:dyDescent="0.2">
      <c r="A1270" s="282" t="s">
        <v>673</v>
      </c>
      <c r="B1270" s="282" t="s">
        <v>614</v>
      </c>
      <c r="C1270" s="282" t="s">
        <v>654</v>
      </c>
      <c r="D1270" s="283">
        <v>2015</v>
      </c>
      <c r="E1270" s="282" t="s">
        <v>650</v>
      </c>
      <c r="F1270" s="284">
        <v>147</v>
      </c>
      <c r="G1270" s="285">
        <v>0</v>
      </c>
      <c r="H1270" s="288">
        <v>0</v>
      </c>
      <c r="I1270" s="285">
        <v>0</v>
      </c>
      <c r="J1270" s="285">
        <v>95</v>
      </c>
      <c r="K1270" s="284">
        <v>7</v>
      </c>
      <c r="L1270" s="284">
        <v>7</v>
      </c>
      <c r="M1270" s="284">
        <v>0</v>
      </c>
      <c r="N1270" s="289">
        <v>104</v>
      </c>
      <c r="O1270" s="284">
        <v>1</v>
      </c>
      <c r="P1270" s="284">
        <v>93</v>
      </c>
      <c r="Q1270" s="286">
        <v>6</v>
      </c>
      <c r="R1270" s="274">
        <v>439</v>
      </c>
      <c r="S1270" s="274">
        <v>14</v>
      </c>
      <c r="T1270" s="287">
        <f t="shared" si="19"/>
        <v>2015</v>
      </c>
      <c r="U1270" s="274">
        <f>VLOOKUP(A1270,'[1]SB35 Determination Data'!$B$4:$F$542,5,FALSE)</f>
        <v>2015</v>
      </c>
    </row>
    <row r="1271" spans="1:21" s="274" customFormat="1" ht="12.75" x14ac:dyDescent="0.2">
      <c r="A1271" s="282" t="s">
        <v>673</v>
      </c>
      <c r="B1271" s="282" t="s">
        <v>614</v>
      </c>
      <c r="C1271" s="282" t="s">
        <v>654</v>
      </c>
      <c r="D1271" s="283">
        <v>2016</v>
      </c>
      <c r="E1271" s="282" t="s">
        <v>650</v>
      </c>
      <c r="F1271" s="284">
        <v>147</v>
      </c>
      <c r="G1271" s="285">
        <v>0</v>
      </c>
      <c r="H1271" s="288">
        <v>0</v>
      </c>
      <c r="I1271" s="285">
        <v>0</v>
      </c>
      <c r="J1271" s="285">
        <v>95</v>
      </c>
      <c r="K1271" s="284">
        <v>11</v>
      </c>
      <c r="L1271" s="284">
        <v>11</v>
      </c>
      <c r="M1271" s="284">
        <v>0</v>
      </c>
      <c r="N1271" s="284">
        <v>104</v>
      </c>
      <c r="O1271" s="284">
        <v>1</v>
      </c>
      <c r="P1271" s="284">
        <v>93</v>
      </c>
      <c r="Q1271" s="286">
        <v>6</v>
      </c>
      <c r="R1271" s="274">
        <v>439</v>
      </c>
      <c r="S1271" s="274">
        <v>18</v>
      </c>
      <c r="T1271" s="287">
        <f t="shared" si="19"/>
        <v>2016</v>
      </c>
      <c r="U1271" s="274">
        <f>VLOOKUP(A1271,'[1]SB35 Determination Data'!$B$4:$F$542,5,FALSE)</f>
        <v>2015</v>
      </c>
    </row>
    <row r="1272" spans="1:21" s="274" customFormat="1" ht="12.75" x14ac:dyDescent="0.2">
      <c r="A1272" s="282" t="s">
        <v>673</v>
      </c>
      <c r="B1272" s="282" t="s">
        <v>614</v>
      </c>
      <c r="C1272" s="282" t="s">
        <v>654</v>
      </c>
      <c r="D1272" s="283">
        <v>2017</v>
      </c>
      <c r="E1272" s="282" t="s">
        <v>650</v>
      </c>
      <c r="F1272" s="284">
        <v>147</v>
      </c>
      <c r="G1272" s="285">
        <v>0</v>
      </c>
      <c r="H1272" s="288">
        <v>0</v>
      </c>
      <c r="I1272" s="285">
        <v>0</v>
      </c>
      <c r="J1272" s="285">
        <v>95</v>
      </c>
      <c r="K1272" s="284">
        <v>14</v>
      </c>
      <c r="L1272" s="284">
        <v>14</v>
      </c>
      <c r="M1272" s="284">
        <v>0</v>
      </c>
      <c r="N1272" s="284">
        <v>104</v>
      </c>
      <c r="O1272" s="284">
        <v>4</v>
      </c>
      <c r="P1272" s="284">
        <v>93</v>
      </c>
      <c r="Q1272" s="286">
        <v>7</v>
      </c>
      <c r="R1272" s="274">
        <v>439</v>
      </c>
      <c r="S1272" s="274">
        <v>25</v>
      </c>
      <c r="T1272" s="287">
        <f t="shared" si="19"/>
        <v>2017</v>
      </c>
      <c r="U1272" s="274">
        <f>VLOOKUP(A1272,'[1]SB35 Determination Data'!$B$4:$F$542,5,FALSE)</f>
        <v>2015</v>
      </c>
    </row>
    <row r="1273" spans="1:21" s="274" customFormat="1" ht="12.75" x14ac:dyDescent="0.2">
      <c r="A1273" s="282" t="s">
        <v>674</v>
      </c>
      <c r="B1273" s="282" t="s">
        <v>301</v>
      </c>
      <c r="C1273" s="282" t="s">
        <v>654</v>
      </c>
      <c r="D1273" s="283">
        <v>2014</v>
      </c>
      <c r="E1273" s="282" t="s">
        <v>650</v>
      </c>
      <c r="F1273" s="284">
        <v>26</v>
      </c>
      <c r="G1273" s="285">
        <v>6</v>
      </c>
      <c r="H1273" s="288">
        <v>0</v>
      </c>
      <c r="I1273" s="285">
        <v>6</v>
      </c>
      <c r="J1273" s="285">
        <v>14</v>
      </c>
      <c r="K1273" s="284">
        <v>11</v>
      </c>
      <c r="L1273" s="284">
        <v>0</v>
      </c>
      <c r="M1273" s="284">
        <v>11</v>
      </c>
      <c r="N1273" s="284">
        <v>16</v>
      </c>
      <c r="O1273" s="284">
        <v>3</v>
      </c>
      <c r="P1273" s="284">
        <v>23</v>
      </c>
      <c r="Q1273" s="286">
        <v>1</v>
      </c>
      <c r="R1273" s="274">
        <v>79</v>
      </c>
      <c r="S1273" s="274">
        <v>21</v>
      </c>
      <c r="T1273" s="287">
        <f t="shared" si="19"/>
        <v>2015</v>
      </c>
      <c r="U1273" s="274">
        <f>VLOOKUP(A1273,'[1]SB35 Determination Data'!$B$4:$F$542,5,FALSE)</f>
        <v>2015</v>
      </c>
    </row>
    <row r="1274" spans="1:21" s="274" customFormat="1" ht="12.75" x14ac:dyDescent="0.2">
      <c r="A1274" s="282" t="s">
        <v>674</v>
      </c>
      <c r="B1274" s="282" t="s">
        <v>301</v>
      </c>
      <c r="C1274" s="282" t="s">
        <v>654</v>
      </c>
      <c r="D1274" s="283">
        <v>2015</v>
      </c>
      <c r="E1274" s="282" t="s">
        <v>650</v>
      </c>
      <c r="F1274" s="284">
        <v>26</v>
      </c>
      <c r="G1274" s="285">
        <v>2</v>
      </c>
      <c r="H1274" s="288">
        <v>0</v>
      </c>
      <c r="I1274" s="285">
        <v>2</v>
      </c>
      <c r="J1274" s="285">
        <v>14</v>
      </c>
      <c r="K1274" s="284">
        <v>3</v>
      </c>
      <c r="L1274" s="284">
        <v>0</v>
      </c>
      <c r="M1274" s="284">
        <v>3</v>
      </c>
      <c r="N1274" s="284">
        <v>16</v>
      </c>
      <c r="O1274" s="284">
        <v>0</v>
      </c>
      <c r="P1274" s="284">
        <v>23</v>
      </c>
      <c r="Q1274" s="286">
        <v>0</v>
      </c>
      <c r="R1274" s="274">
        <v>79</v>
      </c>
      <c r="S1274" s="274">
        <v>5</v>
      </c>
      <c r="T1274" s="287">
        <f t="shared" si="19"/>
        <v>2015</v>
      </c>
      <c r="U1274" s="274">
        <f>VLOOKUP(A1274,'[1]SB35 Determination Data'!$B$4:$F$542,5,FALSE)</f>
        <v>2015</v>
      </c>
    </row>
    <row r="1275" spans="1:21" s="274" customFormat="1" ht="12.75" x14ac:dyDescent="0.2">
      <c r="A1275" s="282" t="s">
        <v>674</v>
      </c>
      <c r="B1275" s="282" t="s">
        <v>301</v>
      </c>
      <c r="C1275" s="282" t="s">
        <v>654</v>
      </c>
      <c r="D1275" s="283">
        <v>2016</v>
      </c>
      <c r="E1275" s="282" t="s">
        <v>650</v>
      </c>
      <c r="F1275" s="284">
        <v>26</v>
      </c>
      <c r="G1275" s="285">
        <v>1</v>
      </c>
      <c r="H1275" s="288">
        <v>1</v>
      </c>
      <c r="I1275" s="285">
        <v>0</v>
      </c>
      <c r="J1275" s="285">
        <v>14</v>
      </c>
      <c r="K1275" s="284">
        <v>1</v>
      </c>
      <c r="L1275" s="284">
        <v>1</v>
      </c>
      <c r="M1275" s="284">
        <v>0</v>
      </c>
      <c r="N1275" s="289">
        <v>16</v>
      </c>
      <c r="O1275" s="284">
        <v>0</v>
      </c>
      <c r="P1275" s="284">
        <v>23</v>
      </c>
      <c r="Q1275" s="286">
        <v>3</v>
      </c>
      <c r="R1275" s="274">
        <v>79</v>
      </c>
      <c r="S1275" s="274">
        <v>5</v>
      </c>
      <c r="T1275" s="287">
        <f t="shared" si="19"/>
        <v>2016</v>
      </c>
      <c r="U1275" s="274">
        <f>VLOOKUP(A1275,'[1]SB35 Determination Data'!$B$4:$F$542,5,FALSE)</f>
        <v>2015</v>
      </c>
    </row>
    <row r="1276" spans="1:21" s="274" customFormat="1" ht="12.75" x14ac:dyDescent="0.2">
      <c r="A1276" s="282" t="s">
        <v>674</v>
      </c>
      <c r="B1276" s="282" t="s">
        <v>301</v>
      </c>
      <c r="C1276" s="282" t="s">
        <v>654</v>
      </c>
      <c r="D1276" s="283">
        <v>2017</v>
      </c>
      <c r="E1276" s="282" t="s">
        <v>650</v>
      </c>
      <c r="F1276" s="284">
        <v>26</v>
      </c>
      <c r="G1276" s="285">
        <v>1</v>
      </c>
      <c r="H1276" s="288">
        <v>1</v>
      </c>
      <c r="I1276" s="285">
        <v>0</v>
      </c>
      <c r="J1276" s="285">
        <v>14</v>
      </c>
      <c r="K1276" s="284">
        <v>2</v>
      </c>
      <c r="L1276" s="284">
        <v>0</v>
      </c>
      <c r="M1276" s="284">
        <v>2</v>
      </c>
      <c r="N1276" s="284">
        <v>16</v>
      </c>
      <c r="O1276" s="284">
        <v>1</v>
      </c>
      <c r="P1276" s="284">
        <v>23</v>
      </c>
      <c r="Q1276" s="286">
        <v>1</v>
      </c>
      <c r="R1276" s="274">
        <v>79</v>
      </c>
      <c r="S1276" s="274">
        <v>5</v>
      </c>
      <c r="T1276" s="287">
        <f t="shared" si="19"/>
        <v>2017</v>
      </c>
      <c r="U1276" s="274">
        <f>VLOOKUP(A1276,'[1]SB35 Determination Data'!$B$4:$F$542,5,FALSE)</f>
        <v>2015</v>
      </c>
    </row>
    <row r="1277" spans="1:21" s="274" customFormat="1" ht="12.75" x14ac:dyDescent="0.2">
      <c r="A1277" s="282" t="s">
        <v>675</v>
      </c>
      <c r="B1277" s="282" t="s">
        <v>621</v>
      </c>
      <c r="C1277" s="282" t="s">
        <v>531</v>
      </c>
      <c r="D1277" s="283">
        <v>2015</v>
      </c>
      <c r="E1277" s="282" t="s">
        <v>650</v>
      </c>
      <c r="F1277" s="284">
        <v>34</v>
      </c>
      <c r="G1277" s="285">
        <v>0</v>
      </c>
      <c r="H1277" s="288">
        <v>0</v>
      </c>
      <c r="I1277" s="285">
        <v>0</v>
      </c>
      <c r="J1277" s="285">
        <v>22</v>
      </c>
      <c r="K1277" s="284">
        <v>0</v>
      </c>
      <c r="L1277" s="284">
        <v>0</v>
      </c>
      <c r="M1277" s="284">
        <v>0</v>
      </c>
      <c r="N1277" s="284">
        <v>26</v>
      </c>
      <c r="O1277" s="284">
        <v>0</v>
      </c>
      <c r="P1277" s="284">
        <v>58</v>
      </c>
      <c r="Q1277" s="286">
        <v>5</v>
      </c>
      <c r="R1277" s="274">
        <v>140</v>
      </c>
      <c r="S1277" s="274">
        <v>5</v>
      </c>
      <c r="T1277" s="287">
        <f t="shared" si="19"/>
        <v>2016</v>
      </c>
      <c r="U1277" s="274">
        <f>VLOOKUP(A1277,'[1]SB35 Determination Data'!$B$4:$F$542,5,FALSE)</f>
        <v>2016</v>
      </c>
    </row>
    <row r="1278" spans="1:21" s="274" customFormat="1" ht="12.75" x14ac:dyDescent="0.2">
      <c r="A1278" s="282" t="s">
        <v>675</v>
      </c>
      <c r="B1278" s="282" t="s">
        <v>621</v>
      </c>
      <c r="C1278" s="282" t="s">
        <v>531</v>
      </c>
      <c r="D1278" s="283">
        <v>2016</v>
      </c>
      <c r="E1278" s="282" t="s">
        <v>650</v>
      </c>
      <c r="F1278" s="284">
        <v>34</v>
      </c>
      <c r="G1278" s="285">
        <v>0</v>
      </c>
      <c r="H1278" s="288">
        <v>0</v>
      </c>
      <c r="I1278" s="285">
        <v>0</v>
      </c>
      <c r="J1278" s="285">
        <v>22</v>
      </c>
      <c r="K1278" s="284">
        <v>0</v>
      </c>
      <c r="L1278" s="284">
        <v>0</v>
      </c>
      <c r="M1278" s="284">
        <v>0</v>
      </c>
      <c r="N1278" s="284">
        <v>26</v>
      </c>
      <c r="O1278" s="284">
        <v>0</v>
      </c>
      <c r="P1278" s="284">
        <v>58</v>
      </c>
      <c r="Q1278" s="286">
        <v>9</v>
      </c>
      <c r="R1278" s="274">
        <v>140</v>
      </c>
      <c r="S1278" s="274">
        <v>9</v>
      </c>
      <c r="T1278" s="287">
        <f t="shared" si="19"/>
        <v>2016</v>
      </c>
      <c r="U1278" s="274">
        <f>VLOOKUP(A1278,'[1]SB35 Determination Data'!$B$4:$F$542,5,FALSE)</f>
        <v>2016</v>
      </c>
    </row>
    <row r="1279" spans="1:21" s="274" customFormat="1" ht="12.75" x14ac:dyDescent="0.2">
      <c r="A1279" s="282" t="s">
        <v>675</v>
      </c>
      <c r="B1279" s="282" t="s">
        <v>621</v>
      </c>
      <c r="C1279" s="282" t="s">
        <v>531</v>
      </c>
      <c r="D1279" s="283">
        <v>2017</v>
      </c>
      <c r="E1279" s="282" t="s">
        <v>650</v>
      </c>
      <c r="F1279" s="284">
        <v>34</v>
      </c>
      <c r="G1279" s="285">
        <v>0</v>
      </c>
      <c r="H1279" s="288">
        <v>0</v>
      </c>
      <c r="I1279" s="285">
        <v>0</v>
      </c>
      <c r="J1279" s="285">
        <v>22</v>
      </c>
      <c r="K1279" s="284">
        <v>3</v>
      </c>
      <c r="L1279" s="284">
        <v>3</v>
      </c>
      <c r="M1279" s="284">
        <v>0</v>
      </c>
      <c r="N1279" s="284">
        <v>26</v>
      </c>
      <c r="O1279" s="284">
        <v>4</v>
      </c>
      <c r="P1279" s="284">
        <v>58</v>
      </c>
      <c r="Q1279" s="286">
        <v>38</v>
      </c>
      <c r="R1279" s="274">
        <v>140</v>
      </c>
      <c r="S1279" s="274">
        <v>45</v>
      </c>
      <c r="T1279" s="287">
        <f t="shared" si="19"/>
        <v>2017</v>
      </c>
      <c r="U1279" s="274">
        <f>VLOOKUP(A1279,'[1]SB35 Determination Data'!$B$4:$F$542,5,FALSE)</f>
        <v>2016</v>
      </c>
    </row>
    <row r="1280" spans="1:21" s="274" customFormat="1" ht="12.75" x14ac:dyDescent="0.2">
      <c r="A1280" s="282" t="s">
        <v>677</v>
      </c>
      <c r="B1280" s="282" t="s">
        <v>403</v>
      </c>
      <c r="C1280" s="282" t="s">
        <v>531</v>
      </c>
      <c r="D1280" s="283">
        <v>2015</v>
      </c>
      <c r="E1280" s="282" t="s">
        <v>650</v>
      </c>
      <c r="F1280" s="284">
        <v>95</v>
      </c>
      <c r="G1280" s="285">
        <v>0</v>
      </c>
      <c r="H1280" s="288">
        <v>0</v>
      </c>
      <c r="I1280" s="285">
        <v>0</v>
      </c>
      <c r="J1280" s="285">
        <v>62</v>
      </c>
      <c r="K1280" s="284">
        <v>0</v>
      </c>
      <c r="L1280" s="284">
        <v>0</v>
      </c>
      <c r="M1280" s="284">
        <v>0</v>
      </c>
      <c r="N1280" s="289">
        <v>72</v>
      </c>
      <c r="O1280" s="284">
        <v>1</v>
      </c>
      <c r="P1280" s="284">
        <v>164</v>
      </c>
      <c r="Q1280" s="286">
        <v>0</v>
      </c>
      <c r="R1280" s="274">
        <v>393</v>
      </c>
      <c r="S1280" s="274">
        <v>1</v>
      </c>
      <c r="T1280" s="287">
        <f t="shared" si="19"/>
        <v>2016</v>
      </c>
      <c r="U1280" s="274">
        <f>VLOOKUP(A1280,'[1]SB35 Determination Data'!$B$4:$F$542,5,FALSE)</f>
        <v>2016</v>
      </c>
    </row>
    <row r="1281" spans="1:21" s="274" customFormat="1" ht="12.75" x14ac:dyDescent="0.2">
      <c r="A1281" s="282" t="s">
        <v>677</v>
      </c>
      <c r="B1281" s="282" t="s">
        <v>403</v>
      </c>
      <c r="C1281" s="282" t="s">
        <v>531</v>
      </c>
      <c r="D1281" s="283">
        <v>2016</v>
      </c>
      <c r="E1281" s="282" t="s">
        <v>650</v>
      </c>
      <c r="F1281" s="284">
        <v>95</v>
      </c>
      <c r="G1281" s="285">
        <v>0</v>
      </c>
      <c r="H1281" s="288">
        <v>0</v>
      </c>
      <c r="I1281" s="285">
        <v>0</v>
      </c>
      <c r="J1281" s="285">
        <v>62</v>
      </c>
      <c r="K1281" s="284">
        <v>0</v>
      </c>
      <c r="L1281" s="284">
        <v>0</v>
      </c>
      <c r="M1281" s="284">
        <v>0</v>
      </c>
      <c r="N1281" s="284">
        <v>72</v>
      </c>
      <c r="O1281" s="284">
        <v>1</v>
      </c>
      <c r="P1281" s="284">
        <v>164</v>
      </c>
      <c r="Q1281" s="286">
        <v>0</v>
      </c>
      <c r="R1281" s="274">
        <v>393</v>
      </c>
      <c r="S1281" s="274">
        <v>1</v>
      </c>
      <c r="T1281" s="287">
        <f t="shared" si="19"/>
        <v>2016</v>
      </c>
      <c r="U1281" s="274">
        <f>VLOOKUP(A1281,'[1]SB35 Determination Data'!$B$4:$F$542,5,FALSE)</f>
        <v>2016</v>
      </c>
    </row>
    <row r="1282" spans="1:21" s="274" customFormat="1" ht="12.75" x14ac:dyDescent="0.2">
      <c r="A1282" s="282" t="s">
        <v>677</v>
      </c>
      <c r="B1282" s="282" t="s">
        <v>403</v>
      </c>
      <c r="C1282" s="282" t="s">
        <v>531</v>
      </c>
      <c r="D1282" s="283">
        <v>2017</v>
      </c>
      <c r="E1282" s="282" t="s">
        <v>650</v>
      </c>
      <c r="F1282" s="284">
        <v>95</v>
      </c>
      <c r="G1282" s="285">
        <v>0</v>
      </c>
      <c r="H1282" s="288">
        <v>0</v>
      </c>
      <c r="I1282" s="285">
        <v>0</v>
      </c>
      <c r="J1282" s="285">
        <v>62</v>
      </c>
      <c r="K1282" s="284">
        <v>0</v>
      </c>
      <c r="L1282" s="284">
        <v>0</v>
      </c>
      <c r="M1282" s="284">
        <v>0</v>
      </c>
      <c r="N1282" s="284">
        <v>72</v>
      </c>
      <c r="O1282" s="284">
        <v>1</v>
      </c>
      <c r="P1282" s="284">
        <v>164</v>
      </c>
      <c r="Q1282" s="286">
        <v>0</v>
      </c>
      <c r="R1282" s="274">
        <v>393</v>
      </c>
      <c r="S1282" s="274">
        <v>1</v>
      </c>
      <c r="T1282" s="287">
        <f t="shared" si="19"/>
        <v>2017</v>
      </c>
      <c r="U1282" s="274">
        <f>VLOOKUP(A1282,'[1]SB35 Determination Data'!$B$4:$F$542,5,FALSE)</f>
        <v>2016</v>
      </c>
    </row>
    <row r="1283" spans="1:21" s="274" customFormat="1" ht="12.75" x14ac:dyDescent="0.2">
      <c r="A1283" s="282" t="s">
        <v>678</v>
      </c>
      <c r="B1283" s="282" t="s">
        <v>669</v>
      </c>
      <c r="C1283" s="282" t="s">
        <v>654</v>
      </c>
      <c r="D1283" s="283">
        <v>2014</v>
      </c>
      <c r="E1283" s="282" t="s">
        <v>650</v>
      </c>
      <c r="F1283" s="284">
        <v>22</v>
      </c>
      <c r="G1283" s="285">
        <v>0</v>
      </c>
      <c r="H1283" s="288">
        <v>0</v>
      </c>
      <c r="I1283" s="285">
        <v>0</v>
      </c>
      <c r="J1283" s="285">
        <v>17</v>
      </c>
      <c r="K1283" s="284">
        <v>0</v>
      </c>
      <c r="L1283" s="284">
        <v>0</v>
      </c>
      <c r="M1283" s="284">
        <v>0</v>
      </c>
      <c r="N1283" s="284">
        <v>19</v>
      </c>
      <c r="O1283" s="284">
        <v>3</v>
      </c>
      <c r="P1283" s="284">
        <v>62</v>
      </c>
      <c r="Q1283" s="286">
        <v>1</v>
      </c>
      <c r="R1283" s="274">
        <v>120</v>
      </c>
      <c r="S1283" s="274">
        <v>4</v>
      </c>
      <c r="T1283" s="287">
        <f t="shared" si="19"/>
        <v>2015</v>
      </c>
      <c r="U1283" s="274">
        <f>VLOOKUP(A1283,'[1]SB35 Determination Data'!$B$4:$F$542,5,FALSE)</f>
        <v>2015</v>
      </c>
    </row>
    <row r="1284" spans="1:21" s="274" customFormat="1" ht="12.75" x14ac:dyDescent="0.2">
      <c r="A1284" s="282" t="s">
        <v>678</v>
      </c>
      <c r="B1284" s="282" t="s">
        <v>669</v>
      </c>
      <c r="C1284" s="282" t="s">
        <v>654</v>
      </c>
      <c r="D1284" s="283">
        <v>2015</v>
      </c>
      <c r="E1284" s="282" t="s">
        <v>650</v>
      </c>
      <c r="F1284" s="284">
        <v>22</v>
      </c>
      <c r="G1284" s="285">
        <v>0</v>
      </c>
      <c r="H1284" s="288">
        <v>0</v>
      </c>
      <c r="I1284" s="285">
        <v>0</v>
      </c>
      <c r="J1284" s="285">
        <v>17</v>
      </c>
      <c r="K1284" s="284">
        <v>1</v>
      </c>
      <c r="L1284" s="284">
        <v>1</v>
      </c>
      <c r="M1284" s="284">
        <v>0</v>
      </c>
      <c r="N1284" s="284">
        <v>19</v>
      </c>
      <c r="O1284" s="284">
        <v>2</v>
      </c>
      <c r="P1284" s="284">
        <v>62</v>
      </c>
      <c r="Q1284" s="286">
        <v>9</v>
      </c>
      <c r="R1284" s="274">
        <v>120</v>
      </c>
      <c r="S1284" s="274">
        <v>12</v>
      </c>
      <c r="T1284" s="287">
        <f t="shared" ref="T1284:T1347" si="20">IF(D1284&gt;U1284,D1284,U1284)</f>
        <v>2015</v>
      </c>
      <c r="U1284" s="274">
        <f>VLOOKUP(A1284,'[1]SB35 Determination Data'!$B$4:$F$542,5,FALSE)</f>
        <v>2015</v>
      </c>
    </row>
    <row r="1285" spans="1:21" s="274" customFormat="1" ht="12.75" x14ac:dyDescent="0.2">
      <c r="A1285" s="282" t="s">
        <v>678</v>
      </c>
      <c r="B1285" s="282" t="s">
        <v>669</v>
      </c>
      <c r="C1285" s="282" t="s">
        <v>654</v>
      </c>
      <c r="D1285" s="283">
        <v>2016</v>
      </c>
      <c r="E1285" s="282" t="s">
        <v>650</v>
      </c>
      <c r="F1285" s="284">
        <v>22</v>
      </c>
      <c r="G1285" s="285">
        <v>0</v>
      </c>
      <c r="H1285" s="288">
        <v>0</v>
      </c>
      <c r="I1285" s="285">
        <v>0</v>
      </c>
      <c r="J1285" s="285">
        <v>17</v>
      </c>
      <c r="K1285" s="284">
        <v>0</v>
      </c>
      <c r="L1285" s="284">
        <v>0</v>
      </c>
      <c r="M1285" s="284">
        <v>0</v>
      </c>
      <c r="N1285" s="284">
        <v>19</v>
      </c>
      <c r="O1285" s="284">
        <v>6</v>
      </c>
      <c r="P1285" s="284">
        <v>62</v>
      </c>
      <c r="Q1285" s="286">
        <v>2</v>
      </c>
      <c r="R1285" s="274">
        <v>120</v>
      </c>
      <c r="S1285" s="274">
        <v>8</v>
      </c>
      <c r="T1285" s="287">
        <f t="shared" si="20"/>
        <v>2016</v>
      </c>
      <c r="U1285" s="274">
        <f>VLOOKUP(A1285,'[1]SB35 Determination Data'!$B$4:$F$542,5,FALSE)</f>
        <v>2015</v>
      </c>
    </row>
    <row r="1286" spans="1:21" s="274" customFormat="1" ht="12.75" x14ac:dyDescent="0.2">
      <c r="A1286" s="282" t="s">
        <v>678</v>
      </c>
      <c r="B1286" s="282" t="s">
        <v>669</v>
      </c>
      <c r="C1286" s="282" t="s">
        <v>654</v>
      </c>
      <c r="D1286" s="283">
        <v>2017</v>
      </c>
      <c r="E1286" s="282" t="s">
        <v>650</v>
      </c>
      <c r="F1286" s="284">
        <v>22</v>
      </c>
      <c r="G1286" s="285">
        <v>0</v>
      </c>
      <c r="H1286" s="288">
        <v>0</v>
      </c>
      <c r="I1286" s="285">
        <v>0</v>
      </c>
      <c r="J1286" s="285">
        <v>17</v>
      </c>
      <c r="K1286" s="284">
        <v>2</v>
      </c>
      <c r="L1286" s="284">
        <v>2</v>
      </c>
      <c r="M1286" s="284">
        <v>0</v>
      </c>
      <c r="N1286" s="284">
        <v>19</v>
      </c>
      <c r="O1286" s="284">
        <v>5</v>
      </c>
      <c r="P1286" s="284">
        <v>62</v>
      </c>
      <c r="Q1286" s="286">
        <v>11</v>
      </c>
      <c r="R1286" s="274">
        <v>120</v>
      </c>
      <c r="S1286" s="274">
        <v>18</v>
      </c>
      <c r="T1286" s="287">
        <f t="shared" si="20"/>
        <v>2017</v>
      </c>
      <c r="U1286" s="274">
        <f>VLOOKUP(A1286,'[1]SB35 Determination Data'!$B$4:$F$542,5,FALSE)</f>
        <v>2015</v>
      </c>
    </row>
    <row r="1287" spans="1:21" s="274" customFormat="1" ht="12.75" x14ac:dyDescent="0.2">
      <c r="A1287" s="282" t="s">
        <v>375</v>
      </c>
      <c r="B1287" s="282" t="s">
        <v>125</v>
      </c>
      <c r="C1287" s="282" t="s">
        <v>531</v>
      </c>
      <c r="D1287" s="283">
        <v>2015</v>
      </c>
      <c r="E1287" s="282" t="s">
        <v>650</v>
      </c>
      <c r="F1287" s="284">
        <v>140</v>
      </c>
      <c r="G1287" s="285">
        <v>37</v>
      </c>
      <c r="H1287" s="288">
        <v>37</v>
      </c>
      <c r="I1287" s="285">
        <v>0</v>
      </c>
      <c r="J1287" s="285">
        <v>115</v>
      </c>
      <c r="K1287" s="284">
        <v>10</v>
      </c>
      <c r="L1287" s="284">
        <v>10</v>
      </c>
      <c r="M1287" s="284">
        <v>0</v>
      </c>
      <c r="N1287" s="284">
        <v>69</v>
      </c>
      <c r="O1287" s="284">
        <v>22</v>
      </c>
      <c r="P1287" s="284">
        <v>281</v>
      </c>
      <c r="Q1287" s="286">
        <v>0</v>
      </c>
      <c r="R1287" s="274">
        <v>605</v>
      </c>
      <c r="S1287" s="274">
        <v>69</v>
      </c>
      <c r="T1287" s="287">
        <f t="shared" si="20"/>
        <v>2016</v>
      </c>
      <c r="U1287" s="274">
        <f>VLOOKUP(A1287,'[1]SB35 Determination Data'!$B$4:$F$542,5,FALSE)</f>
        <v>2016</v>
      </c>
    </row>
    <row r="1288" spans="1:21" s="274" customFormat="1" ht="12.75" x14ac:dyDescent="0.2">
      <c r="A1288" s="282" t="s">
        <v>375</v>
      </c>
      <c r="B1288" s="282" t="s">
        <v>125</v>
      </c>
      <c r="C1288" s="282" t="s">
        <v>531</v>
      </c>
      <c r="D1288" s="283">
        <v>2016</v>
      </c>
      <c r="E1288" s="282" t="s">
        <v>650</v>
      </c>
      <c r="F1288" s="284">
        <v>140</v>
      </c>
      <c r="G1288" s="285">
        <v>18</v>
      </c>
      <c r="H1288" s="288">
        <v>18</v>
      </c>
      <c r="I1288" s="285">
        <v>0</v>
      </c>
      <c r="J1288" s="285">
        <v>115</v>
      </c>
      <c r="K1288" s="284">
        <v>29</v>
      </c>
      <c r="L1288" s="284">
        <v>29</v>
      </c>
      <c r="M1288" s="284">
        <v>0</v>
      </c>
      <c r="N1288" s="284">
        <v>69</v>
      </c>
      <c r="O1288" s="284">
        <v>0</v>
      </c>
      <c r="P1288" s="284">
        <v>281</v>
      </c>
      <c r="Q1288" s="286">
        <v>0</v>
      </c>
      <c r="R1288" s="274">
        <v>605</v>
      </c>
      <c r="S1288" s="274">
        <v>47</v>
      </c>
      <c r="T1288" s="287">
        <f t="shared" si="20"/>
        <v>2016</v>
      </c>
      <c r="U1288" s="274">
        <f>VLOOKUP(A1288,'[1]SB35 Determination Data'!$B$4:$F$542,5,FALSE)</f>
        <v>2016</v>
      </c>
    </row>
    <row r="1289" spans="1:21" s="274" customFormat="1" ht="12.75" x14ac:dyDescent="0.2">
      <c r="A1289" s="282" t="s">
        <v>375</v>
      </c>
      <c r="B1289" s="282" t="s">
        <v>125</v>
      </c>
      <c r="C1289" s="282" t="s">
        <v>531</v>
      </c>
      <c r="D1289" s="283">
        <v>2017</v>
      </c>
      <c r="E1289" s="282" t="s">
        <v>650</v>
      </c>
      <c r="F1289" s="284">
        <v>140</v>
      </c>
      <c r="G1289" s="285">
        <v>0</v>
      </c>
      <c r="H1289" s="288">
        <v>0</v>
      </c>
      <c r="I1289" s="285">
        <v>0</v>
      </c>
      <c r="J1289" s="285">
        <v>115</v>
      </c>
      <c r="K1289" s="284">
        <v>0</v>
      </c>
      <c r="L1289" s="284">
        <v>0</v>
      </c>
      <c r="M1289" s="284">
        <v>0</v>
      </c>
      <c r="N1289" s="289">
        <v>69</v>
      </c>
      <c r="O1289" s="284">
        <v>5</v>
      </c>
      <c r="P1289" s="284">
        <v>281</v>
      </c>
      <c r="Q1289" s="286">
        <v>2</v>
      </c>
      <c r="R1289" s="274">
        <v>605</v>
      </c>
      <c r="S1289" s="274">
        <v>7</v>
      </c>
      <c r="T1289" s="287">
        <f t="shared" si="20"/>
        <v>2017</v>
      </c>
      <c r="U1289" s="274">
        <f>VLOOKUP(A1289,'[1]SB35 Determination Data'!$B$4:$F$542,5,FALSE)</f>
        <v>2016</v>
      </c>
    </row>
    <row r="1290" spans="1:21" s="274" customFormat="1" ht="12.75" x14ac:dyDescent="0.2">
      <c r="A1290" s="282" t="s">
        <v>681</v>
      </c>
      <c r="B1290" s="282" t="s">
        <v>631</v>
      </c>
      <c r="C1290" s="282" t="s">
        <v>660</v>
      </c>
      <c r="D1290" s="283">
        <v>2017</v>
      </c>
      <c r="E1290" s="282" t="s">
        <v>650</v>
      </c>
      <c r="F1290" s="284">
        <v>189</v>
      </c>
      <c r="G1290" s="285">
        <v>4</v>
      </c>
      <c r="H1290" s="288">
        <v>0</v>
      </c>
      <c r="I1290" s="285">
        <v>4</v>
      </c>
      <c r="J1290" s="285">
        <v>117</v>
      </c>
      <c r="K1290" s="284">
        <v>9</v>
      </c>
      <c r="L1290" s="284">
        <v>0</v>
      </c>
      <c r="M1290" s="284">
        <v>9</v>
      </c>
      <c r="N1290" s="284">
        <v>128</v>
      </c>
      <c r="O1290" s="284">
        <v>132</v>
      </c>
      <c r="P1290" s="284">
        <v>321</v>
      </c>
      <c r="Q1290" s="286">
        <v>1</v>
      </c>
      <c r="R1290" s="274">
        <v>755</v>
      </c>
      <c r="S1290" s="274">
        <v>146</v>
      </c>
      <c r="T1290" s="287">
        <f t="shared" si="20"/>
        <v>2017</v>
      </c>
      <c r="U1290" s="274">
        <f>VLOOKUP(A1290,'[1]SB35 Determination Data'!$B$4:$F$542,5,FALSE)</f>
        <v>2014</v>
      </c>
    </row>
    <row r="1291" spans="1:21" s="274" customFormat="1" ht="12.75" x14ac:dyDescent="0.2">
      <c r="A1291" s="282" t="s">
        <v>683</v>
      </c>
      <c r="B1291" s="282" t="s">
        <v>631</v>
      </c>
      <c r="C1291" s="282" t="s">
        <v>660</v>
      </c>
      <c r="D1291" s="283">
        <v>2015</v>
      </c>
      <c r="E1291" s="282" t="s">
        <v>650</v>
      </c>
      <c r="F1291" s="284">
        <v>32</v>
      </c>
      <c r="G1291" s="285">
        <v>7</v>
      </c>
      <c r="H1291" s="288">
        <v>7</v>
      </c>
      <c r="I1291" s="285">
        <v>0</v>
      </c>
      <c r="J1291" s="285">
        <v>21</v>
      </c>
      <c r="K1291" s="284">
        <v>13</v>
      </c>
      <c r="L1291" s="284">
        <v>13</v>
      </c>
      <c r="M1291" s="284">
        <v>0</v>
      </c>
      <c r="N1291" s="284">
        <v>23</v>
      </c>
      <c r="O1291" s="284">
        <v>0</v>
      </c>
      <c r="P1291" s="284">
        <v>58</v>
      </c>
      <c r="Q1291" s="286">
        <v>0</v>
      </c>
      <c r="R1291" s="274">
        <v>134</v>
      </c>
      <c r="S1291" s="274">
        <v>20</v>
      </c>
      <c r="T1291" s="287">
        <f t="shared" si="20"/>
        <v>2015</v>
      </c>
      <c r="U1291" s="274">
        <f>VLOOKUP(A1291,'[1]SB35 Determination Data'!$B$4:$F$542,5,FALSE)</f>
        <v>2014</v>
      </c>
    </row>
    <row r="1292" spans="1:21" s="274" customFormat="1" ht="12.75" x14ac:dyDescent="0.2">
      <c r="A1292" s="282" t="s">
        <v>683</v>
      </c>
      <c r="B1292" s="282" t="s">
        <v>631</v>
      </c>
      <c r="C1292" s="282" t="s">
        <v>660</v>
      </c>
      <c r="D1292" s="283">
        <v>2016</v>
      </c>
      <c r="E1292" s="282" t="s">
        <v>650</v>
      </c>
      <c r="F1292" s="284">
        <v>32</v>
      </c>
      <c r="G1292" s="285">
        <v>2</v>
      </c>
      <c r="H1292" s="288">
        <v>2</v>
      </c>
      <c r="I1292" s="285">
        <v>0</v>
      </c>
      <c r="J1292" s="285">
        <v>21</v>
      </c>
      <c r="K1292" s="284">
        <v>0</v>
      </c>
      <c r="L1292" s="284">
        <v>0</v>
      </c>
      <c r="M1292" s="284">
        <v>0</v>
      </c>
      <c r="N1292" s="284">
        <v>23</v>
      </c>
      <c r="O1292" s="284">
        <v>8</v>
      </c>
      <c r="P1292" s="284">
        <v>58</v>
      </c>
      <c r="Q1292" s="286">
        <v>0</v>
      </c>
      <c r="R1292" s="274">
        <v>134</v>
      </c>
      <c r="S1292" s="274">
        <v>10</v>
      </c>
      <c r="T1292" s="287">
        <f t="shared" si="20"/>
        <v>2016</v>
      </c>
      <c r="U1292" s="274">
        <f>VLOOKUP(A1292,'[1]SB35 Determination Data'!$B$4:$F$542,5,FALSE)</f>
        <v>2014</v>
      </c>
    </row>
    <row r="1293" spans="1:21" s="274" customFormat="1" ht="12.75" x14ac:dyDescent="0.2">
      <c r="A1293" s="282" t="s">
        <v>683</v>
      </c>
      <c r="B1293" s="282" t="s">
        <v>631</v>
      </c>
      <c r="C1293" s="282" t="s">
        <v>660</v>
      </c>
      <c r="D1293" s="283">
        <v>2017</v>
      </c>
      <c r="E1293" s="282" t="s">
        <v>650</v>
      </c>
      <c r="F1293" s="284">
        <v>32</v>
      </c>
      <c r="G1293" s="285">
        <v>0</v>
      </c>
      <c r="H1293" s="288">
        <v>0</v>
      </c>
      <c r="I1293" s="285">
        <v>0</v>
      </c>
      <c r="J1293" s="285">
        <v>21</v>
      </c>
      <c r="K1293" s="284">
        <v>4</v>
      </c>
      <c r="L1293" s="284">
        <v>1</v>
      </c>
      <c r="M1293" s="284">
        <v>3</v>
      </c>
      <c r="N1293" s="284">
        <v>23</v>
      </c>
      <c r="O1293" s="284">
        <v>29</v>
      </c>
      <c r="P1293" s="284">
        <v>58</v>
      </c>
      <c r="Q1293" s="286">
        <v>2</v>
      </c>
      <c r="R1293" s="274">
        <v>134</v>
      </c>
      <c r="S1293" s="274">
        <v>35</v>
      </c>
      <c r="T1293" s="287">
        <f t="shared" si="20"/>
        <v>2017</v>
      </c>
      <c r="U1293" s="274">
        <f>VLOOKUP(A1293,'[1]SB35 Determination Data'!$B$4:$F$542,5,FALSE)</f>
        <v>2014</v>
      </c>
    </row>
    <row r="1294" spans="1:21" s="274" customFormat="1" ht="12.75" x14ac:dyDescent="0.2">
      <c r="A1294" s="282" t="s">
        <v>506</v>
      </c>
      <c r="B1294" s="282" t="s">
        <v>262</v>
      </c>
      <c r="C1294" s="282" t="s">
        <v>649</v>
      </c>
      <c r="D1294" s="283">
        <v>2014</v>
      </c>
      <c r="E1294" s="282" t="s">
        <v>650</v>
      </c>
      <c r="F1294" s="284">
        <v>14</v>
      </c>
      <c r="G1294" s="285">
        <v>2</v>
      </c>
      <c r="H1294" s="288">
        <v>0</v>
      </c>
      <c r="I1294" s="285">
        <v>2</v>
      </c>
      <c r="J1294" s="285">
        <v>9</v>
      </c>
      <c r="K1294" s="284">
        <v>5</v>
      </c>
      <c r="L1294" s="284">
        <v>0</v>
      </c>
      <c r="M1294" s="284">
        <v>5</v>
      </c>
      <c r="N1294" s="284">
        <v>9</v>
      </c>
      <c r="O1294" s="284">
        <v>0</v>
      </c>
      <c r="P1294" s="284">
        <v>23</v>
      </c>
      <c r="Q1294" s="286">
        <v>5</v>
      </c>
      <c r="R1294" s="274">
        <v>55</v>
      </c>
      <c r="S1294" s="274">
        <v>12</v>
      </c>
      <c r="T1294" s="287">
        <f t="shared" si="20"/>
        <v>2014</v>
      </c>
      <c r="U1294" s="274">
        <f>VLOOKUP(A1294,'[1]SB35 Determination Data'!$B$4:$F$542,5,FALSE)</f>
        <v>2014</v>
      </c>
    </row>
    <row r="1295" spans="1:21" s="274" customFormat="1" ht="12.75" x14ac:dyDescent="0.2">
      <c r="A1295" s="282" t="s">
        <v>506</v>
      </c>
      <c r="B1295" s="282" t="s">
        <v>262</v>
      </c>
      <c r="C1295" s="282" t="s">
        <v>649</v>
      </c>
      <c r="D1295" s="283">
        <v>2015</v>
      </c>
      <c r="E1295" s="282" t="s">
        <v>650</v>
      </c>
      <c r="F1295" s="284">
        <v>14</v>
      </c>
      <c r="G1295" s="285">
        <v>0</v>
      </c>
      <c r="H1295" s="288">
        <v>0</v>
      </c>
      <c r="I1295" s="285">
        <v>0</v>
      </c>
      <c r="J1295" s="285">
        <v>9</v>
      </c>
      <c r="K1295" s="284">
        <v>0</v>
      </c>
      <c r="L1295" s="284">
        <v>0</v>
      </c>
      <c r="M1295" s="284">
        <v>0</v>
      </c>
      <c r="N1295" s="284">
        <v>9</v>
      </c>
      <c r="O1295" s="284">
        <v>0</v>
      </c>
      <c r="P1295" s="284">
        <v>23</v>
      </c>
      <c r="Q1295" s="286">
        <v>77</v>
      </c>
      <c r="R1295" s="274">
        <v>55</v>
      </c>
      <c r="S1295" s="274">
        <v>77</v>
      </c>
      <c r="T1295" s="287">
        <f t="shared" si="20"/>
        <v>2015</v>
      </c>
      <c r="U1295" s="274">
        <f>VLOOKUP(A1295,'[1]SB35 Determination Data'!$B$4:$F$542,5,FALSE)</f>
        <v>2014</v>
      </c>
    </row>
    <row r="1296" spans="1:21" s="274" customFormat="1" ht="12.75" x14ac:dyDescent="0.2">
      <c r="A1296" s="282" t="s">
        <v>506</v>
      </c>
      <c r="B1296" s="282" t="s">
        <v>262</v>
      </c>
      <c r="C1296" s="282" t="s">
        <v>649</v>
      </c>
      <c r="D1296" s="283">
        <v>2016</v>
      </c>
      <c r="E1296" s="282" t="s">
        <v>650</v>
      </c>
      <c r="F1296" s="284">
        <v>14</v>
      </c>
      <c r="G1296" s="285">
        <v>0</v>
      </c>
      <c r="H1296" s="288">
        <v>0</v>
      </c>
      <c r="I1296" s="285">
        <v>0</v>
      </c>
      <c r="J1296" s="285">
        <v>9</v>
      </c>
      <c r="K1296" s="284">
        <v>1</v>
      </c>
      <c r="L1296" s="284">
        <v>0</v>
      </c>
      <c r="M1296" s="284">
        <v>1</v>
      </c>
      <c r="N1296" s="284">
        <v>9</v>
      </c>
      <c r="O1296" s="284">
        <v>0</v>
      </c>
      <c r="P1296" s="284">
        <v>23</v>
      </c>
      <c r="Q1296" s="286">
        <v>0</v>
      </c>
      <c r="R1296" s="274">
        <v>55</v>
      </c>
      <c r="S1296" s="274">
        <v>1</v>
      </c>
      <c r="T1296" s="287">
        <f t="shared" si="20"/>
        <v>2016</v>
      </c>
      <c r="U1296" s="274">
        <f>VLOOKUP(A1296,'[1]SB35 Determination Data'!$B$4:$F$542,5,FALSE)</f>
        <v>2014</v>
      </c>
    </row>
    <row r="1297" spans="1:21" s="274" customFormat="1" ht="12.75" x14ac:dyDescent="0.2">
      <c r="A1297" s="282" t="s">
        <v>506</v>
      </c>
      <c r="B1297" s="282" t="s">
        <v>262</v>
      </c>
      <c r="C1297" s="282" t="s">
        <v>649</v>
      </c>
      <c r="D1297" s="283">
        <v>2017</v>
      </c>
      <c r="E1297" s="282" t="s">
        <v>650</v>
      </c>
      <c r="F1297" s="284">
        <v>14</v>
      </c>
      <c r="G1297" s="285">
        <v>0</v>
      </c>
      <c r="H1297" s="288">
        <v>0</v>
      </c>
      <c r="I1297" s="285">
        <v>0</v>
      </c>
      <c r="J1297" s="285">
        <v>9</v>
      </c>
      <c r="K1297" s="284">
        <v>1</v>
      </c>
      <c r="L1297" s="284">
        <v>0</v>
      </c>
      <c r="M1297" s="284">
        <v>1</v>
      </c>
      <c r="N1297" s="289">
        <v>9</v>
      </c>
      <c r="O1297" s="284">
        <v>3</v>
      </c>
      <c r="P1297" s="284">
        <v>23</v>
      </c>
      <c r="Q1297" s="286">
        <v>0</v>
      </c>
      <c r="R1297" s="274">
        <v>55</v>
      </c>
      <c r="S1297" s="274">
        <v>4</v>
      </c>
      <c r="T1297" s="287">
        <f t="shared" si="20"/>
        <v>2017</v>
      </c>
      <c r="U1297" s="274">
        <f>VLOOKUP(A1297,'[1]SB35 Determination Data'!$B$4:$F$542,5,FALSE)</f>
        <v>2014</v>
      </c>
    </row>
    <row r="1298" spans="1:21" s="274" customFormat="1" ht="12.75" x14ac:dyDescent="0.2">
      <c r="A1298" s="282" t="s">
        <v>508</v>
      </c>
      <c r="B1298" s="282" t="s">
        <v>262</v>
      </c>
      <c r="C1298" s="282" t="s">
        <v>649</v>
      </c>
      <c r="D1298" s="283">
        <v>2014</v>
      </c>
      <c r="E1298" s="282" t="s">
        <v>650</v>
      </c>
      <c r="F1298" s="284">
        <v>44</v>
      </c>
      <c r="G1298" s="285">
        <v>0</v>
      </c>
      <c r="H1298" s="288">
        <v>0</v>
      </c>
      <c r="I1298" s="285">
        <v>0</v>
      </c>
      <c r="J1298" s="285">
        <v>27</v>
      </c>
      <c r="K1298" s="284">
        <v>0</v>
      </c>
      <c r="L1298" s="284">
        <v>0</v>
      </c>
      <c r="M1298" s="284">
        <v>0</v>
      </c>
      <c r="N1298" s="284">
        <v>28</v>
      </c>
      <c r="O1298" s="284">
        <v>17</v>
      </c>
      <c r="P1298" s="284">
        <v>70</v>
      </c>
      <c r="Q1298" s="286">
        <v>1</v>
      </c>
      <c r="R1298" s="274">
        <v>169</v>
      </c>
      <c r="S1298" s="274">
        <v>18</v>
      </c>
      <c r="T1298" s="287">
        <f t="shared" si="20"/>
        <v>2014</v>
      </c>
      <c r="U1298" s="274">
        <f>VLOOKUP(A1298,'[1]SB35 Determination Data'!$B$4:$F$542,5,FALSE)</f>
        <v>2014</v>
      </c>
    </row>
    <row r="1299" spans="1:21" s="274" customFormat="1" ht="12.75" x14ac:dyDescent="0.2">
      <c r="A1299" s="282" t="s">
        <v>508</v>
      </c>
      <c r="B1299" s="282" t="s">
        <v>262</v>
      </c>
      <c r="C1299" s="282" t="s">
        <v>649</v>
      </c>
      <c r="D1299" s="283">
        <v>2015</v>
      </c>
      <c r="E1299" s="282" t="s">
        <v>650</v>
      </c>
      <c r="F1299" s="284">
        <v>44</v>
      </c>
      <c r="G1299" s="285">
        <v>44</v>
      </c>
      <c r="H1299" s="288">
        <v>44</v>
      </c>
      <c r="I1299" s="285">
        <v>0</v>
      </c>
      <c r="J1299" s="285">
        <v>27</v>
      </c>
      <c r="K1299" s="284">
        <v>27</v>
      </c>
      <c r="L1299" s="284">
        <v>27</v>
      </c>
      <c r="M1299" s="284">
        <v>0</v>
      </c>
      <c r="N1299" s="284">
        <v>28</v>
      </c>
      <c r="O1299" s="284">
        <v>2</v>
      </c>
      <c r="P1299" s="284">
        <v>70</v>
      </c>
      <c r="Q1299" s="286">
        <v>0</v>
      </c>
      <c r="R1299" s="274">
        <v>169</v>
      </c>
      <c r="S1299" s="274">
        <v>73</v>
      </c>
      <c r="T1299" s="287">
        <f t="shared" si="20"/>
        <v>2015</v>
      </c>
      <c r="U1299" s="274">
        <f>VLOOKUP(A1299,'[1]SB35 Determination Data'!$B$4:$F$542,5,FALSE)</f>
        <v>2014</v>
      </c>
    </row>
    <row r="1300" spans="1:21" s="274" customFormat="1" ht="12.75" x14ac:dyDescent="0.2">
      <c r="A1300" s="282" t="s">
        <v>508</v>
      </c>
      <c r="B1300" s="282" t="s">
        <v>262</v>
      </c>
      <c r="C1300" s="282" t="s">
        <v>649</v>
      </c>
      <c r="D1300" s="283">
        <v>2016</v>
      </c>
      <c r="E1300" s="282" t="s">
        <v>650</v>
      </c>
      <c r="F1300" s="284">
        <v>44</v>
      </c>
      <c r="G1300" s="285">
        <v>0</v>
      </c>
      <c r="H1300" s="288">
        <v>0</v>
      </c>
      <c r="I1300" s="285">
        <v>0</v>
      </c>
      <c r="J1300" s="285">
        <v>27</v>
      </c>
      <c r="K1300" s="284">
        <v>0</v>
      </c>
      <c r="L1300" s="284">
        <v>0</v>
      </c>
      <c r="M1300" s="284">
        <v>0</v>
      </c>
      <c r="N1300" s="284">
        <v>28</v>
      </c>
      <c r="O1300" s="284">
        <v>0</v>
      </c>
      <c r="P1300" s="284">
        <v>70</v>
      </c>
      <c r="Q1300" s="286">
        <v>3</v>
      </c>
      <c r="R1300" s="274">
        <v>169</v>
      </c>
      <c r="S1300" s="274">
        <v>3</v>
      </c>
      <c r="T1300" s="287">
        <f t="shared" si="20"/>
        <v>2016</v>
      </c>
      <c r="U1300" s="274">
        <f>VLOOKUP(A1300,'[1]SB35 Determination Data'!$B$4:$F$542,5,FALSE)</f>
        <v>2014</v>
      </c>
    </row>
    <row r="1301" spans="1:21" s="274" customFormat="1" ht="12.75" x14ac:dyDescent="0.2">
      <c r="A1301" s="282" t="s">
        <v>508</v>
      </c>
      <c r="B1301" s="282" t="s">
        <v>262</v>
      </c>
      <c r="C1301" s="282" t="s">
        <v>649</v>
      </c>
      <c r="D1301" s="283">
        <v>2017</v>
      </c>
      <c r="E1301" s="282" t="s">
        <v>650</v>
      </c>
      <c r="F1301" s="284">
        <v>44</v>
      </c>
      <c r="G1301" s="285">
        <v>0</v>
      </c>
      <c r="H1301" s="288">
        <v>0</v>
      </c>
      <c r="I1301" s="285">
        <v>0</v>
      </c>
      <c r="J1301" s="285">
        <v>27</v>
      </c>
      <c r="K1301" s="284">
        <v>0</v>
      </c>
      <c r="L1301" s="284">
        <v>0</v>
      </c>
      <c r="M1301" s="284">
        <v>0</v>
      </c>
      <c r="N1301" s="284">
        <v>28</v>
      </c>
      <c r="O1301" s="284">
        <v>0</v>
      </c>
      <c r="P1301" s="284">
        <v>70</v>
      </c>
      <c r="Q1301" s="286">
        <v>24</v>
      </c>
      <c r="R1301" s="274">
        <v>169</v>
      </c>
      <c r="S1301" s="274">
        <v>24</v>
      </c>
      <c r="T1301" s="287">
        <f t="shared" si="20"/>
        <v>2017</v>
      </c>
      <c r="U1301" s="274">
        <f>VLOOKUP(A1301,'[1]SB35 Determination Data'!$B$4:$F$542,5,FALSE)</f>
        <v>2014</v>
      </c>
    </row>
    <row r="1302" spans="1:21" s="274" customFormat="1" ht="12.75" x14ac:dyDescent="0.2">
      <c r="A1302" s="282" t="s">
        <v>686</v>
      </c>
      <c r="B1302" s="282" t="s">
        <v>743</v>
      </c>
      <c r="C1302" s="282" t="s">
        <v>649</v>
      </c>
      <c r="D1302" s="283">
        <v>2014</v>
      </c>
      <c r="E1302" s="282" t="s">
        <v>650</v>
      </c>
      <c r="F1302" s="284">
        <v>310</v>
      </c>
      <c r="G1302" s="285">
        <v>0</v>
      </c>
      <c r="H1302" s="288">
        <v>0</v>
      </c>
      <c r="I1302" s="285">
        <v>0</v>
      </c>
      <c r="J1302" s="285">
        <v>208</v>
      </c>
      <c r="K1302" s="284">
        <v>0</v>
      </c>
      <c r="L1302" s="284">
        <v>0</v>
      </c>
      <c r="M1302" s="284">
        <v>0</v>
      </c>
      <c r="N1302" s="284">
        <v>229</v>
      </c>
      <c r="O1302" s="284">
        <v>0</v>
      </c>
      <c r="P1302" s="284">
        <v>509</v>
      </c>
      <c r="Q1302" s="286">
        <v>42</v>
      </c>
      <c r="R1302" s="274">
        <v>1256</v>
      </c>
      <c r="S1302" s="274">
        <v>42</v>
      </c>
      <c r="T1302" s="287">
        <f t="shared" si="20"/>
        <v>2014</v>
      </c>
      <c r="U1302" s="274">
        <f>VLOOKUP(A1302,'[1]SB35 Determination Data'!$B$4:$F$542,5,FALSE)</f>
        <v>2014</v>
      </c>
    </row>
    <row r="1303" spans="1:21" s="274" customFormat="1" ht="12.75" x14ac:dyDescent="0.2">
      <c r="A1303" s="282" t="s">
        <v>686</v>
      </c>
      <c r="B1303" s="282" t="s">
        <v>743</v>
      </c>
      <c r="C1303" s="282" t="s">
        <v>649</v>
      </c>
      <c r="D1303" s="283">
        <v>2015</v>
      </c>
      <c r="E1303" s="282" t="s">
        <v>650</v>
      </c>
      <c r="F1303" s="284">
        <v>310</v>
      </c>
      <c r="G1303" s="285">
        <v>0</v>
      </c>
      <c r="H1303" s="288">
        <v>0</v>
      </c>
      <c r="I1303" s="285">
        <v>0</v>
      </c>
      <c r="J1303" s="285">
        <v>208</v>
      </c>
      <c r="K1303" s="284">
        <v>0</v>
      </c>
      <c r="L1303" s="284">
        <v>0</v>
      </c>
      <c r="M1303" s="284">
        <v>0</v>
      </c>
      <c r="N1303" s="284">
        <v>229</v>
      </c>
      <c r="O1303" s="284">
        <v>15</v>
      </c>
      <c r="P1303" s="284">
        <v>509</v>
      </c>
      <c r="Q1303" s="286">
        <v>11</v>
      </c>
      <c r="R1303" s="274">
        <v>1256</v>
      </c>
      <c r="S1303" s="274">
        <v>26</v>
      </c>
      <c r="T1303" s="287">
        <f t="shared" si="20"/>
        <v>2015</v>
      </c>
      <c r="U1303" s="274">
        <f>VLOOKUP(A1303,'[1]SB35 Determination Data'!$B$4:$F$542,5,FALSE)</f>
        <v>2014</v>
      </c>
    </row>
    <row r="1304" spans="1:21" s="274" customFormat="1" ht="12.75" x14ac:dyDescent="0.2">
      <c r="A1304" s="282" t="s">
        <v>686</v>
      </c>
      <c r="B1304" s="282" t="s">
        <v>743</v>
      </c>
      <c r="C1304" s="282" t="s">
        <v>649</v>
      </c>
      <c r="D1304" s="283">
        <v>2016</v>
      </c>
      <c r="E1304" s="282" t="s">
        <v>650</v>
      </c>
      <c r="F1304" s="284">
        <v>310</v>
      </c>
      <c r="G1304" s="285">
        <v>0</v>
      </c>
      <c r="H1304" s="288">
        <v>0</v>
      </c>
      <c r="I1304" s="285">
        <v>0</v>
      </c>
      <c r="J1304" s="285">
        <v>208</v>
      </c>
      <c r="K1304" s="284">
        <v>1</v>
      </c>
      <c r="L1304" s="284">
        <v>1</v>
      </c>
      <c r="M1304" s="284">
        <v>0</v>
      </c>
      <c r="N1304" s="284">
        <v>229</v>
      </c>
      <c r="O1304" s="284">
        <v>0</v>
      </c>
      <c r="P1304" s="284">
        <v>509</v>
      </c>
      <c r="Q1304" s="286">
        <v>152</v>
      </c>
      <c r="R1304" s="274">
        <v>1256</v>
      </c>
      <c r="S1304" s="274">
        <v>153</v>
      </c>
      <c r="T1304" s="287">
        <f t="shared" si="20"/>
        <v>2016</v>
      </c>
      <c r="U1304" s="274">
        <f>VLOOKUP(A1304,'[1]SB35 Determination Data'!$B$4:$F$542,5,FALSE)</f>
        <v>2014</v>
      </c>
    </row>
    <row r="1305" spans="1:21" s="274" customFormat="1" ht="12.75" x14ac:dyDescent="0.2">
      <c r="A1305" s="282" t="s">
        <v>686</v>
      </c>
      <c r="B1305" s="282" t="s">
        <v>743</v>
      </c>
      <c r="C1305" s="282" t="s">
        <v>649</v>
      </c>
      <c r="D1305" s="283">
        <v>2017</v>
      </c>
      <c r="E1305" s="282" t="s">
        <v>650</v>
      </c>
      <c r="F1305" s="284">
        <v>310</v>
      </c>
      <c r="G1305" s="285">
        <v>30</v>
      </c>
      <c r="H1305" s="288">
        <v>30</v>
      </c>
      <c r="I1305" s="285">
        <v>0</v>
      </c>
      <c r="J1305" s="285">
        <v>208</v>
      </c>
      <c r="K1305" s="284">
        <v>0</v>
      </c>
      <c r="L1305" s="284">
        <v>0</v>
      </c>
      <c r="M1305" s="284">
        <v>0</v>
      </c>
      <c r="N1305" s="284">
        <v>229</v>
      </c>
      <c r="O1305" s="284">
        <v>12</v>
      </c>
      <c r="P1305" s="284">
        <v>509</v>
      </c>
      <c r="Q1305" s="286">
        <v>59</v>
      </c>
      <c r="R1305" s="274">
        <v>1256</v>
      </c>
      <c r="S1305" s="274">
        <v>101</v>
      </c>
      <c r="T1305" s="287">
        <f t="shared" si="20"/>
        <v>2017</v>
      </c>
      <c r="U1305" s="274">
        <f>VLOOKUP(A1305,'[1]SB35 Determination Data'!$B$4:$F$542,5,FALSE)</f>
        <v>2014</v>
      </c>
    </row>
    <row r="1306" spans="1:21" s="274" customFormat="1" ht="12.75" x14ac:dyDescent="0.2">
      <c r="A1306" s="282" t="s">
        <v>688</v>
      </c>
      <c r="B1306" s="282" t="s">
        <v>557</v>
      </c>
      <c r="C1306" s="282" t="s">
        <v>758</v>
      </c>
      <c r="D1306" s="283">
        <v>2013</v>
      </c>
      <c r="E1306" s="282" t="s">
        <v>650</v>
      </c>
      <c r="F1306" s="284">
        <v>85</v>
      </c>
      <c r="G1306" s="285">
        <v>0</v>
      </c>
      <c r="H1306" s="288">
        <v>0</v>
      </c>
      <c r="I1306" s="285">
        <v>0</v>
      </c>
      <c r="J1306" s="285">
        <v>65</v>
      </c>
      <c r="K1306" s="284">
        <v>1</v>
      </c>
      <c r="L1306" s="284">
        <v>0</v>
      </c>
      <c r="M1306" s="284">
        <v>1</v>
      </c>
      <c r="N1306" s="284">
        <v>59</v>
      </c>
      <c r="O1306" s="284">
        <v>0</v>
      </c>
      <c r="P1306" s="284">
        <v>131</v>
      </c>
      <c r="Q1306" s="286">
        <v>11</v>
      </c>
      <c r="R1306" s="274">
        <v>340</v>
      </c>
      <c r="S1306" s="274">
        <v>12</v>
      </c>
      <c r="T1306" s="287">
        <f t="shared" si="20"/>
        <v>2013</v>
      </c>
      <c r="U1306" s="274">
        <f>VLOOKUP(A1306,'[1]SB35 Determination Data'!$B$4:$F$542,5,FALSE)</f>
        <v>2013</v>
      </c>
    </row>
    <row r="1307" spans="1:21" s="274" customFormat="1" ht="12.75" x14ac:dyDescent="0.2">
      <c r="A1307" s="282" t="s">
        <v>688</v>
      </c>
      <c r="B1307" s="282" t="s">
        <v>557</v>
      </c>
      <c r="C1307" s="282" t="s">
        <v>758</v>
      </c>
      <c r="D1307" s="283">
        <v>2014</v>
      </c>
      <c r="E1307" s="282" t="s">
        <v>650</v>
      </c>
      <c r="F1307" s="284">
        <v>85</v>
      </c>
      <c r="G1307" s="285">
        <v>0</v>
      </c>
      <c r="H1307" s="288">
        <v>0</v>
      </c>
      <c r="I1307" s="285">
        <v>0</v>
      </c>
      <c r="J1307" s="285">
        <v>65</v>
      </c>
      <c r="K1307" s="284">
        <v>0</v>
      </c>
      <c r="L1307" s="284">
        <v>0</v>
      </c>
      <c r="M1307" s="284">
        <v>0</v>
      </c>
      <c r="N1307" s="284">
        <v>59</v>
      </c>
      <c r="O1307" s="284">
        <v>0</v>
      </c>
      <c r="P1307" s="284">
        <v>131</v>
      </c>
      <c r="Q1307" s="286">
        <v>5</v>
      </c>
      <c r="R1307" s="274">
        <v>340</v>
      </c>
      <c r="S1307" s="274">
        <v>5</v>
      </c>
      <c r="T1307" s="287">
        <f t="shared" si="20"/>
        <v>2014</v>
      </c>
      <c r="U1307" s="274">
        <f>VLOOKUP(A1307,'[1]SB35 Determination Data'!$B$4:$F$542,5,FALSE)</f>
        <v>2013</v>
      </c>
    </row>
    <row r="1308" spans="1:21" s="274" customFormat="1" ht="12.75" x14ac:dyDescent="0.2">
      <c r="A1308" s="282" t="s">
        <v>688</v>
      </c>
      <c r="B1308" s="282" t="s">
        <v>557</v>
      </c>
      <c r="C1308" s="282" t="s">
        <v>758</v>
      </c>
      <c r="D1308" s="283">
        <v>2015</v>
      </c>
      <c r="E1308" s="282" t="s">
        <v>650</v>
      </c>
      <c r="F1308" s="284">
        <v>85</v>
      </c>
      <c r="G1308" s="285">
        <v>0</v>
      </c>
      <c r="H1308" s="288">
        <v>0</v>
      </c>
      <c r="I1308" s="285">
        <v>0</v>
      </c>
      <c r="J1308" s="285">
        <v>65</v>
      </c>
      <c r="K1308" s="284">
        <v>1</v>
      </c>
      <c r="L1308" s="284">
        <v>1</v>
      </c>
      <c r="M1308" s="284">
        <v>0</v>
      </c>
      <c r="N1308" s="284">
        <v>59</v>
      </c>
      <c r="O1308" s="284">
        <v>0</v>
      </c>
      <c r="P1308" s="284">
        <v>131</v>
      </c>
      <c r="Q1308" s="286">
        <v>3</v>
      </c>
      <c r="R1308" s="274">
        <v>340</v>
      </c>
      <c r="S1308" s="274">
        <v>4</v>
      </c>
      <c r="T1308" s="287">
        <f t="shared" si="20"/>
        <v>2015</v>
      </c>
      <c r="U1308" s="274">
        <f>VLOOKUP(A1308,'[1]SB35 Determination Data'!$B$4:$F$542,5,FALSE)</f>
        <v>2013</v>
      </c>
    </row>
    <row r="1309" spans="1:21" s="274" customFormat="1" ht="12.75" x14ac:dyDescent="0.2">
      <c r="A1309" s="282" t="s">
        <v>688</v>
      </c>
      <c r="B1309" s="282" t="s">
        <v>557</v>
      </c>
      <c r="C1309" s="282" t="s">
        <v>758</v>
      </c>
      <c r="D1309" s="283">
        <v>2016</v>
      </c>
      <c r="E1309" s="282" t="s">
        <v>650</v>
      </c>
      <c r="F1309" s="284">
        <v>85</v>
      </c>
      <c r="G1309" s="285">
        <v>0</v>
      </c>
      <c r="H1309" s="288">
        <v>0</v>
      </c>
      <c r="I1309" s="285">
        <v>0</v>
      </c>
      <c r="J1309" s="285">
        <v>65</v>
      </c>
      <c r="K1309" s="284">
        <v>1</v>
      </c>
      <c r="L1309" s="284">
        <v>1</v>
      </c>
      <c r="M1309" s="284">
        <v>0</v>
      </c>
      <c r="N1309" s="289">
        <v>59</v>
      </c>
      <c r="O1309" s="284">
        <v>0</v>
      </c>
      <c r="P1309" s="284">
        <v>131</v>
      </c>
      <c r="Q1309" s="286">
        <v>5</v>
      </c>
      <c r="R1309" s="274">
        <v>340</v>
      </c>
      <c r="S1309" s="274">
        <v>6</v>
      </c>
      <c r="T1309" s="287">
        <f t="shared" si="20"/>
        <v>2016</v>
      </c>
      <c r="U1309" s="274">
        <f>VLOOKUP(A1309,'[1]SB35 Determination Data'!$B$4:$F$542,5,FALSE)</f>
        <v>2013</v>
      </c>
    </row>
    <row r="1310" spans="1:21" s="274" customFormat="1" ht="12.75" x14ac:dyDescent="0.2">
      <c r="A1310" s="282" t="s">
        <v>688</v>
      </c>
      <c r="B1310" s="282" t="s">
        <v>557</v>
      </c>
      <c r="C1310" s="282" t="s">
        <v>758</v>
      </c>
      <c r="D1310" s="283">
        <v>2017</v>
      </c>
      <c r="E1310" s="282" t="s">
        <v>650</v>
      </c>
      <c r="F1310" s="284">
        <v>85</v>
      </c>
      <c r="G1310" s="285">
        <v>0</v>
      </c>
      <c r="H1310" s="288">
        <v>0</v>
      </c>
      <c r="I1310" s="285">
        <v>0</v>
      </c>
      <c r="J1310" s="285">
        <v>65</v>
      </c>
      <c r="K1310" s="284">
        <v>2</v>
      </c>
      <c r="L1310" s="284">
        <v>2</v>
      </c>
      <c r="M1310" s="284">
        <v>0</v>
      </c>
      <c r="N1310" s="284">
        <v>59</v>
      </c>
      <c r="O1310" s="284">
        <v>3</v>
      </c>
      <c r="P1310" s="284">
        <v>131</v>
      </c>
      <c r="Q1310" s="286">
        <v>12</v>
      </c>
      <c r="R1310" s="274">
        <v>340</v>
      </c>
      <c r="S1310" s="274">
        <v>17</v>
      </c>
      <c r="T1310" s="287">
        <f t="shared" si="20"/>
        <v>2017</v>
      </c>
      <c r="U1310" s="274">
        <f>VLOOKUP(A1310,'[1]SB35 Determination Data'!$B$4:$F$542,5,FALSE)</f>
        <v>2013</v>
      </c>
    </row>
    <row r="1311" spans="1:21" s="274" customFormat="1" ht="12.75" x14ac:dyDescent="0.2">
      <c r="A1311" s="282" t="s">
        <v>689</v>
      </c>
      <c r="B1311" s="282" t="s">
        <v>663</v>
      </c>
      <c r="C1311" s="282" t="s">
        <v>654</v>
      </c>
      <c r="D1311" s="283">
        <v>2014</v>
      </c>
      <c r="E1311" s="282" t="s">
        <v>650</v>
      </c>
      <c r="F1311" s="284">
        <v>26</v>
      </c>
      <c r="G1311" s="285">
        <v>1</v>
      </c>
      <c r="H1311" s="288">
        <v>1</v>
      </c>
      <c r="I1311" s="285">
        <v>0</v>
      </c>
      <c r="J1311" s="285">
        <v>15</v>
      </c>
      <c r="K1311" s="284">
        <v>13</v>
      </c>
      <c r="L1311" s="284">
        <v>13</v>
      </c>
      <c r="M1311" s="284">
        <v>0</v>
      </c>
      <c r="N1311" s="284">
        <v>19</v>
      </c>
      <c r="O1311" s="284">
        <v>2</v>
      </c>
      <c r="P1311" s="284">
        <v>43</v>
      </c>
      <c r="Q1311" s="286">
        <v>7</v>
      </c>
      <c r="R1311" s="274">
        <v>103</v>
      </c>
      <c r="S1311" s="274">
        <v>23</v>
      </c>
      <c r="T1311" s="287">
        <f t="shared" si="20"/>
        <v>2015</v>
      </c>
      <c r="U1311" s="274">
        <f>VLOOKUP(A1311,'[1]SB35 Determination Data'!$B$4:$F$542,5,FALSE)</f>
        <v>2015</v>
      </c>
    </row>
    <row r="1312" spans="1:21" s="274" customFormat="1" ht="12.75" x14ac:dyDescent="0.2">
      <c r="A1312" s="282" t="s">
        <v>689</v>
      </c>
      <c r="B1312" s="282" t="s">
        <v>663</v>
      </c>
      <c r="C1312" s="282" t="s">
        <v>654</v>
      </c>
      <c r="D1312" s="283">
        <v>2015</v>
      </c>
      <c r="E1312" s="282" t="s">
        <v>650</v>
      </c>
      <c r="F1312" s="284">
        <v>26</v>
      </c>
      <c r="G1312" s="285">
        <v>0</v>
      </c>
      <c r="H1312" s="288">
        <v>0</v>
      </c>
      <c r="I1312" s="285">
        <v>0</v>
      </c>
      <c r="J1312" s="285">
        <v>15</v>
      </c>
      <c r="K1312" s="284">
        <v>11</v>
      </c>
      <c r="L1312" s="284">
        <v>0</v>
      </c>
      <c r="M1312" s="284">
        <v>11</v>
      </c>
      <c r="N1312" s="284">
        <v>19</v>
      </c>
      <c r="O1312" s="284">
        <v>7</v>
      </c>
      <c r="P1312" s="284">
        <v>43</v>
      </c>
      <c r="Q1312" s="286">
        <v>14</v>
      </c>
      <c r="R1312" s="274">
        <v>103</v>
      </c>
      <c r="S1312" s="274">
        <v>32</v>
      </c>
      <c r="T1312" s="287">
        <f t="shared" si="20"/>
        <v>2015</v>
      </c>
      <c r="U1312" s="274">
        <f>VLOOKUP(A1312,'[1]SB35 Determination Data'!$B$4:$F$542,5,FALSE)</f>
        <v>2015</v>
      </c>
    </row>
    <row r="1313" spans="1:21" s="274" customFormat="1" ht="12.75" x14ac:dyDescent="0.2">
      <c r="A1313" s="282" t="s">
        <v>689</v>
      </c>
      <c r="B1313" s="282" t="s">
        <v>663</v>
      </c>
      <c r="C1313" s="282" t="s">
        <v>654</v>
      </c>
      <c r="D1313" s="283">
        <v>2016</v>
      </c>
      <c r="E1313" s="282" t="s">
        <v>650</v>
      </c>
      <c r="F1313" s="284">
        <v>26</v>
      </c>
      <c r="G1313" s="285">
        <v>3</v>
      </c>
      <c r="H1313" s="288">
        <v>0</v>
      </c>
      <c r="I1313" s="285">
        <v>3</v>
      </c>
      <c r="J1313" s="285">
        <v>15</v>
      </c>
      <c r="K1313" s="284">
        <v>8</v>
      </c>
      <c r="L1313" s="284">
        <v>0</v>
      </c>
      <c r="M1313" s="284">
        <v>8</v>
      </c>
      <c r="N1313" s="289">
        <v>19</v>
      </c>
      <c r="O1313" s="284">
        <v>5</v>
      </c>
      <c r="P1313" s="284">
        <v>43</v>
      </c>
      <c r="Q1313" s="286">
        <v>16</v>
      </c>
      <c r="R1313" s="274">
        <v>103</v>
      </c>
      <c r="S1313" s="274">
        <v>32</v>
      </c>
      <c r="T1313" s="287">
        <f t="shared" si="20"/>
        <v>2016</v>
      </c>
      <c r="U1313" s="274">
        <f>VLOOKUP(A1313,'[1]SB35 Determination Data'!$B$4:$F$542,5,FALSE)</f>
        <v>2015</v>
      </c>
    </row>
    <row r="1314" spans="1:21" s="274" customFormat="1" ht="12.75" x14ac:dyDescent="0.2">
      <c r="A1314" s="282" t="s">
        <v>689</v>
      </c>
      <c r="B1314" s="282" t="s">
        <v>663</v>
      </c>
      <c r="C1314" s="282" t="s">
        <v>654</v>
      </c>
      <c r="D1314" s="283">
        <v>2017</v>
      </c>
      <c r="E1314" s="282" t="s">
        <v>650</v>
      </c>
      <c r="F1314" s="284">
        <v>26</v>
      </c>
      <c r="G1314" s="285">
        <v>0</v>
      </c>
      <c r="H1314" s="288">
        <v>0</v>
      </c>
      <c r="I1314" s="285">
        <v>0</v>
      </c>
      <c r="J1314" s="285">
        <v>15</v>
      </c>
      <c r="K1314" s="284">
        <v>6</v>
      </c>
      <c r="L1314" s="284">
        <v>0</v>
      </c>
      <c r="M1314" s="284">
        <v>6</v>
      </c>
      <c r="N1314" s="284">
        <v>19</v>
      </c>
      <c r="O1314" s="284">
        <v>5</v>
      </c>
      <c r="P1314" s="284">
        <v>43</v>
      </c>
      <c r="Q1314" s="286">
        <v>9</v>
      </c>
      <c r="R1314" s="274">
        <v>103</v>
      </c>
      <c r="S1314" s="274">
        <v>20</v>
      </c>
      <c r="T1314" s="287">
        <f t="shared" si="20"/>
        <v>2017</v>
      </c>
      <c r="U1314" s="274">
        <f>VLOOKUP(A1314,'[1]SB35 Determination Data'!$B$4:$F$542,5,FALSE)</f>
        <v>2015</v>
      </c>
    </row>
    <row r="1315" spans="1:21" s="274" customFormat="1" ht="12.75" x14ac:dyDescent="0.2">
      <c r="A1315" s="282" t="s">
        <v>690</v>
      </c>
      <c r="B1315" s="282" t="s">
        <v>403</v>
      </c>
      <c r="C1315" s="282" t="s">
        <v>531</v>
      </c>
      <c r="D1315" s="283">
        <v>2015</v>
      </c>
      <c r="E1315" s="282" t="s">
        <v>650</v>
      </c>
      <c r="F1315" s="284">
        <v>46</v>
      </c>
      <c r="G1315" s="285">
        <v>0</v>
      </c>
      <c r="H1315" s="288">
        <v>0</v>
      </c>
      <c r="I1315" s="285">
        <v>0</v>
      </c>
      <c r="J1315" s="285">
        <v>30</v>
      </c>
      <c r="K1315" s="284">
        <v>0</v>
      </c>
      <c r="L1315" s="284">
        <v>0</v>
      </c>
      <c r="M1315" s="284">
        <v>0</v>
      </c>
      <c r="N1315" s="284">
        <v>35</v>
      </c>
      <c r="O1315" s="284">
        <v>0</v>
      </c>
      <c r="P1315" s="284">
        <v>80</v>
      </c>
      <c r="Q1315" s="286">
        <v>3</v>
      </c>
      <c r="R1315" s="274">
        <v>191</v>
      </c>
      <c r="S1315" s="274">
        <v>3</v>
      </c>
      <c r="T1315" s="287">
        <f t="shared" si="20"/>
        <v>2016</v>
      </c>
      <c r="U1315" s="274">
        <f>VLOOKUP(A1315,'[1]SB35 Determination Data'!$B$4:$F$542,5,FALSE)</f>
        <v>2016</v>
      </c>
    </row>
    <row r="1316" spans="1:21" s="274" customFormat="1" ht="12.75" x14ac:dyDescent="0.2">
      <c r="A1316" s="282" t="s">
        <v>690</v>
      </c>
      <c r="B1316" s="282" t="s">
        <v>403</v>
      </c>
      <c r="C1316" s="282" t="s">
        <v>531</v>
      </c>
      <c r="D1316" s="283">
        <v>2016</v>
      </c>
      <c r="E1316" s="282" t="s">
        <v>650</v>
      </c>
      <c r="F1316" s="284">
        <v>46</v>
      </c>
      <c r="G1316" s="285">
        <v>0</v>
      </c>
      <c r="H1316" s="288">
        <v>0</v>
      </c>
      <c r="I1316" s="285">
        <v>0</v>
      </c>
      <c r="J1316" s="285">
        <v>30</v>
      </c>
      <c r="K1316" s="284">
        <v>0</v>
      </c>
      <c r="L1316" s="284">
        <v>0</v>
      </c>
      <c r="M1316" s="284">
        <v>0</v>
      </c>
      <c r="N1316" s="284">
        <v>35</v>
      </c>
      <c r="O1316" s="284">
        <v>0</v>
      </c>
      <c r="P1316" s="284">
        <v>80</v>
      </c>
      <c r="Q1316" s="286">
        <v>83</v>
      </c>
      <c r="R1316" s="274">
        <v>191</v>
      </c>
      <c r="S1316" s="274">
        <v>83</v>
      </c>
      <c r="T1316" s="287">
        <f t="shared" si="20"/>
        <v>2016</v>
      </c>
      <c r="U1316" s="274">
        <f>VLOOKUP(A1316,'[1]SB35 Determination Data'!$B$4:$F$542,5,FALSE)</f>
        <v>2016</v>
      </c>
    </row>
    <row r="1317" spans="1:21" s="274" customFormat="1" ht="12.75" x14ac:dyDescent="0.2">
      <c r="A1317" s="282" t="s">
        <v>690</v>
      </c>
      <c r="B1317" s="282" t="s">
        <v>403</v>
      </c>
      <c r="C1317" s="282" t="s">
        <v>531</v>
      </c>
      <c r="D1317" s="283">
        <v>2017</v>
      </c>
      <c r="E1317" s="282" t="s">
        <v>650</v>
      </c>
      <c r="F1317" s="284">
        <v>46</v>
      </c>
      <c r="G1317" s="285">
        <v>0</v>
      </c>
      <c r="H1317" s="288">
        <v>0</v>
      </c>
      <c r="I1317" s="285">
        <v>0</v>
      </c>
      <c r="J1317" s="285">
        <v>30</v>
      </c>
      <c r="K1317" s="284">
        <v>0</v>
      </c>
      <c r="L1317" s="284">
        <v>0</v>
      </c>
      <c r="M1317" s="284">
        <v>0</v>
      </c>
      <c r="N1317" s="289">
        <v>35</v>
      </c>
      <c r="O1317" s="284">
        <v>0</v>
      </c>
      <c r="P1317" s="284">
        <v>80</v>
      </c>
      <c r="Q1317" s="286">
        <v>79</v>
      </c>
      <c r="R1317" s="274">
        <v>191</v>
      </c>
      <c r="S1317" s="274">
        <v>79</v>
      </c>
      <c r="T1317" s="287">
        <f t="shared" si="20"/>
        <v>2017</v>
      </c>
      <c r="U1317" s="274">
        <f>VLOOKUP(A1317,'[1]SB35 Determination Data'!$B$4:$F$542,5,FALSE)</f>
        <v>2016</v>
      </c>
    </row>
    <row r="1318" spans="1:21" s="274" customFormat="1" ht="12.75" x14ac:dyDescent="0.2">
      <c r="A1318" s="282" t="s">
        <v>692</v>
      </c>
      <c r="B1318" s="282" t="s">
        <v>602</v>
      </c>
      <c r="C1318" s="282" t="s">
        <v>732</v>
      </c>
      <c r="D1318" s="283">
        <v>2015</v>
      </c>
      <c r="E1318" s="282" t="s">
        <v>650</v>
      </c>
      <c r="F1318" s="284">
        <v>42</v>
      </c>
      <c r="G1318" s="285">
        <v>0</v>
      </c>
      <c r="H1318" s="288">
        <v>0</v>
      </c>
      <c r="I1318" s="285">
        <v>0</v>
      </c>
      <c r="J1318" s="285">
        <v>28</v>
      </c>
      <c r="K1318" s="284">
        <v>0</v>
      </c>
      <c r="L1318" s="284">
        <v>0</v>
      </c>
      <c r="M1318" s="284">
        <v>0</v>
      </c>
      <c r="N1318" s="284">
        <v>30</v>
      </c>
      <c r="O1318" s="284">
        <v>0</v>
      </c>
      <c r="P1318" s="284">
        <v>75</v>
      </c>
      <c r="Q1318" s="286">
        <v>35</v>
      </c>
      <c r="R1318" s="274">
        <v>175</v>
      </c>
      <c r="S1318" s="274">
        <v>35</v>
      </c>
      <c r="T1318" s="287">
        <f t="shared" si="20"/>
        <v>2015</v>
      </c>
      <c r="U1318" s="274">
        <f>VLOOKUP(A1318,'[1]SB35 Determination Data'!$B$4:$F$542,5,FALSE)</f>
        <v>2015</v>
      </c>
    </row>
    <row r="1319" spans="1:21" s="274" customFormat="1" ht="12.75" x14ac:dyDescent="0.2">
      <c r="A1319" s="282" t="s">
        <v>692</v>
      </c>
      <c r="B1319" s="282" t="s">
        <v>602</v>
      </c>
      <c r="C1319" s="282" t="s">
        <v>732</v>
      </c>
      <c r="D1319" s="283">
        <v>2016</v>
      </c>
      <c r="E1319" s="282" t="s">
        <v>650</v>
      </c>
      <c r="F1319" s="284">
        <v>42</v>
      </c>
      <c r="G1319" s="285">
        <v>35</v>
      </c>
      <c r="H1319" s="288">
        <v>35</v>
      </c>
      <c r="I1319" s="285">
        <v>0</v>
      </c>
      <c r="J1319" s="285">
        <v>28</v>
      </c>
      <c r="K1319" s="284">
        <v>10</v>
      </c>
      <c r="L1319" s="284">
        <v>10</v>
      </c>
      <c r="M1319" s="284">
        <v>0</v>
      </c>
      <c r="N1319" s="289">
        <v>30</v>
      </c>
      <c r="O1319" s="284">
        <v>0</v>
      </c>
      <c r="P1319" s="284">
        <v>75</v>
      </c>
      <c r="Q1319" s="286">
        <v>23</v>
      </c>
      <c r="R1319" s="274">
        <v>175</v>
      </c>
      <c r="S1319" s="274">
        <v>68</v>
      </c>
      <c r="T1319" s="287">
        <f t="shared" si="20"/>
        <v>2016</v>
      </c>
      <c r="U1319" s="274">
        <f>VLOOKUP(A1319,'[1]SB35 Determination Data'!$B$4:$F$542,5,FALSE)</f>
        <v>2015</v>
      </c>
    </row>
    <row r="1320" spans="1:21" s="274" customFormat="1" ht="12.75" x14ac:dyDescent="0.2">
      <c r="A1320" s="282" t="s">
        <v>692</v>
      </c>
      <c r="B1320" s="282" t="s">
        <v>602</v>
      </c>
      <c r="C1320" s="282" t="s">
        <v>732</v>
      </c>
      <c r="D1320" s="283">
        <v>2017</v>
      </c>
      <c r="E1320" s="282" t="s">
        <v>650</v>
      </c>
      <c r="F1320" s="284">
        <v>42</v>
      </c>
      <c r="G1320" s="285">
        <v>0</v>
      </c>
      <c r="H1320" s="288">
        <v>0</v>
      </c>
      <c r="I1320" s="285">
        <v>0</v>
      </c>
      <c r="J1320" s="285">
        <v>28</v>
      </c>
      <c r="K1320" s="284">
        <v>0</v>
      </c>
      <c r="L1320" s="284">
        <v>0</v>
      </c>
      <c r="M1320" s="284">
        <v>0</v>
      </c>
      <c r="N1320" s="284">
        <v>30</v>
      </c>
      <c r="O1320" s="284">
        <v>1</v>
      </c>
      <c r="P1320" s="284">
        <v>75</v>
      </c>
      <c r="Q1320" s="286">
        <v>23</v>
      </c>
      <c r="R1320" s="274">
        <v>175</v>
      </c>
      <c r="S1320" s="274">
        <v>24</v>
      </c>
      <c r="T1320" s="287">
        <f t="shared" si="20"/>
        <v>2017</v>
      </c>
      <c r="U1320" s="274">
        <f>VLOOKUP(A1320,'[1]SB35 Determination Data'!$B$4:$F$542,5,FALSE)</f>
        <v>2015</v>
      </c>
    </row>
    <row r="1321" spans="1:21" s="274" customFormat="1" ht="12.75" x14ac:dyDescent="0.2">
      <c r="A1321" s="282" t="s">
        <v>669</v>
      </c>
      <c r="B1321" s="282" t="s">
        <v>669</v>
      </c>
      <c r="C1321" s="282" t="s">
        <v>654</v>
      </c>
      <c r="D1321" s="283">
        <v>2016</v>
      </c>
      <c r="E1321" s="282" t="s">
        <v>650</v>
      </c>
      <c r="F1321" s="284">
        <v>24</v>
      </c>
      <c r="G1321" s="285">
        <v>0</v>
      </c>
      <c r="H1321" s="288">
        <v>0</v>
      </c>
      <c r="I1321" s="285">
        <v>0</v>
      </c>
      <c r="J1321" s="285">
        <v>23</v>
      </c>
      <c r="K1321" s="284">
        <v>0</v>
      </c>
      <c r="L1321" s="284">
        <v>0</v>
      </c>
      <c r="M1321" s="284">
        <v>0</v>
      </c>
      <c r="N1321" s="284">
        <v>27</v>
      </c>
      <c r="O1321" s="284">
        <v>0</v>
      </c>
      <c r="P1321" s="284">
        <v>63</v>
      </c>
      <c r="Q1321" s="286">
        <v>12</v>
      </c>
      <c r="R1321" s="274">
        <v>137</v>
      </c>
      <c r="S1321" s="274">
        <v>12</v>
      </c>
      <c r="T1321" s="287">
        <f t="shared" si="20"/>
        <v>2016</v>
      </c>
      <c r="U1321" s="274">
        <f>VLOOKUP(A1321,'[1]SB35 Determination Data'!$B$4:$F$542,5,FALSE)</f>
        <v>2015</v>
      </c>
    </row>
    <row r="1322" spans="1:21" s="274" customFormat="1" ht="12.75" x14ac:dyDescent="0.2">
      <c r="A1322" s="282" t="s">
        <v>669</v>
      </c>
      <c r="B1322" s="282" t="s">
        <v>669</v>
      </c>
      <c r="C1322" s="282" t="s">
        <v>654</v>
      </c>
      <c r="D1322" s="283">
        <v>2017</v>
      </c>
      <c r="E1322" s="282" t="s">
        <v>650</v>
      </c>
      <c r="F1322" s="284">
        <v>24</v>
      </c>
      <c r="G1322" s="285">
        <v>0</v>
      </c>
      <c r="H1322" s="288">
        <v>0</v>
      </c>
      <c r="I1322" s="285">
        <v>0</v>
      </c>
      <c r="J1322" s="285">
        <v>23</v>
      </c>
      <c r="K1322" s="284">
        <v>0</v>
      </c>
      <c r="L1322" s="284">
        <v>0</v>
      </c>
      <c r="M1322" s="284">
        <v>0</v>
      </c>
      <c r="N1322" s="284">
        <v>27</v>
      </c>
      <c r="O1322" s="284">
        <v>1</v>
      </c>
      <c r="P1322" s="284">
        <v>63</v>
      </c>
      <c r="Q1322" s="286">
        <v>9</v>
      </c>
      <c r="R1322" s="274">
        <v>137</v>
      </c>
      <c r="S1322" s="274">
        <v>10</v>
      </c>
      <c r="T1322" s="287">
        <f t="shared" si="20"/>
        <v>2017</v>
      </c>
      <c r="U1322" s="274">
        <f>VLOOKUP(A1322,'[1]SB35 Determination Data'!$B$4:$F$542,5,FALSE)</f>
        <v>2015</v>
      </c>
    </row>
    <row r="1323" spans="1:21" s="274" customFormat="1" ht="12.75" x14ac:dyDescent="0.2">
      <c r="A1323" s="282" t="s">
        <v>694</v>
      </c>
      <c r="B1323" s="282" t="s">
        <v>669</v>
      </c>
      <c r="C1323" s="282" t="s">
        <v>654</v>
      </c>
      <c r="D1323" s="283">
        <v>2014</v>
      </c>
      <c r="E1323" s="282" t="s">
        <v>650</v>
      </c>
      <c r="F1323" s="284">
        <v>126</v>
      </c>
      <c r="G1323" s="285">
        <v>1</v>
      </c>
      <c r="H1323" s="288">
        <v>1</v>
      </c>
      <c r="I1323" s="285">
        <v>0</v>
      </c>
      <c r="J1323" s="285">
        <v>37</v>
      </c>
      <c r="K1323" s="284">
        <v>7</v>
      </c>
      <c r="L1323" s="284">
        <v>7</v>
      </c>
      <c r="M1323" s="284">
        <v>0</v>
      </c>
      <c r="N1323" s="284">
        <v>160</v>
      </c>
      <c r="O1323" s="284">
        <v>32</v>
      </c>
      <c r="P1323" s="284">
        <v>192</v>
      </c>
      <c r="Q1323" s="286">
        <v>51</v>
      </c>
      <c r="R1323" s="274">
        <v>515</v>
      </c>
      <c r="S1323" s="274">
        <v>91</v>
      </c>
      <c r="T1323" s="287">
        <f t="shared" si="20"/>
        <v>2015</v>
      </c>
      <c r="U1323" s="274">
        <f>VLOOKUP(A1323,'[1]SB35 Determination Data'!$B$4:$F$542,5,FALSE)</f>
        <v>2015</v>
      </c>
    </row>
    <row r="1324" spans="1:21" s="274" customFormat="1" ht="12.75" x14ac:dyDescent="0.2">
      <c r="A1324" s="282" t="s">
        <v>694</v>
      </c>
      <c r="B1324" s="282" t="s">
        <v>669</v>
      </c>
      <c r="C1324" s="282" t="s">
        <v>654</v>
      </c>
      <c r="D1324" s="283">
        <v>2015</v>
      </c>
      <c r="E1324" s="282" t="s">
        <v>650</v>
      </c>
      <c r="F1324" s="284">
        <v>126</v>
      </c>
      <c r="G1324" s="285">
        <v>24</v>
      </c>
      <c r="H1324" s="288">
        <v>24</v>
      </c>
      <c r="I1324" s="285">
        <v>0</v>
      </c>
      <c r="J1324" s="285">
        <v>37</v>
      </c>
      <c r="K1324" s="284">
        <v>46</v>
      </c>
      <c r="L1324" s="284">
        <v>46</v>
      </c>
      <c r="M1324" s="284">
        <v>0</v>
      </c>
      <c r="N1324" s="289">
        <v>160</v>
      </c>
      <c r="O1324" s="284">
        <v>44</v>
      </c>
      <c r="P1324" s="284">
        <v>192</v>
      </c>
      <c r="Q1324" s="286">
        <v>79</v>
      </c>
      <c r="R1324" s="274">
        <v>515</v>
      </c>
      <c r="S1324" s="274">
        <v>193</v>
      </c>
      <c r="T1324" s="287">
        <f t="shared" si="20"/>
        <v>2015</v>
      </c>
      <c r="U1324" s="274">
        <f>VLOOKUP(A1324,'[1]SB35 Determination Data'!$B$4:$F$542,5,FALSE)</f>
        <v>2015</v>
      </c>
    </row>
    <row r="1325" spans="1:21" s="274" customFormat="1" ht="12.75" x14ac:dyDescent="0.2">
      <c r="A1325" s="282" t="s">
        <v>694</v>
      </c>
      <c r="B1325" s="282" t="s">
        <v>669</v>
      </c>
      <c r="C1325" s="282" t="s">
        <v>654</v>
      </c>
      <c r="D1325" s="283">
        <v>2016</v>
      </c>
      <c r="E1325" s="282" t="s">
        <v>650</v>
      </c>
      <c r="F1325" s="284">
        <v>126</v>
      </c>
      <c r="G1325" s="285">
        <v>78</v>
      </c>
      <c r="H1325" s="288">
        <v>78</v>
      </c>
      <c r="I1325" s="285">
        <v>0</v>
      </c>
      <c r="J1325" s="285">
        <v>37</v>
      </c>
      <c r="K1325" s="284">
        <v>18</v>
      </c>
      <c r="L1325" s="284">
        <v>17</v>
      </c>
      <c r="M1325" s="284">
        <v>1</v>
      </c>
      <c r="N1325" s="284">
        <v>160</v>
      </c>
      <c r="O1325" s="284">
        <v>55</v>
      </c>
      <c r="P1325" s="284">
        <v>192</v>
      </c>
      <c r="Q1325" s="286">
        <v>154</v>
      </c>
      <c r="R1325" s="274">
        <v>515</v>
      </c>
      <c r="S1325" s="274">
        <v>305</v>
      </c>
      <c r="T1325" s="287">
        <f t="shared" si="20"/>
        <v>2016</v>
      </c>
      <c r="U1325" s="274">
        <f>VLOOKUP(A1325,'[1]SB35 Determination Data'!$B$4:$F$542,5,FALSE)</f>
        <v>2015</v>
      </c>
    </row>
    <row r="1326" spans="1:21" s="274" customFormat="1" ht="12.75" x14ac:dyDescent="0.2">
      <c r="A1326" s="282" t="s">
        <v>694</v>
      </c>
      <c r="B1326" s="282" t="s">
        <v>669</v>
      </c>
      <c r="C1326" s="282" t="s">
        <v>654</v>
      </c>
      <c r="D1326" s="283">
        <v>2017</v>
      </c>
      <c r="E1326" s="282" t="s">
        <v>650</v>
      </c>
      <c r="F1326" s="284">
        <v>126</v>
      </c>
      <c r="G1326" s="285">
        <v>0</v>
      </c>
      <c r="H1326" s="288">
        <v>0</v>
      </c>
      <c r="I1326" s="285">
        <v>0</v>
      </c>
      <c r="J1326" s="285">
        <v>37</v>
      </c>
      <c r="K1326" s="284">
        <v>10</v>
      </c>
      <c r="L1326" s="284">
        <v>10</v>
      </c>
      <c r="M1326" s="284">
        <v>0</v>
      </c>
      <c r="N1326" s="284">
        <v>160</v>
      </c>
      <c r="O1326" s="284">
        <v>57</v>
      </c>
      <c r="P1326" s="284">
        <v>192</v>
      </c>
      <c r="Q1326" s="286">
        <v>168</v>
      </c>
      <c r="R1326" s="274">
        <v>515</v>
      </c>
      <c r="S1326" s="274">
        <v>235</v>
      </c>
      <c r="T1326" s="287">
        <f t="shared" si="20"/>
        <v>2017</v>
      </c>
      <c r="U1326" s="274">
        <f>VLOOKUP(A1326,'[1]SB35 Determination Data'!$B$4:$F$542,5,FALSE)</f>
        <v>2015</v>
      </c>
    </row>
    <row r="1327" spans="1:21" s="274" customFormat="1" ht="12.75" x14ac:dyDescent="0.2">
      <c r="A1327" s="282" t="s">
        <v>695</v>
      </c>
      <c r="B1327" s="282" t="s">
        <v>733</v>
      </c>
      <c r="C1327" s="282" t="s">
        <v>660</v>
      </c>
      <c r="D1327" s="283">
        <v>2014</v>
      </c>
      <c r="E1327" s="282" t="s">
        <v>650</v>
      </c>
      <c r="F1327" s="284">
        <v>23</v>
      </c>
      <c r="G1327" s="285">
        <v>0</v>
      </c>
      <c r="H1327" s="288">
        <v>0</v>
      </c>
      <c r="I1327" s="285">
        <v>0</v>
      </c>
      <c r="J1327" s="285">
        <v>16</v>
      </c>
      <c r="K1327" s="284">
        <v>1</v>
      </c>
      <c r="L1327" s="284">
        <v>0</v>
      </c>
      <c r="M1327" s="284">
        <v>1</v>
      </c>
      <c r="N1327" s="284">
        <v>19</v>
      </c>
      <c r="O1327" s="284">
        <v>2</v>
      </c>
      <c r="P1327" s="284">
        <v>42</v>
      </c>
      <c r="Q1327" s="286">
        <v>0</v>
      </c>
      <c r="R1327" s="274">
        <v>100</v>
      </c>
      <c r="S1327" s="274">
        <v>3</v>
      </c>
      <c r="T1327" s="287">
        <f t="shared" si="20"/>
        <v>2014</v>
      </c>
      <c r="U1327" s="274">
        <f>VLOOKUP(A1327,'[1]SB35 Determination Data'!$B$4:$F$542,5,FALSE)</f>
        <v>2014</v>
      </c>
    </row>
    <row r="1328" spans="1:21" s="274" customFormat="1" ht="12.75" x14ac:dyDescent="0.2">
      <c r="A1328" s="282" t="s">
        <v>695</v>
      </c>
      <c r="B1328" s="282" t="s">
        <v>733</v>
      </c>
      <c r="C1328" s="282" t="s">
        <v>660</v>
      </c>
      <c r="D1328" s="283">
        <v>2015</v>
      </c>
      <c r="E1328" s="282" t="s">
        <v>650</v>
      </c>
      <c r="F1328" s="284">
        <v>23</v>
      </c>
      <c r="G1328" s="285">
        <v>0</v>
      </c>
      <c r="H1328" s="288">
        <v>0</v>
      </c>
      <c r="I1328" s="285">
        <v>0</v>
      </c>
      <c r="J1328" s="285">
        <v>16</v>
      </c>
      <c r="K1328" s="284">
        <v>1</v>
      </c>
      <c r="L1328" s="284">
        <v>0</v>
      </c>
      <c r="M1328" s="284">
        <v>1</v>
      </c>
      <c r="N1328" s="284">
        <v>19</v>
      </c>
      <c r="O1328" s="284">
        <v>2</v>
      </c>
      <c r="P1328" s="284">
        <v>42</v>
      </c>
      <c r="Q1328" s="286">
        <v>0</v>
      </c>
      <c r="R1328" s="274">
        <v>100</v>
      </c>
      <c r="S1328" s="274">
        <v>3</v>
      </c>
      <c r="T1328" s="287">
        <f t="shared" si="20"/>
        <v>2015</v>
      </c>
      <c r="U1328" s="274">
        <f>VLOOKUP(A1328,'[1]SB35 Determination Data'!$B$4:$F$542,5,FALSE)</f>
        <v>2014</v>
      </c>
    </row>
    <row r="1329" spans="1:21" s="274" customFormat="1" ht="12.75" x14ac:dyDescent="0.2">
      <c r="A1329" s="282" t="s">
        <v>695</v>
      </c>
      <c r="B1329" s="282" t="s">
        <v>733</v>
      </c>
      <c r="C1329" s="282" t="s">
        <v>660</v>
      </c>
      <c r="D1329" s="283">
        <v>2016</v>
      </c>
      <c r="E1329" s="282" t="s">
        <v>650</v>
      </c>
      <c r="F1329" s="284">
        <v>23</v>
      </c>
      <c r="G1329" s="285">
        <v>0</v>
      </c>
      <c r="H1329" s="288">
        <v>0</v>
      </c>
      <c r="I1329" s="285">
        <v>0</v>
      </c>
      <c r="J1329" s="285">
        <v>16</v>
      </c>
      <c r="K1329" s="284">
        <v>8</v>
      </c>
      <c r="L1329" s="284">
        <v>8</v>
      </c>
      <c r="M1329" s="284">
        <v>0</v>
      </c>
      <c r="N1329" s="284">
        <v>19</v>
      </c>
      <c r="O1329" s="284">
        <v>2</v>
      </c>
      <c r="P1329" s="284">
        <v>42</v>
      </c>
      <c r="Q1329" s="286">
        <v>4</v>
      </c>
      <c r="R1329" s="274">
        <v>100</v>
      </c>
      <c r="S1329" s="274">
        <v>14</v>
      </c>
      <c r="T1329" s="287">
        <f t="shared" si="20"/>
        <v>2016</v>
      </c>
      <c r="U1329" s="274">
        <f>VLOOKUP(A1329,'[1]SB35 Determination Data'!$B$4:$F$542,5,FALSE)</f>
        <v>2014</v>
      </c>
    </row>
    <row r="1330" spans="1:21" s="274" customFormat="1" ht="12.75" x14ac:dyDescent="0.2">
      <c r="A1330" s="282" t="s">
        <v>695</v>
      </c>
      <c r="B1330" s="282" t="s">
        <v>733</v>
      </c>
      <c r="C1330" s="282" t="s">
        <v>660</v>
      </c>
      <c r="D1330" s="283">
        <v>2017</v>
      </c>
      <c r="E1330" s="282" t="s">
        <v>650</v>
      </c>
      <c r="F1330" s="284">
        <v>23</v>
      </c>
      <c r="G1330" s="285">
        <v>0</v>
      </c>
      <c r="H1330" s="288">
        <v>0</v>
      </c>
      <c r="I1330" s="285">
        <v>0</v>
      </c>
      <c r="J1330" s="285">
        <v>16</v>
      </c>
      <c r="K1330" s="284">
        <v>0</v>
      </c>
      <c r="L1330" s="284">
        <v>0</v>
      </c>
      <c r="M1330" s="284">
        <v>0</v>
      </c>
      <c r="N1330" s="284">
        <v>19</v>
      </c>
      <c r="O1330" s="284">
        <v>1</v>
      </c>
      <c r="P1330" s="284">
        <v>42</v>
      </c>
      <c r="Q1330" s="286">
        <v>0</v>
      </c>
      <c r="R1330" s="274">
        <v>100</v>
      </c>
      <c r="S1330" s="274">
        <v>1</v>
      </c>
      <c r="T1330" s="287">
        <f t="shared" si="20"/>
        <v>2017</v>
      </c>
      <c r="U1330" s="274">
        <f>VLOOKUP(A1330,'[1]SB35 Determination Data'!$B$4:$F$542,5,FALSE)</f>
        <v>2014</v>
      </c>
    </row>
    <row r="1331" spans="1:21" s="274" customFormat="1" ht="12.75" x14ac:dyDescent="0.2">
      <c r="A1331" s="282" t="s">
        <v>509</v>
      </c>
      <c r="B1331" s="282" t="s">
        <v>262</v>
      </c>
      <c r="C1331" s="282" t="s">
        <v>649</v>
      </c>
      <c r="D1331" s="283">
        <v>2014</v>
      </c>
      <c r="E1331" s="282" t="s">
        <v>650</v>
      </c>
      <c r="F1331" s="284">
        <v>43</v>
      </c>
      <c r="G1331" s="285">
        <v>0</v>
      </c>
      <c r="H1331" s="288">
        <v>0</v>
      </c>
      <c r="I1331" s="285">
        <v>0</v>
      </c>
      <c r="J1331" s="285">
        <v>25</v>
      </c>
      <c r="K1331" s="284">
        <v>4</v>
      </c>
      <c r="L1331" s="284">
        <v>0</v>
      </c>
      <c r="M1331" s="284">
        <v>4</v>
      </c>
      <c r="N1331" s="284">
        <v>28</v>
      </c>
      <c r="O1331" s="284">
        <v>0</v>
      </c>
      <c r="P1331" s="284">
        <v>76</v>
      </c>
      <c r="Q1331" s="286">
        <v>76</v>
      </c>
      <c r="R1331" s="274">
        <v>172</v>
      </c>
      <c r="S1331" s="274">
        <v>80</v>
      </c>
      <c r="T1331" s="287">
        <f t="shared" si="20"/>
        <v>2014</v>
      </c>
      <c r="U1331" s="274">
        <f>VLOOKUP(A1331,'[1]SB35 Determination Data'!$B$4:$F$542,5,FALSE)</f>
        <v>2014</v>
      </c>
    </row>
    <row r="1332" spans="1:21" s="274" customFormat="1" ht="12.75" x14ac:dyDescent="0.2">
      <c r="A1332" s="282" t="s">
        <v>509</v>
      </c>
      <c r="B1332" s="282" t="s">
        <v>262</v>
      </c>
      <c r="C1332" s="282" t="s">
        <v>649</v>
      </c>
      <c r="D1332" s="283">
        <v>2015</v>
      </c>
      <c r="E1332" s="282" t="s">
        <v>650</v>
      </c>
      <c r="F1332" s="284">
        <v>43</v>
      </c>
      <c r="G1332" s="285">
        <v>0</v>
      </c>
      <c r="H1332" s="288">
        <v>0</v>
      </c>
      <c r="I1332" s="285">
        <v>0</v>
      </c>
      <c r="J1332" s="285">
        <v>25</v>
      </c>
      <c r="K1332" s="284">
        <v>2</v>
      </c>
      <c r="L1332" s="284">
        <v>0</v>
      </c>
      <c r="M1332" s="284">
        <v>2</v>
      </c>
      <c r="N1332" s="284">
        <v>28</v>
      </c>
      <c r="O1332" s="284">
        <v>0</v>
      </c>
      <c r="P1332" s="284">
        <v>76</v>
      </c>
      <c r="Q1332" s="286">
        <v>33</v>
      </c>
      <c r="R1332" s="274">
        <v>172</v>
      </c>
      <c r="S1332" s="274">
        <v>35</v>
      </c>
      <c r="T1332" s="287">
        <f t="shared" si="20"/>
        <v>2015</v>
      </c>
      <c r="U1332" s="274">
        <f>VLOOKUP(A1332,'[1]SB35 Determination Data'!$B$4:$F$542,5,FALSE)</f>
        <v>2014</v>
      </c>
    </row>
    <row r="1333" spans="1:21" s="274" customFormat="1" ht="12.75" x14ac:dyDescent="0.2">
      <c r="A1333" s="282" t="s">
        <v>509</v>
      </c>
      <c r="B1333" s="282" t="s">
        <v>262</v>
      </c>
      <c r="C1333" s="282" t="s">
        <v>649</v>
      </c>
      <c r="D1333" s="283">
        <v>2016</v>
      </c>
      <c r="E1333" s="282" t="s">
        <v>650</v>
      </c>
      <c r="F1333" s="284">
        <v>43</v>
      </c>
      <c r="G1333" s="285">
        <v>0</v>
      </c>
      <c r="H1333" s="288">
        <v>0</v>
      </c>
      <c r="I1333" s="285">
        <v>0</v>
      </c>
      <c r="J1333" s="285">
        <v>25</v>
      </c>
      <c r="K1333" s="284">
        <v>6</v>
      </c>
      <c r="L1333" s="284">
        <v>0</v>
      </c>
      <c r="M1333" s="284">
        <v>6</v>
      </c>
      <c r="N1333" s="284">
        <v>28</v>
      </c>
      <c r="O1333" s="284">
        <v>0</v>
      </c>
      <c r="P1333" s="284">
        <v>76</v>
      </c>
      <c r="Q1333" s="286">
        <v>25</v>
      </c>
      <c r="R1333" s="274">
        <v>172</v>
      </c>
      <c r="S1333" s="274">
        <v>31</v>
      </c>
      <c r="T1333" s="287">
        <f t="shared" si="20"/>
        <v>2016</v>
      </c>
      <c r="U1333" s="274">
        <f>VLOOKUP(A1333,'[1]SB35 Determination Data'!$B$4:$F$542,5,FALSE)</f>
        <v>2014</v>
      </c>
    </row>
    <row r="1334" spans="1:21" s="274" customFormat="1" ht="12.75" x14ac:dyDescent="0.2">
      <c r="A1334" s="282" t="s">
        <v>509</v>
      </c>
      <c r="B1334" s="282" t="s">
        <v>262</v>
      </c>
      <c r="C1334" s="282" t="s">
        <v>649</v>
      </c>
      <c r="D1334" s="283">
        <v>2017</v>
      </c>
      <c r="E1334" s="282" t="s">
        <v>650</v>
      </c>
      <c r="F1334" s="284">
        <v>43</v>
      </c>
      <c r="G1334" s="285">
        <v>0</v>
      </c>
      <c r="H1334" s="288">
        <v>0</v>
      </c>
      <c r="I1334" s="285">
        <v>0</v>
      </c>
      <c r="J1334" s="285">
        <v>25</v>
      </c>
      <c r="K1334" s="284">
        <v>1</v>
      </c>
      <c r="L1334" s="284">
        <v>0</v>
      </c>
      <c r="M1334" s="284">
        <v>1</v>
      </c>
      <c r="N1334" s="289">
        <v>28</v>
      </c>
      <c r="O1334" s="284">
        <v>0</v>
      </c>
      <c r="P1334" s="284">
        <v>76</v>
      </c>
      <c r="Q1334" s="286">
        <v>1</v>
      </c>
      <c r="R1334" s="274">
        <v>172</v>
      </c>
      <c r="S1334" s="274">
        <v>2</v>
      </c>
      <c r="T1334" s="287">
        <f t="shared" si="20"/>
        <v>2017</v>
      </c>
      <c r="U1334" s="274">
        <f>VLOOKUP(A1334,'[1]SB35 Determination Data'!$B$4:$F$542,5,FALSE)</f>
        <v>2014</v>
      </c>
    </row>
    <row r="1335" spans="1:21" s="274" customFormat="1" ht="12.75" x14ac:dyDescent="0.2">
      <c r="A1335" s="282" t="s">
        <v>510</v>
      </c>
      <c r="B1335" s="282" t="s">
        <v>262</v>
      </c>
      <c r="C1335" s="282" t="s">
        <v>649</v>
      </c>
      <c r="D1335" s="283">
        <v>2014</v>
      </c>
      <c r="E1335" s="282" t="s">
        <v>650</v>
      </c>
      <c r="F1335" s="284">
        <v>314</v>
      </c>
      <c r="G1335" s="285">
        <v>22</v>
      </c>
      <c r="H1335" s="288">
        <v>22</v>
      </c>
      <c r="I1335" s="285">
        <v>0</v>
      </c>
      <c r="J1335" s="285">
        <v>185</v>
      </c>
      <c r="K1335" s="284">
        <v>192</v>
      </c>
      <c r="L1335" s="284">
        <v>192</v>
      </c>
      <c r="M1335" s="284">
        <v>0</v>
      </c>
      <c r="N1335" s="284">
        <v>205</v>
      </c>
      <c r="O1335" s="284">
        <v>15</v>
      </c>
      <c r="P1335" s="284">
        <v>558</v>
      </c>
      <c r="Q1335" s="286">
        <v>6</v>
      </c>
      <c r="R1335" s="274">
        <v>1262</v>
      </c>
      <c r="S1335" s="274">
        <v>235</v>
      </c>
      <c r="T1335" s="287">
        <f t="shared" si="20"/>
        <v>2014</v>
      </c>
      <c r="U1335" s="274">
        <f>VLOOKUP(A1335,'[1]SB35 Determination Data'!$B$4:$F$542,5,FALSE)</f>
        <v>2014</v>
      </c>
    </row>
    <row r="1336" spans="1:21" s="274" customFormat="1" ht="12.75" x14ac:dyDescent="0.2">
      <c r="A1336" s="282" t="s">
        <v>510</v>
      </c>
      <c r="B1336" s="282" t="s">
        <v>262</v>
      </c>
      <c r="C1336" s="282" t="s">
        <v>649</v>
      </c>
      <c r="D1336" s="283">
        <v>2015</v>
      </c>
      <c r="E1336" s="282" t="s">
        <v>650</v>
      </c>
      <c r="F1336" s="284">
        <v>314</v>
      </c>
      <c r="G1336" s="285">
        <v>0</v>
      </c>
      <c r="H1336" s="288">
        <v>0</v>
      </c>
      <c r="I1336" s="285">
        <v>0</v>
      </c>
      <c r="J1336" s="285">
        <v>185</v>
      </c>
      <c r="K1336" s="284">
        <v>0</v>
      </c>
      <c r="L1336" s="284">
        <v>0</v>
      </c>
      <c r="M1336" s="284">
        <v>0</v>
      </c>
      <c r="N1336" s="289">
        <v>205</v>
      </c>
      <c r="O1336" s="284">
        <v>12</v>
      </c>
      <c r="P1336" s="284">
        <v>558</v>
      </c>
      <c r="Q1336" s="286">
        <v>3</v>
      </c>
      <c r="R1336" s="274">
        <v>1262</v>
      </c>
      <c r="S1336" s="274">
        <v>15</v>
      </c>
      <c r="T1336" s="287">
        <f t="shared" si="20"/>
        <v>2015</v>
      </c>
      <c r="U1336" s="274">
        <f>VLOOKUP(A1336,'[1]SB35 Determination Data'!$B$4:$F$542,5,FALSE)</f>
        <v>2014</v>
      </c>
    </row>
    <row r="1337" spans="1:21" s="274" customFormat="1" ht="12.75" x14ac:dyDescent="0.2">
      <c r="A1337" s="282" t="s">
        <v>510</v>
      </c>
      <c r="B1337" s="282" t="s">
        <v>262</v>
      </c>
      <c r="C1337" s="282" t="s">
        <v>649</v>
      </c>
      <c r="D1337" s="283">
        <v>2016</v>
      </c>
      <c r="E1337" s="282" t="s">
        <v>650</v>
      </c>
      <c r="F1337" s="284">
        <v>314</v>
      </c>
      <c r="G1337" s="285">
        <v>0</v>
      </c>
      <c r="H1337" s="288">
        <v>0</v>
      </c>
      <c r="I1337" s="285">
        <v>0</v>
      </c>
      <c r="J1337" s="285">
        <v>185</v>
      </c>
      <c r="K1337" s="284">
        <v>0</v>
      </c>
      <c r="L1337" s="284">
        <v>0</v>
      </c>
      <c r="M1337" s="284">
        <v>0</v>
      </c>
      <c r="N1337" s="284">
        <v>205</v>
      </c>
      <c r="O1337" s="284">
        <v>15</v>
      </c>
      <c r="P1337" s="284">
        <v>558</v>
      </c>
      <c r="Q1337" s="286">
        <v>4</v>
      </c>
      <c r="R1337" s="274">
        <v>1262</v>
      </c>
      <c r="S1337" s="274">
        <v>19</v>
      </c>
      <c r="T1337" s="287">
        <f t="shared" si="20"/>
        <v>2016</v>
      </c>
      <c r="U1337" s="274">
        <f>VLOOKUP(A1337,'[1]SB35 Determination Data'!$B$4:$F$542,5,FALSE)</f>
        <v>2014</v>
      </c>
    </row>
    <row r="1338" spans="1:21" s="274" customFormat="1" ht="12.75" x14ac:dyDescent="0.2">
      <c r="A1338" s="282" t="s">
        <v>510</v>
      </c>
      <c r="B1338" s="282" t="s">
        <v>262</v>
      </c>
      <c r="C1338" s="282" t="s">
        <v>649</v>
      </c>
      <c r="D1338" s="283">
        <v>2017</v>
      </c>
      <c r="E1338" s="282" t="s">
        <v>650</v>
      </c>
      <c r="F1338" s="284">
        <v>314</v>
      </c>
      <c r="G1338" s="285">
        <v>0</v>
      </c>
      <c r="H1338" s="288">
        <v>0</v>
      </c>
      <c r="I1338" s="285">
        <v>0</v>
      </c>
      <c r="J1338" s="285">
        <v>185</v>
      </c>
      <c r="K1338" s="284">
        <v>0</v>
      </c>
      <c r="L1338" s="284">
        <v>0</v>
      </c>
      <c r="M1338" s="284">
        <v>0</v>
      </c>
      <c r="N1338" s="284">
        <v>205</v>
      </c>
      <c r="O1338" s="284">
        <v>14</v>
      </c>
      <c r="P1338" s="284">
        <v>558</v>
      </c>
      <c r="Q1338" s="286">
        <v>4</v>
      </c>
      <c r="R1338" s="274">
        <v>1262</v>
      </c>
      <c r="S1338" s="274">
        <v>18</v>
      </c>
      <c r="T1338" s="287">
        <f t="shared" si="20"/>
        <v>2017</v>
      </c>
      <c r="U1338" s="274">
        <f>VLOOKUP(A1338,'[1]SB35 Determination Data'!$B$4:$F$542,5,FALSE)</f>
        <v>2014</v>
      </c>
    </row>
    <row r="1339" spans="1:21" s="274" customFormat="1" ht="12.75" x14ac:dyDescent="0.2">
      <c r="A1339" s="282" t="s">
        <v>347</v>
      </c>
      <c r="B1339" s="282" t="s">
        <v>123</v>
      </c>
      <c r="C1339" s="282" t="s">
        <v>717</v>
      </c>
      <c r="D1339" s="283">
        <v>2017</v>
      </c>
      <c r="E1339" s="282" t="s">
        <v>650</v>
      </c>
      <c r="F1339" s="284">
        <v>54</v>
      </c>
      <c r="G1339" s="285">
        <v>0</v>
      </c>
      <c r="H1339" s="288">
        <v>0</v>
      </c>
      <c r="I1339" s="285">
        <v>0</v>
      </c>
      <c r="J1339" s="285">
        <v>38</v>
      </c>
      <c r="K1339" s="284">
        <v>0</v>
      </c>
      <c r="L1339" s="284">
        <v>0</v>
      </c>
      <c r="M1339" s="284">
        <v>0</v>
      </c>
      <c r="N1339" s="284">
        <v>63</v>
      </c>
      <c r="O1339" s="284">
        <v>4</v>
      </c>
      <c r="P1339" s="284">
        <v>181</v>
      </c>
      <c r="Q1339" s="286">
        <v>35</v>
      </c>
      <c r="R1339" s="274">
        <v>336</v>
      </c>
      <c r="S1339" s="274">
        <v>39</v>
      </c>
      <c r="T1339" s="287">
        <f t="shared" si="20"/>
        <v>2017</v>
      </c>
      <c r="U1339" s="274">
        <f>VLOOKUP(A1339,'[1]SB35 Determination Data'!$B$4:$F$542,5,FALSE)</f>
        <v>2014</v>
      </c>
    </row>
    <row r="1340" spans="1:21" s="274" customFormat="1" ht="12.75" x14ac:dyDescent="0.2">
      <c r="A1340" s="282" t="s">
        <v>514</v>
      </c>
      <c r="B1340" s="282" t="s">
        <v>262</v>
      </c>
      <c r="C1340" s="282" t="s">
        <v>649</v>
      </c>
      <c r="D1340" s="283">
        <v>2014</v>
      </c>
      <c r="E1340" s="282" t="s">
        <v>650</v>
      </c>
      <c r="F1340" s="284">
        <v>17</v>
      </c>
      <c r="G1340" s="285">
        <v>0</v>
      </c>
      <c r="H1340" s="288">
        <v>0</v>
      </c>
      <c r="I1340" s="285">
        <v>0</v>
      </c>
      <c r="J1340" s="285">
        <v>10</v>
      </c>
      <c r="K1340" s="284">
        <v>0</v>
      </c>
      <c r="L1340" s="284">
        <v>0</v>
      </c>
      <c r="M1340" s="284">
        <v>0</v>
      </c>
      <c r="N1340" s="284">
        <v>11</v>
      </c>
      <c r="O1340" s="284">
        <v>0</v>
      </c>
      <c r="P1340" s="284">
        <v>25</v>
      </c>
      <c r="Q1340" s="286">
        <v>40</v>
      </c>
      <c r="R1340" s="274">
        <v>63</v>
      </c>
      <c r="S1340" s="274">
        <v>40</v>
      </c>
      <c r="T1340" s="287">
        <f t="shared" si="20"/>
        <v>2014</v>
      </c>
      <c r="U1340" s="274">
        <f>VLOOKUP(A1340,'[1]SB35 Determination Data'!$B$4:$F$542,5,FALSE)</f>
        <v>2014</v>
      </c>
    </row>
    <row r="1341" spans="1:21" s="274" customFormat="1" ht="12.75" x14ac:dyDescent="0.2">
      <c r="A1341" s="282" t="s">
        <v>514</v>
      </c>
      <c r="B1341" s="282" t="s">
        <v>262</v>
      </c>
      <c r="C1341" s="282" t="s">
        <v>649</v>
      </c>
      <c r="D1341" s="283">
        <v>2015</v>
      </c>
      <c r="E1341" s="282" t="s">
        <v>650</v>
      </c>
      <c r="F1341" s="284">
        <v>17</v>
      </c>
      <c r="G1341" s="285">
        <v>0</v>
      </c>
      <c r="H1341" s="288">
        <v>0</v>
      </c>
      <c r="I1341" s="285">
        <v>0</v>
      </c>
      <c r="J1341" s="285">
        <v>10</v>
      </c>
      <c r="K1341" s="284">
        <v>0</v>
      </c>
      <c r="L1341" s="284">
        <v>0</v>
      </c>
      <c r="M1341" s="284">
        <v>0</v>
      </c>
      <c r="N1341" s="289">
        <v>11</v>
      </c>
      <c r="O1341" s="284">
        <v>0</v>
      </c>
      <c r="P1341" s="284">
        <v>25</v>
      </c>
      <c r="Q1341" s="286">
        <v>6</v>
      </c>
      <c r="R1341" s="274">
        <v>63</v>
      </c>
      <c r="S1341" s="274">
        <v>6</v>
      </c>
      <c r="T1341" s="287">
        <f t="shared" si="20"/>
        <v>2015</v>
      </c>
      <c r="U1341" s="274">
        <f>VLOOKUP(A1341,'[1]SB35 Determination Data'!$B$4:$F$542,5,FALSE)</f>
        <v>2014</v>
      </c>
    </row>
    <row r="1342" spans="1:21" s="274" customFormat="1" ht="12.75" x14ac:dyDescent="0.2">
      <c r="A1342" s="282" t="s">
        <v>514</v>
      </c>
      <c r="B1342" s="282" t="s">
        <v>262</v>
      </c>
      <c r="C1342" s="282" t="s">
        <v>649</v>
      </c>
      <c r="D1342" s="283">
        <v>2016</v>
      </c>
      <c r="E1342" s="282" t="s">
        <v>650</v>
      </c>
      <c r="F1342" s="284">
        <v>17</v>
      </c>
      <c r="G1342" s="285">
        <v>0</v>
      </c>
      <c r="H1342" s="288">
        <v>0</v>
      </c>
      <c r="I1342" s="285">
        <v>0</v>
      </c>
      <c r="J1342" s="285">
        <v>10</v>
      </c>
      <c r="K1342" s="284">
        <v>0</v>
      </c>
      <c r="L1342" s="284">
        <v>0</v>
      </c>
      <c r="M1342" s="284">
        <v>0</v>
      </c>
      <c r="N1342" s="284">
        <v>11</v>
      </c>
      <c r="O1342" s="284">
        <v>0</v>
      </c>
      <c r="P1342" s="284">
        <v>25</v>
      </c>
      <c r="Q1342" s="286">
        <v>11</v>
      </c>
      <c r="R1342" s="274">
        <v>63</v>
      </c>
      <c r="S1342" s="274">
        <v>11</v>
      </c>
      <c r="T1342" s="287">
        <f t="shared" si="20"/>
        <v>2016</v>
      </c>
      <c r="U1342" s="274">
        <f>VLOOKUP(A1342,'[1]SB35 Determination Data'!$B$4:$F$542,5,FALSE)</f>
        <v>2014</v>
      </c>
    </row>
    <row r="1343" spans="1:21" s="274" customFormat="1" ht="12.75" x14ac:dyDescent="0.2">
      <c r="A1343" s="282" t="s">
        <v>514</v>
      </c>
      <c r="B1343" s="282" t="s">
        <v>262</v>
      </c>
      <c r="C1343" s="282" t="s">
        <v>649</v>
      </c>
      <c r="D1343" s="283">
        <v>2017</v>
      </c>
      <c r="E1343" s="282" t="s">
        <v>650</v>
      </c>
      <c r="F1343" s="284">
        <v>17</v>
      </c>
      <c r="G1343" s="285">
        <v>0</v>
      </c>
      <c r="H1343" s="288">
        <v>0</v>
      </c>
      <c r="I1343" s="285">
        <v>0</v>
      </c>
      <c r="J1343" s="285">
        <v>10</v>
      </c>
      <c r="K1343" s="284">
        <v>0</v>
      </c>
      <c r="L1343" s="284">
        <v>0</v>
      </c>
      <c r="M1343" s="284">
        <v>0</v>
      </c>
      <c r="N1343" s="284">
        <v>11</v>
      </c>
      <c r="O1343" s="284">
        <v>1</v>
      </c>
      <c r="P1343" s="284">
        <v>25</v>
      </c>
      <c r="Q1343" s="286">
        <v>18</v>
      </c>
      <c r="R1343" s="274">
        <v>63</v>
      </c>
      <c r="S1343" s="274">
        <v>19</v>
      </c>
      <c r="T1343" s="287">
        <f t="shared" si="20"/>
        <v>2017</v>
      </c>
      <c r="U1343" s="274">
        <f>VLOOKUP(A1343,'[1]SB35 Determination Data'!$B$4:$F$542,5,FALSE)</f>
        <v>2014</v>
      </c>
    </row>
    <row r="1344" spans="1:21" s="274" customFormat="1" ht="12.75" x14ac:dyDescent="0.2">
      <c r="A1344" s="282" t="s">
        <v>696</v>
      </c>
      <c r="B1344" s="282" t="s">
        <v>595</v>
      </c>
      <c r="C1344" s="282" t="s">
        <v>654</v>
      </c>
      <c r="D1344" s="283">
        <v>2015</v>
      </c>
      <c r="E1344" s="282" t="s">
        <v>650</v>
      </c>
      <c r="F1344" s="284">
        <v>565</v>
      </c>
      <c r="G1344" s="285">
        <v>0</v>
      </c>
      <c r="H1344" s="288">
        <v>0</v>
      </c>
      <c r="I1344" s="285">
        <v>0</v>
      </c>
      <c r="J1344" s="285">
        <v>281</v>
      </c>
      <c r="K1344" s="284">
        <v>3</v>
      </c>
      <c r="L1344" s="284">
        <v>3</v>
      </c>
      <c r="M1344" s="284">
        <v>0</v>
      </c>
      <c r="N1344" s="284">
        <v>313</v>
      </c>
      <c r="O1344" s="284">
        <v>10</v>
      </c>
      <c r="P1344" s="284">
        <v>705</v>
      </c>
      <c r="Q1344" s="286">
        <v>28</v>
      </c>
      <c r="R1344" s="274">
        <v>1864</v>
      </c>
      <c r="S1344" s="274">
        <v>41</v>
      </c>
      <c r="T1344" s="287">
        <f t="shared" si="20"/>
        <v>2015</v>
      </c>
      <c r="U1344" s="274">
        <f>VLOOKUP(A1344,'[1]SB35 Determination Data'!$B$4:$F$542,5,FALSE)</f>
        <v>2015</v>
      </c>
    </row>
    <row r="1345" spans="1:21" s="274" customFormat="1" ht="12.75" x14ac:dyDescent="0.2">
      <c r="A1345" s="282" t="s">
        <v>696</v>
      </c>
      <c r="B1345" s="282" t="s">
        <v>595</v>
      </c>
      <c r="C1345" s="282" t="s">
        <v>654</v>
      </c>
      <c r="D1345" s="283">
        <v>2016</v>
      </c>
      <c r="E1345" s="282" t="s">
        <v>650</v>
      </c>
      <c r="F1345" s="284">
        <v>565</v>
      </c>
      <c r="G1345" s="285">
        <v>0</v>
      </c>
      <c r="H1345" s="288">
        <v>0</v>
      </c>
      <c r="I1345" s="285">
        <v>0</v>
      </c>
      <c r="J1345" s="285">
        <v>281</v>
      </c>
      <c r="K1345" s="284">
        <v>1</v>
      </c>
      <c r="L1345" s="284">
        <v>1</v>
      </c>
      <c r="M1345" s="284">
        <v>0</v>
      </c>
      <c r="N1345" s="284">
        <v>313</v>
      </c>
      <c r="O1345" s="284">
        <v>13</v>
      </c>
      <c r="P1345" s="284">
        <v>705</v>
      </c>
      <c r="Q1345" s="286">
        <v>92</v>
      </c>
      <c r="R1345" s="274">
        <v>1864</v>
      </c>
      <c r="S1345" s="274">
        <v>106</v>
      </c>
      <c r="T1345" s="287">
        <f t="shared" si="20"/>
        <v>2016</v>
      </c>
      <c r="U1345" s="274">
        <f>VLOOKUP(A1345,'[1]SB35 Determination Data'!$B$4:$F$542,5,FALSE)</f>
        <v>2015</v>
      </c>
    </row>
    <row r="1346" spans="1:21" s="274" customFormat="1" ht="12.75" x14ac:dyDescent="0.2">
      <c r="A1346" s="282" t="s">
        <v>696</v>
      </c>
      <c r="B1346" s="282" t="s">
        <v>595</v>
      </c>
      <c r="C1346" s="282" t="s">
        <v>654</v>
      </c>
      <c r="D1346" s="283">
        <v>2017</v>
      </c>
      <c r="E1346" s="282" t="s">
        <v>650</v>
      </c>
      <c r="F1346" s="284">
        <v>565</v>
      </c>
      <c r="G1346" s="285">
        <v>80</v>
      </c>
      <c r="H1346" s="288">
        <v>80</v>
      </c>
      <c r="I1346" s="285">
        <v>0</v>
      </c>
      <c r="J1346" s="285">
        <v>281</v>
      </c>
      <c r="K1346" s="284">
        <v>0</v>
      </c>
      <c r="L1346" s="284">
        <v>0</v>
      </c>
      <c r="M1346" s="284">
        <v>0</v>
      </c>
      <c r="N1346" s="284">
        <v>313</v>
      </c>
      <c r="O1346" s="284">
        <v>5</v>
      </c>
      <c r="P1346" s="284">
        <v>705</v>
      </c>
      <c r="Q1346" s="286">
        <v>283</v>
      </c>
      <c r="R1346" s="274">
        <v>1864</v>
      </c>
      <c r="S1346" s="274">
        <v>368</v>
      </c>
      <c r="T1346" s="287">
        <f t="shared" si="20"/>
        <v>2017</v>
      </c>
      <c r="U1346" s="274">
        <f>VLOOKUP(A1346,'[1]SB35 Determination Data'!$B$4:$F$542,5,FALSE)</f>
        <v>2015</v>
      </c>
    </row>
    <row r="1347" spans="1:21" s="274" customFormat="1" ht="12.75" x14ac:dyDescent="0.2">
      <c r="A1347" s="282" t="s">
        <v>697</v>
      </c>
      <c r="B1347" s="282" t="s">
        <v>679</v>
      </c>
      <c r="C1347" s="282" t="s">
        <v>531</v>
      </c>
      <c r="D1347" s="283">
        <v>2015</v>
      </c>
      <c r="E1347" s="282" t="s">
        <v>650</v>
      </c>
      <c r="F1347" s="284">
        <v>538</v>
      </c>
      <c r="G1347" s="285">
        <v>0</v>
      </c>
      <c r="H1347" s="288">
        <v>0</v>
      </c>
      <c r="I1347" s="285">
        <v>0</v>
      </c>
      <c r="J1347" s="285">
        <v>345</v>
      </c>
      <c r="K1347" s="284">
        <v>0</v>
      </c>
      <c r="L1347" s="284">
        <v>0</v>
      </c>
      <c r="M1347" s="284">
        <v>0</v>
      </c>
      <c r="N1347" s="289">
        <v>391</v>
      </c>
      <c r="O1347" s="284">
        <v>30</v>
      </c>
      <c r="P1347" s="284">
        <v>967</v>
      </c>
      <c r="Q1347" s="286">
        <v>76</v>
      </c>
      <c r="R1347" s="274">
        <v>2241</v>
      </c>
      <c r="S1347" s="274">
        <v>106</v>
      </c>
      <c r="T1347" s="287">
        <f t="shared" si="20"/>
        <v>2016</v>
      </c>
      <c r="U1347" s="274">
        <f>VLOOKUP(A1347,'[1]SB35 Determination Data'!$B$4:$F$542,5,FALSE)</f>
        <v>2016</v>
      </c>
    </row>
    <row r="1348" spans="1:21" s="274" customFormat="1" ht="12.75" x14ac:dyDescent="0.2">
      <c r="A1348" s="282" t="s">
        <v>697</v>
      </c>
      <c r="B1348" s="282" t="s">
        <v>679</v>
      </c>
      <c r="C1348" s="282" t="s">
        <v>531</v>
      </c>
      <c r="D1348" s="283">
        <v>2016</v>
      </c>
      <c r="E1348" s="282" t="s">
        <v>650</v>
      </c>
      <c r="F1348" s="284">
        <v>538</v>
      </c>
      <c r="G1348" s="285">
        <v>0</v>
      </c>
      <c r="H1348" s="288">
        <v>0</v>
      </c>
      <c r="I1348" s="285">
        <v>0</v>
      </c>
      <c r="J1348" s="285">
        <v>345</v>
      </c>
      <c r="K1348" s="284">
        <v>10</v>
      </c>
      <c r="L1348" s="284">
        <v>0</v>
      </c>
      <c r="M1348" s="284">
        <v>10</v>
      </c>
      <c r="N1348" s="284">
        <v>391</v>
      </c>
      <c r="O1348" s="284">
        <v>3</v>
      </c>
      <c r="P1348" s="284">
        <v>967</v>
      </c>
      <c r="Q1348" s="286">
        <v>121</v>
      </c>
      <c r="R1348" s="274">
        <v>2241</v>
      </c>
      <c r="S1348" s="274">
        <v>134</v>
      </c>
      <c r="T1348" s="287">
        <f t="shared" ref="T1348:T1411" si="21">IF(D1348&gt;U1348,D1348,U1348)</f>
        <v>2016</v>
      </c>
      <c r="U1348" s="274">
        <f>VLOOKUP(A1348,'[1]SB35 Determination Data'!$B$4:$F$542,5,FALSE)</f>
        <v>2016</v>
      </c>
    </row>
    <row r="1349" spans="1:21" s="274" customFormat="1" ht="12.75" x14ac:dyDescent="0.2">
      <c r="A1349" s="282" t="s">
        <v>697</v>
      </c>
      <c r="B1349" s="282" t="s">
        <v>679</v>
      </c>
      <c r="C1349" s="282" t="s">
        <v>531</v>
      </c>
      <c r="D1349" s="283">
        <v>2017</v>
      </c>
      <c r="E1349" s="282" t="s">
        <v>650</v>
      </c>
      <c r="F1349" s="284">
        <v>538</v>
      </c>
      <c r="G1349" s="285">
        <v>0</v>
      </c>
      <c r="H1349" s="288">
        <v>0</v>
      </c>
      <c r="I1349" s="285">
        <v>0</v>
      </c>
      <c r="J1349" s="285">
        <v>345</v>
      </c>
      <c r="K1349" s="284">
        <v>0</v>
      </c>
      <c r="L1349" s="284">
        <v>0</v>
      </c>
      <c r="M1349" s="284">
        <v>0</v>
      </c>
      <c r="N1349" s="284">
        <v>391</v>
      </c>
      <c r="O1349" s="284">
        <v>11</v>
      </c>
      <c r="P1349" s="284">
        <v>967</v>
      </c>
      <c r="Q1349" s="286">
        <v>120</v>
      </c>
      <c r="R1349" s="274">
        <v>2241</v>
      </c>
      <c r="S1349" s="274">
        <v>131</v>
      </c>
      <c r="T1349" s="287">
        <f t="shared" si="21"/>
        <v>2017</v>
      </c>
      <c r="U1349" s="274">
        <f>VLOOKUP(A1349,'[1]SB35 Determination Data'!$B$4:$F$542,5,FALSE)</f>
        <v>2016</v>
      </c>
    </row>
    <row r="1350" spans="1:21" s="274" customFormat="1" ht="12.75" x14ac:dyDescent="0.2">
      <c r="A1350" s="282" t="s">
        <v>698</v>
      </c>
      <c r="B1350" s="282" t="s">
        <v>436</v>
      </c>
      <c r="C1350" s="282" t="s">
        <v>649</v>
      </c>
      <c r="D1350" s="283">
        <v>2014</v>
      </c>
      <c r="E1350" s="282" t="s">
        <v>650</v>
      </c>
      <c r="F1350" s="284">
        <v>68</v>
      </c>
      <c r="G1350" s="285">
        <v>0</v>
      </c>
      <c r="H1350" s="288">
        <v>0</v>
      </c>
      <c r="I1350" s="285">
        <v>0</v>
      </c>
      <c r="J1350" s="285">
        <v>49</v>
      </c>
      <c r="K1350" s="284">
        <v>0</v>
      </c>
      <c r="L1350" s="284">
        <v>0</v>
      </c>
      <c r="M1350" s="284">
        <v>0</v>
      </c>
      <c r="N1350" s="284">
        <v>56</v>
      </c>
      <c r="O1350" s="284">
        <v>0</v>
      </c>
      <c r="P1350" s="284">
        <v>140</v>
      </c>
      <c r="Q1350" s="286">
        <v>32</v>
      </c>
      <c r="R1350" s="274">
        <v>313</v>
      </c>
      <c r="S1350" s="274">
        <v>32</v>
      </c>
      <c r="T1350" s="287">
        <f t="shared" si="21"/>
        <v>2014</v>
      </c>
      <c r="U1350" s="274">
        <f>VLOOKUP(A1350,'[1]SB35 Determination Data'!$B$4:$F$542,5,FALSE)</f>
        <v>2014</v>
      </c>
    </row>
    <row r="1351" spans="1:21" s="274" customFormat="1" ht="12.75" x14ac:dyDescent="0.2">
      <c r="A1351" s="282" t="s">
        <v>698</v>
      </c>
      <c r="B1351" s="282" t="s">
        <v>436</v>
      </c>
      <c r="C1351" s="282" t="s">
        <v>649</v>
      </c>
      <c r="D1351" s="283">
        <v>2015</v>
      </c>
      <c r="E1351" s="282" t="s">
        <v>650</v>
      </c>
      <c r="F1351" s="284">
        <v>68</v>
      </c>
      <c r="G1351" s="285">
        <v>0</v>
      </c>
      <c r="H1351" s="288">
        <v>0</v>
      </c>
      <c r="I1351" s="285">
        <v>0</v>
      </c>
      <c r="J1351" s="285">
        <v>49</v>
      </c>
      <c r="K1351" s="284">
        <v>0</v>
      </c>
      <c r="L1351" s="284">
        <v>0</v>
      </c>
      <c r="M1351" s="284">
        <v>0</v>
      </c>
      <c r="N1351" s="284">
        <v>56</v>
      </c>
      <c r="O1351" s="284">
        <v>0</v>
      </c>
      <c r="P1351" s="284">
        <v>140</v>
      </c>
      <c r="Q1351" s="286">
        <v>37</v>
      </c>
      <c r="R1351" s="274">
        <v>313</v>
      </c>
      <c r="S1351" s="274">
        <v>37</v>
      </c>
      <c r="T1351" s="287">
        <f t="shared" si="21"/>
        <v>2015</v>
      </c>
      <c r="U1351" s="274">
        <f>VLOOKUP(A1351,'[1]SB35 Determination Data'!$B$4:$F$542,5,FALSE)</f>
        <v>2014</v>
      </c>
    </row>
    <row r="1352" spans="1:21" s="274" customFormat="1" ht="12.75" x14ac:dyDescent="0.2">
      <c r="A1352" s="282" t="s">
        <v>698</v>
      </c>
      <c r="B1352" s="282" t="s">
        <v>436</v>
      </c>
      <c r="C1352" s="282" t="s">
        <v>649</v>
      </c>
      <c r="D1352" s="283">
        <v>2016</v>
      </c>
      <c r="E1352" s="282" t="s">
        <v>650</v>
      </c>
      <c r="F1352" s="284">
        <v>68</v>
      </c>
      <c r="G1352" s="285">
        <v>0</v>
      </c>
      <c r="H1352" s="288">
        <v>0</v>
      </c>
      <c r="I1352" s="285">
        <v>0</v>
      </c>
      <c r="J1352" s="285">
        <v>49</v>
      </c>
      <c r="K1352" s="284">
        <v>0</v>
      </c>
      <c r="L1352" s="284">
        <v>0</v>
      </c>
      <c r="M1352" s="284">
        <v>0</v>
      </c>
      <c r="N1352" s="284">
        <v>56</v>
      </c>
      <c r="O1352" s="284">
        <v>0</v>
      </c>
      <c r="P1352" s="284">
        <v>140</v>
      </c>
      <c r="Q1352" s="286">
        <v>25</v>
      </c>
      <c r="R1352" s="274">
        <v>313</v>
      </c>
      <c r="S1352" s="274">
        <v>25</v>
      </c>
      <c r="T1352" s="287">
        <f t="shared" si="21"/>
        <v>2016</v>
      </c>
      <c r="U1352" s="274">
        <f>VLOOKUP(A1352,'[1]SB35 Determination Data'!$B$4:$F$542,5,FALSE)</f>
        <v>2014</v>
      </c>
    </row>
    <row r="1353" spans="1:21" s="294" customFormat="1" ht="12.75" x14ac:dyDescent="0.2">
      <c r="A1353" s="282" t="s">
        <v>698</v>
      </c>
      <c r="B1353" s="282" t="s">
        <v>436</v>
      </c>
      <c r="C1353" s="282" t="s">
        <v>649</v>
      </c>
      <c r="D1353" s="283">
        <v>2017</v>
      </c>
      <c r="E1353" s="282" t="s">
        <v>650</v>
      </c>
      <c r="F1353" s="284">
        <v>68</v>
      </c>
      <c r="G1353" s="285">
        <v>0</v>
      </c>
      <c r="H1353" s="288">
        <v>0</v>
      </c>
      <c r="I1353" s="285">
        <v>0</v>
      </c>
      <c r="J1353" s="285">
        <v>49</v>
      </c>
      <c r="K1353" s="284">
        <v>0</v>
      </c>
      <c r="L1353" s="284">
        <v>0</v>
      </c>
      <c r="M1353" s="284">
        <v>0</v>
      </c>
      <c r="N1353" s="284">
        <v>56</v>
      </c>
      <c r="O1353" s="284">
        <v>2</v>
      </c>
      <c r="P1353" s="284">
        <v>140</v>
      </c>
      <c r="Q1353" s="286">
        <v>0</v>
      </c>
      <c r="R1353" s="292">
        <v>313</v>
      </c>
      <c r="S1353" s="293">
        <v>2</v>
      </c>
      <c r="T1353" s="287">
        <f t="shared" si="21"/>
        <v>2017</v>
      </c>
      <c r="U1353" s="274">
        <f>VLOOKUP(A1353,'[1]SB35 Determination Data'!$B$4:$F$542,5,FALSE)</f>
        <v>2014</v>
      </c>
    </row>
    <row r="1354" spans="1:21" s="274" customFormat="1" ht="12.75" x14ac:dyDescent="0.2">
      <c r="A1354" s="274" t="s">
        <v>699</v>
      </c>
      <c r="B1354" s="274" t="s">
        <v>383</v>
      </c>
      <c r="C1354" s="274" t="s">
        <v>531</v>
      </c>
      <c r="D1354" s="295">
        <v>2017</v>
      </c>
      <c r="E1354" s="274" t="s">
        <v>650</v>
      </c>
      <c r="F1354" s="291">
        <v>3157</v>
      </c>
      <c r="G1354" s="285">
        <v>164</v>
      </c>
      <c r="H1354" s="291">
        <v>164</v>
      </c>
      <c r="I1354" s="291">
        <v>0</v>
      </c>
      <c r="J1354" s="285">
        <v>2004</v>
      </c>
      <c r="K1354" s="284">
        <v>0</v>
      </c>
      <c r="L1354" s="291">
        <v>0</v>
      </c>
      <c r="M1354" s="291">
        <v>0</v>
      </c>
      <c r="N1354" s="291">
        <v>2103</v>
      </c>
      <c r="O1354" s="291">
        <v>47</v>
      </c>
      <c r="P1354" s="291">
        <v>4560</v>
      </c>
      <c r="Q1354" s="286">
        <v>175</v>
      </c>
      <c r="R1354" s="274">
        <v>11824</v>
      </c>
      <c r="S1354" s="274">
        <v>386</v>
      </c>
      <c r="T1354" s="287">
        <f t="shared" si="21"/>
        <v>2017</v>
      </c>
      <c r="U1354" s="274">
        <f>VLOOKUP(A1354,'[1]SB35 Determination Data'!$B$4:$F$542,5,FALSE)</f>
        <v>2016</v>
      </c>
    </row>
    <row r="1355" spans="1:21" s="274" customFormat="1" ht="12.75" x14ac:dyDescent="0.2">
      <c r="A1355" s="274" t="s">
        <v>700</v>
      </c>
      <c r="B1355" s="274" t="s">
        <v>663</v>
      </c>
      <c r="C1355" s="274" t="s">
        <v>654</v>
      </c>
      <c r="D1355" s="295">
        <v>2014</v>
      </c>
      <c r="E1355" s="274" t="s">
        <v>650</v>
      </c>
      <c r="F1355" s="291">
        <v>147</v>
      </c>
      <c r="G1355" s="285">
        <v>0</v>
      </c>
      <c r="H1355" s="291">
        <v>0</v>
      </c>
      <c r="I1355" s="291">
        <v>0</v>
      </c>
      <c r="J1355" s="285">
        <v>57</v>
      </c>
      <c r="K1355" s="284">
        <v>0</v>
      </c>
      <c r="L1355" s="291">
        <v>0</v>
      </c>
      <c r="M1355" s="291">
        <v>0</v>
      </c>
      <c r="N1355" s="291">
        <v>60</v>
      </c>
      <c r="O1355" s="291">
        <v>0</v>
      </c>
      <c r="P1355" s="291">
        <v>241</v>
      </c>
      <c r="Q1355" s="286">
        <v>0</v>
      </c>
      <c r="R1355" s="274">
        <v>505</v>
      </c>
      <c r="S1355" s="274">
        <v>0</v>
      </c>
      <c r="T1355" s="287">
        <f t="shared" si="21"/>
        <v>2015</v>
      </c>
      <c r="U1355" s="274">
        <f>VLOOKUP(A1355,'[1]SB35 Determination Data'!$B$4:$F$542,5,FALSE)</f>
        <v>2015</v>
      </c>
    </row>
    <row r="1356" spans="1:21" s="274" customFormat="1" ht="12.75" x14ac:dyDescent="0.2">
      <c r="A1356" s="274" t="s">
        <v>700</v>
      </c>
      <c r="B1356" s="274" t="s">
        <v>663</v>
      </c>
      <c r="C1356" s="274" t="s">
        <v>654</v>
      </c>
      <c r="D1356" s="295">
        <v>2015</v>
      </c>
      <c r="E1356" s="274" t="s">
        <v>650</v>
      </c>
      <c r="F1356" s="291">
        <v>147</v>
      </c>
      <c r="G1356" s="285">
        <v>0</v>
      </c>
      <c r="H1356" s="291">
        <v>0</v>
      </c>
      <c r="I1356" s="291">
        <v>0</v>
      </c>
      <c r="J1356" s="285">
        <v>57</v>
      </c>
      <c r="K1356" s="284">
        <v>0</v>
      </c>
      <c r="L1356" s="291">
        <v>0</v>
      </c>
      <c r="M1356" s="291">
        <v>0</v>
      </c>
      <c r="N1356" s="274">
        <v>60</v>
      </c>
      <c r="O1356" s="291">
        <v>0</v>
      </c>
      <c r="P1356" s="291">
        <v>241</v>
      </c>
      <c r="Q1356" s="286">
        <v>8</v>
      </c>
      <c r="R1356" s="274">
        <v>505</v>
      </c>
      <c r="S1356" s="274">
        <v>8</v>
      </c>
      <c r="T1356" s="287">
        <f t="shared" si="21"/>
        <v>2015</v>
      </c>
      <c r="U1356" s="274">
        <f>VLOOKUP(A1356,'[1]SB35 Determination Data'!$B$4:$F$542,5,FALSE)</f>
        <v>2015</v>
      </c>
    </row>
    <row r="1357" spans="1:21" s="274" customFormat="1" ht="12.75" x14ac:dyDescent="0.2">
      <c r="A1357" s="274" t="s">
        <v>700</v>
      </c>
      <c r="B1357" s="274" t="s">
        <v>663</v>
      </c>
      <c r="C1357" s="274" t="s">
        <v>654</v>
      </c>
      <c r="D1357" s="295">
        <v>2016</v>
      </c>
      <c r="E1357" s="274" t="s">
        <v>650</v>
      </c>
      <c r="F1357" s="291">
        <v>147</v>
      </c>
      <c r="G1357" s="285">
        <v>0</v>
      </c>
      <c r="H1357" s="291">
        <v>0</v>
      </c>
      <c r="I1357" s="291">
        <v>0</v>
      </c>
      <c r="J1357" s="285">
        <v>57</v>
      </c>
      <c r="K1357" s="284">
        <v>0</v>
      </c>
      <c r="L1357" s="291">
        <v>0</v>
      </c>
      <c r="M1357" s="291">
        <v>0</v>
      </c>
      <c r="N1357" s="291">
        <v>60</v>
      </c>
      <c r="O1357" s="291">
        <v>0</v>
      </c>
      <c r="P1357" s="291">
        <v>241</v>
      </c>
      <c r="Q1357" s="286">
        <v>52</v>
      </c>
      <c r="R1357" s="274">
        <v>505</v>
      </c>
      <c r="S1357" s="274">
        <v>52</v>
      </c>
      <c r="T1357" s="287">
        <f t="shared" si="21"/>
        <v>2016</v>
      </c>
      <c r="U1357" s="274">
        <f>VLOOKUP(A1357,'[1]SB35 Determination Data'!$B$4:$F$542,5,FALSE)</f>
        <v>2015</v>
      </c>
    </row>
    <row r="1358" spans="1:21" s="274" customFormat="1" ht="12.75" x14ac:dyDescent="0.2">
      <c r="A1358" s="274" t="s">
        <v>700</v>
      </c>
      <c r="B1358" s="274" t="s">
        <v>663</v>
      </c>
      <c r="C1358" s="274" t="s">
        <v>654</v>
      </c>
      <c r="D1358" s="295">
        <v>2017</v>
      </c>
      <c r="E1358" s="274" t="s">
        <v>650</v>
      </c>
      <c r="F1358" s="291">
        <v>147</v>
      </c>
      <c r="G1358" s="285">
        <v>0</v>
      </c>
      <c r="H1358" s="291">
        <v>0</v>
      </c>
      <c r="I1358" s="291">
        <v>0</v>
      </c>
      <c r="J1358" s="285">
        <v>57</v>
      </c>
      <c r="K1358" s="284">
        <v>0</v>
      </c>
      <c r="L1358" s="291">
        <v>0</v>
      </c>
      <c r="M1358" s="291">
        <v>0</v>
      </c>
      <c r="N1358" s="291">
        <v>60</v>
      </c>
      <c r="O1358" s="291">
        <v>0</v>
      </c>
      <c r="P1358" s="291">
        <v>241</v>
      </c>
      <c r="Q1358" s="286">
        <v>19</v>
      </c>
      <c r="R1358" s="274">
        <v>505</v>
      </c>
      <c r="S1358" s="274">
        <v>19</v>
      </c>
      <c r="T1358" s="287">
        <f t="shared" si="21"/>
        <v>2017</v>
      </c>
      <c r="U1358" s="274">
        <f>VLOOKUP(A1358,'[1]SB35 Determination Data'!$B$4:$F$542,5,FALSE)</f>
        <v>2015</v>
      </c>
    </row>
    <row r="1359" spans="1:21" s="274" customFormat="1" ht="12.75" x14ac:dyDescent="0.2">
      <c r="A1359" s="274" t="s">
        <v>702</v>
      </c>
      <c r="B1359" s="274" t="s">
        <v>614</v>
      </c>
      <c r="C1359" s="274" t="s">
        <v>654</v>
      </c>
      <c r="D1359" s="295">
        <v>2015</v>
      </c>
      <c r="E1359" s="274" t="s">
        <v>650</v>
      </c>
      <c r="F1359" s="291">
        <v>1640</v>
      </c>
      <c r="G1359" s="285">
        <v>43</v>
      </c>
      <c r="H1359" s="291">
        <v>43</v>
      </c>
      <c r="I1359" s="291">
        <v>0</v>
      </c>
      <c r="J1359" s="285">
        <v>906</v>
      </c>
      <c r="K1359" s="284">
        <v>0</v>
      </c>
      <c r="L1359" s="291">
        <v>0</v>
      </c>
      <c r="M1359" s="291">
        <v>0</v>
      </c>
      <c r="N1359" s="291">
        <v>932</v>
      </c>
      <c r="O1359" s="291">
        <v>26</v>
      </c>
      <c r="P1359" s="291">
        <v>1974</v>
      </c>
      <c r="Q1359" s="286">
        <v>796</v>
      </c>
      <c r="R1359" s="274">
        <v>5452</v>
      </c>
      <c r="S1359" s="274">
        <v>865</v>
      </c>
      <c r="T1359" s="287">
        <f t="shared" si="21"/>
        <v>2015</v>
      </c>
      <c r="U1359" s="274">
        <f>VLOOKUP(A1359,'[1]SB35 Determination Data'!$B$4:$F$542,5,FALSE)</f>
        <v>2015</v>
      </c>
    </row>
    <row r="1360" spans="1:21" s="274" customFormat="1" ht="12.75" x14ac:dyDescent="0.2">
      <c r="A1360" s="274" t="s">
        <v>702</v>
      </c>
      <c r="B1360" s="274" t="s">
        <v>614</v>
      </c>
      <c r="C1360" s="274" t="s">
        <v>654</v>
      </c>
      <c r="D1360" s="295">
        <v>2016</v>
      </c>
      <c r="E1360" s="274" t="s">
        <v>650</v>
      </c>
      <c r="F1360" s="291">
        <v>1640</v>
      </c>
      <c r="G1360" s="285">
        <v>0</v>
      </c>
      <c r="H1360" s="291">
        <v>0</v>
      </c>
      <c r="I1360" s="291">
        <v>0</v>
      </c>
      <c r="J1360" s="285">
        <v>906</v>
      </c>
      <c r="K1360" s="284">
        <v>1</v>
      </c>
      <c r="L1360" s="291">
        <v>1</v>
      </c>
      <c r="M1360" s="291">
        <v>0</v>
      </c>
      <c r="N1360" s="291">
        <v>932</v>
      </c>
      <c r="O1360" s="291">
        <v>32</v>
      </c>
      <c r="P1360" s="291">
        <v>1974</v>
      </c>
      <c r="Q1360" s="286">
        <v>222</v>
      </c>
      <c r="R1360" s="274">
        <v>5452</v>
      </c>
      <c r="S1360" s="274">
        <v>255</v>
      </c>
      <c r="T1360" s="287">
        <f t="shared" si="21"/>
        <v>2016</v>
      </c>
      <c r="U1360" s="274">
        <f>VLOOKUP(A1360,'[1]SB35 Determination Data'!$B$4:$F$542,5,FALSE)</f>
        <v>2015</v>
      </c>
    </row>
    <row r="1361" spans="1:21" s="274" customFormat="1" ht="12.75" x14ac:dyDescent="0.2">
      <c r="A1361" s="274" t="s">
        <v>702</v>
      </c>
      <c r="B1361" s="274" t="s">
        <v>614</v>
      </c>
      <c r="C1361" s="274" t="s">
        <v>654</v>
      </c>
      <c r="D1361" s="295">
        <v>2017</v>
      </c>
      <c r="E1361" s="274" t="s">
        <v>650</v>
      </c>
      <c r="F1361" s="291">
        <v>1640</v>
      </c>
      <c r="G1361" s="285">
        <v>46</v>
      </c>
      <c r="H1361" s="291">
        <v>46</v>
      </c>
      <c r="I1361" s="291">
        <v>0</v>
      </c>
      <c r="J1361" s="285">
        <v>906</v>
      </c>
      <c r="K1361" s="284">
        <v>20</v>
      </c>
      <c r="L1361" s="291">
        <v>20</v>
      </c>
      <c r="M1361" s="291">
        <v>0</v>
      </c>
      <c r="N1361" s="291">
        <v>932</v>
      </c>
      <c r="O1361" s="291">
        <v>47</v>
      </c>
      <c r="P1361" s="291">
        <v>1974</v>
      </c>
      <c r="Q1361" s="286">
        <v>381</v>
      </c>
      <c r="R1361" s="274">
        <v>5452</v>
      </c>
      <c r="S1361" s="274">
        <v>494</v>
      </c>
      <c r="T1361" s="287">
        <f t="shared" si="21"/>
        <v>2017</v>
      </c>
      <c r="U1361" s="274">
        <f>VLOOKUP(A1361,'[1]SB35 Determination Data'!$B$4:$F$542,5,FALSE)</f>
        <v>2015</v>
      </c>
    </row>
    <row r="1362" spans="1:21" s="274" customFormat="1" ht="12.75" x14ac:dyDescent="0.2">
      <c r="A1362" s="274" t="s">
        <v>704</v>
      </c>
      <c r="B1362" s="274" t="s">
        <v>691</v>
      </c>
      <c r="C1362" s="274" t="s">
        <v>685</v>
      </c>
      <c r="D1362" s="295">
        <v>2013</v>
      </c>
      <c r="E1362" s="274" t="s">
        <v>650</v>
      </c>
      <c r="F1362" s="291">
        <v>85</v>
      </c>
      <c r="G1362" s="285">
        <v>0</v>
      </c>
      <c r="H1362" s="291">
        <v>0</v>
      </c>
      <c r="I1362" s="291">
        <v>0</v>
      </c>
      <c r="J1362" s="285">
        <v>60</v>
      </c>
      <c r="K1362" s="284">
        <v>0</v>
      </c>
      <c r="L1362" s="291">
        <v>0</v>
      </c>
      <c r="M1362" s="291">
        <v>0</v>
      </c>
      <c r="N1362" s="274">
        <v>62</v>
      </c>
      <c r="O1362" s="291">
        <v>4</v>
      </c>
      <c r="P1362" s="291">
        <v>128</v>
      </c>
      <c r="Q1362" s="286">
        <v>8</v>
      </c>
      <c r="R1362" s="274">
        <v>335</v>
      </c>
      <c r="S1362" s="274">
        <v>12</v>
      </c>
      <c r="T1362" s="287">
        <f t="shared" si="21"/>
        <v>2014</v>
      </c>
      <c r="U1362" s="274">
        <f>VLOOKUP(A1362,'[1]SB35 Determination Data'!$B$4:$F$542,5,FALSE)</f>
        <v>2014</v>
      </c>
    </row>
    <row r="1363" spans="1:21" s="274" customFormat="1" ht="12.75" x14ac:dyDescent="0.2">
      <c r="A1363" s="274" t="s">
        <v>704</v>
      </c>
      <c r="B1363" s="274" t="s">
        <v>691</v>
      </c>
      <c r="C1363" s="274" t="s">
        <v>685</v>
      </c>
      <c r="D1363" s="295">
        <v>2014</v>
      </c>
      <c r="E1363" s="274" t="s">
        <v>650</v>
      </c>
      <c r="F1363" s="291">
        <v>85</v>
      </c>
      <c r="G1363" s="285">
        <v>0</v>
      </c>
      <c r="H1363" s="291">
        <v>0</v>
      </c>
      <c r="I1363" s="291">
        <v>0</v>
      </c>
      <c r="J1363" s="285">
        <v>60</v>
      </c>
      <c r="K1363" s="284">
        <v>0</v>
      </c>
      <c r="L1363" s="291">
        <v>0</v>
      </c>
      <c r="M1363" s="291">
        <v>0</v>
      </c>
      <c r="N1363" s="291">
        <v>62</v>
      </c>
      <c r="O1363" s="291">
        <v>1</v>
      </c>
      <c r="P1363" s="291">
        <v>128</v>
      </c>
      <c r="Q1363" s="286">
        <v>19</v>
      </c>
      <c r="R1363" s="274">
        <v>335</v>
      </c>
      <c r="S1363" s="274">
        <v>20</v>
      </c>
      <c r="T1363" s="287">
        <f t="shared" si="21"/>
        <v>2014</v>
      </c>
      <c r="U1363" s="274">
        <f>VLOOKUP(A1363,'[1]SB35 Determination Data'!$B$4:$F$542,5,FALSE)</f>
        <v>2014</v>
      </c>
    </row>
    <row r="1364" spans="1:21" s="274" customFormat="1" ht="12.75" x14ac:dyDescent="0.2">
      <c r="A1364" s="274" t="s">
        <v>704</v>
      </c>
      <c r="B1364" s="274" t="s">
        <v>691</v>
      </c>
      <c r="C1364" s="274" t="s">
        <v>685</v>
      </c>
      <c r="D1364" s="295">
        <v>2015</v>
      </c>
      <c r="E1364" s="274" t="s">
        <v>650</v>
      </c>
      <c r="F1364" s="291">
        <v>85</v>
      </c>
      <c r="G1364" s="285">
        <v>0</v>
      </c>
      <c r="H1364" s="291">
        <v>0</v>
      </c>
      <c r="I1364" s="291">
        <v>0</v>
      </c>
      <c r="J1364" s="285">
        <v>60</v>
      </c>
      <c r="K1364" s="284">
        <v>0</v>
      </c>
      <c r="L1364" s="291">
        <v>0</v>
      </c>
      <c r="M1364" s="291">
        <v>0</v>
      </c>
      <c r="N1364" s="291">
        <v>62</v>
      </c>
      <c r="O1364" s="291">
        <v>7</v>
      </c>
      <c r="P1364" s="291">
        <v>128</v>
      </c>
      <c r="Q1364" s="286">
        <v>19</v>
      </c>
      <c r="R1364" s="274">
        <v>335</v>
      </c>
      <c r="S1364" s="274">
        <v>26</v>
      </c>
      <c r="T1364" s="287">
        <f t="shared" si="21"/>
        <v>2015</v>
      </c>
      <c r="U1364" s="274">
        <f>VLOOKUP(A1364,'[1]SB35 Determination Data'!$B$4:$F$542,5,FALSE)</f>
        <v>2014</v>
      </c>
    </row>
    <row r="1365" spans="1:21" s="274" customFormat="1" ht="12.75" x14ac:dyDescent="0.2">
      <c r="A1365" s="274" t="s">
        <v>704</v>
      </c>
      <c r="B1365" s="274" t="s">
        <v>691</v>
      </c>
      <c r="C1365" s="274" t="s">
        <v>685</v>
      </c>
      <c r="D1365" s="295">
        <v>2016</v>
      </c>
      <c r="E1365" s="274" t="s">
        <v>650</v>
      </c>
      <c r="F1365" s="291">
        <v>85</v>
      </c>
      <c r="G1365" s="285">
        <v>0</v>
      </c>
      <c r="H1365" s="291">
        <v>0</v>
      </c>
      <c r="I1365" s="291">
        <v>0</v>
      </c>
      <c r="J1365" s="285">
        <v>60</v>
      </c>
      <c r="K1365" s="284">
        <v>0</v>
      </c>
      <c r="L1365" s="291">
        <v>0</v>
      </c>
      <c r="M1365" s="291">
        <v>0</v>
      </c>
      <c r="N1365" s="291">
        <v>62</v>
      </c>
      <c r="O1365" s="291">
        <v>2</v>
      </c>
      <c r="P1365" s="291">
        <v>128</v>
      </c>
      <c r="Q1365" s="286">
        <v>8</v>
      </c>
      <c r="R1365" s="274">
        <v>335</v>
      </c>
      <c r="S1365" s="274">
        <v>10</v>
      </c>
      <c r="T1365" s="287">
        <f t="shared" si="21"/>
        <v>2016</v>
      </c>
      <c r="U1365" s="274">
        <f>VLOOKUP(A1365,'[1]SB35 Determination Data'!$B$4:$F$542,5,FALSE)</f>
        <v>2014</v>
      </c>
    </row>
    <row r="1366" spans="1:21" s="274" customFormat="1" ht="12.75" x14ac:dyDescent="0.2">
      <c r="A1366" s="274" t="s">
        <v>704</v>
      </c>
      <c r="B1366" s="274" t="s">
        <v>691</v>
      </c>
      <c r="C1366" s="274" t="s">
        <v>685</v>
      </c>
      <c r="D1366" s="295">
        <v>2017</v>
      </c>
      <c r="E1366" s="274" t="s">
        <v>650</v>
      </c>
      <c r="F1366" s="291">
        <v>85</v>
      </c>
      <c r="G1366" s="285">
        <v>0</v>
      </c>
      <c r="H1366" s="291">
        <v>0</v>
      </c>
      <c r="I1366" s="291">
        <v>0</v>
      </c>
      <c r="J1366" s="285">
        <v>60</v>
      </c>
      <c r="K1366" s="284">
        <v>0</v>
      </c>
      <c r="L1366" s="291">
        <v>0</v>
      </c>
      <c r="M1366" s="291">
        <v>0</v>
      </c>
      <c r="N1366" s="291">
        <v>62</v>
      </c>
      <c r="O1366" s="291">
        <v>3</v>
      </c>
      <c r="P1366" s="291">
        <v>128</v>
      </c>
      <c r="Q1366" s="286">
        <v>13</v>
      </c>
      <c r="R1366" s="274">
        <v>335</v>
      </c>
      <c r="S1366" s="274">
        <v>16</v>
      </c>
      <c r="T1366" s="287">
        <f t="shared" si="21"/>
        <v>2017</v>
      </c>
      <c r="U1366" s="274">
        <f>VLOOKUP(A1366,'[1]SB35 Determination Data'!$B$4:$F$542,5,FALSE)</f>
        <v>2014</v>
      </c>
    </row>
    <row r="1367" spans="1:21" s="274" customFormat="1" ht="12.75" x14ac:dyDescent="0.2">
      <c r="A1367" s="274" t="s">
        <v>225</v>
      </c>
      <c r="B1367" s="274" t="s">
        <v>90</v>
      </c>
      <c r="C1367" s="274" t="s">
        <v>660</v>
      </c>
      <c r="D1367" s="295">
        <v>2014</v>
      </c>
      <c r="E1367" s="274" t="s">
        <v>650</v>
      </c>
      <c r="F1367" s="291">
        <v>2</v>
      </c>
      <c r="G1367" s="285">
        <v>0</v>
      </c>
      <c r="H1367" s="291">
        <v>0</v>
      </c>
      <c r="I1367" s="291">
        <v>0</v>
      </c>
      <c r="J1367" s="285">
        <v>2</v>
      </c>
      <c r="K1367" s="284">
        <v>0</v>
      </c>
      <c r="L1367" s="291">
        <v>0</v>
      </c>
      <c r="M1367" s="291">
        <v>0</v>
      </c>
      <c r="N1367" s="291">
        <v>2</v>
      </c>
      <c r="O1367" s="291">
        <v>1</v>
      </c>
      <c r="P1367" s="291">
        <v>4</v>
      </c>
      <c r="Q1367" s="286">
        <v>0</v>
      </c>
      <c r="R1367" s="274">
        <v>10</v>
      </c>
      <c r="S1367" s="274">
        <v>1</v>
      </c>
      <c r="T1367" s="287">
        <f t="shared" si="21"/>
        <v>2014</v>
      </c>
      <c r="U1367" s="274">
        <f>VLOOKUP(A1367,'[1]SB35 Determination Data'!$B$4:$F$542,5,FALSE)</f>
        <v>2014</v>
      </c>
    </row>
    <row r="1368" spans="1:21" s="274" customFormat="1" ht="12.75" x14ac:dyDescent="0.2">
      <c r="A1368" s="274" t="s">
        <v>225</v>
      </c>
      <c r="B1368" s="274" t="s">
        <v>90</v>
      </c>
      <c r="C1368" s="274" t="s">
        <v>660</v>
      </c>
      <c r="D1368" s="295">
        <v>2015</v>
      </c>
      <c r="E1368" s="274" t="s">
        <v>650</v>
      </c>
      <c r="F1368" s="291">
        <v>2</v>
      </c>
      <c r="G1368" s="285">
        <v>0</v>
      </c>
      <c r="H1368" s="291">
        <v>0</v>
      </c>
      <c r="I1368" s="291">
        <v>0</v>
      </c>
      <c r="J1368" s="285">
        <v>2</v>
      </c>
      <c r="K1368" s="284">
        <v>0</v>
      </c>
      <c r="L1368" s="291">
        <v>0</v>
      </c>
      <c r="M1368" s="291">
        <v>0</v>
      </c>
      <c r="N1368" s="291">
        <v>2</v>
      </c>
      <c r="O1368" s="291">
        <v>1</v>
      </c>
      <c r="P1368" s="291">
        <v>4</v>
      </c>
      <c r="Q1368" s="286">
        <v>0</v>
      </c>
      <c r="R1368" s="274">
        <v>10</v>
      </c>
      <c r="S1368" s="274">
        <v>1</v>
      </c>
      <c r="T1368" s="287">
        <f t="shared" si="21"/>
        <v>2015</v>
      </c>
      <c r="U1368" s="274">
        <f>VLOOKUP(A1368,'[1]SB35 Determination Data'!$B$4:$F$542,5,FALSE)</f>
        <v>2014</v>
      </c>
    </row>
    <row r="1369" spans="1:21" s="274" customFormat="1" ht="12.75" x14ac:dyDescent="0.2">
      <c r="A1369" s="274" t="s">
        <v>225</v>
      </c>
      <c r="B1369" s="274" t="s">
        <v>90</v>
      </c>
      <c r="C1369" s="274" t="s">
        <v>660</v>
      </c>
      <c r="D1369" s="295">
        <v>2016</v>
      </c>
      <c r="E1369" s="274" t="s">
        <v>650</v>
      </c>
      <c r="F1369" s="291">
        <v>2</v>
      </c>
      <c r="G1369" s="285">
        <v>0</v>
      </c>
      <c r="H1369" s="291">
        <v>0</v>
      </c>
      <c r="I1369" s="291">
        <v>0</v>
      </c>
      <c r="J1369" s="285">
        <v>2</v>
      </c>
      <c r="K1369" s="284">
        <v>0</v>
      </c>
      <c r="L1369" s="291">
        <v>0</v>
      </c>
      <c r="M1369" s="291">
        <v>0</v>
      </c>
      <c r="N1369" s="274">
        <v>2</v>
      </c>
      <c r="O1369" s="291">
        <v>1</v>
      </c>
      <c r="P1369" s="291">
        <v>4</v>
      </c>
      <c r="Q1369" s="286">
        <v>10</v>
      </c>
      <c r="R1369" s="274">
        <v>10</v>
      </c>
      <c r="S1369" s="274">
        <v>11</v>
      </c>
      <c r="T1369" s="287">
        <f t="shared" si="21"/>
        <v>2016</v>
      </c>
      <c r="U1369" s="274">
        <f>VLOOKUP(A1369,'[1]SB35 Determination Data'!$B$4:$F$542,5,FALSE)</f>
        <v>2014</v>
      </c>
    </row>
    <row r="1370" spans="1:21" s="274" customFormat="1" ht="12.75" x14ac:dyDescent="0.2">
      <c r="A1370" s="274" t="s">
        <v>225</v>
      </c>
      <c r="B1370" s="274" t="s">
        <v>90</v>
      </c>
      <c r="C1370" s="274" t="s">
        <v>660</v>
      </c>
      <c r="D1370" s="295">
        <v>2017</v>
      </c>
      <c r="E1370" s="274" t="s">
        <v>650</v>
      </c>
      <c r="F1370" s="291">
        <v>2</v>
      </c>
      <c r="G1370" s="285">
        <v>0</v>
      </c>
      <c r="H1370" s="291">
        <v>0</v>
      </c>
      <c r="I1370" s="291">
        <v>0</v>
      </c>
      <c r="J1370" s="285">
        <v>2</v>
      </c>
      <c r="K1370" s="284">
        <v>0</v>
      </c>
      <c r="L1370" s="291">
        <v>0</v>
      </c>
      <c r="M1370" s="291">
        <v>0</v>
      </c>
      <c r="N1370" s="291">
        <v>2</v>
      </c>
      <c r="O1370" s="291">
        <v>17</v>
      </c>
      <c r="P1370" s="291">
        <v>4</v>
      </c>
      <c r="Q1370" s="286">
        <v>2</v>
      </c>
      <c r="R1370" s="274">
        <v>10</v>
      </c>
      <c r="S1370" s="274">
        <v>19</v>
      </c>
      <c r="T1370" s="287">
        <f t="shared" si="21"/>
        <v>2017</v>
      </c>
      <c r="U1370" s="274">
        <f>VLOOKUP(A1370,'[1]SB35 Determination Data'!$B$4:$F$542,5,FALSE)</f>
        <v>2014</v>
      </c>
    </row>
    <row r="1371" spans="1:21" s="274" customFormat="1" ht="12.75" x14ac:dyDescent="0.2">
      <c r="A1371" s="274" t="s">
        <v>442</v>
      </c>
      <c r="B1371" s="274" t="s">
        <v>220</v>
      </c>
      <c r="C1371" s="274" t="s">
        <v>531</v>
      </c>
      <c r="D1371" s="295">
        <v>2015</v>
      </c>
      <c r="E1371" s="274" t="s">
        <v>650</v>
      </c>
      <c r="F1371" s="291">
        <v>52</v>
      </c>
      <c r="G1371" s="285">
        <v>0</v>
      </c>
      <c r="H1371" s="291">
        <v>0</v>
      </c>
      <c r="I1371" s="291">
        <v>0</v>
      </c>
      <c r="J1371" s="285">
        <v>26</v>
      </c>
      <c r="K1371" s="284">
        <v>0</v>
      </c>
      <c r="L1371" s="291">
        <v>0</v>
      </c>
      <c r="M1371" s="291">
        <v>0</v>
      </c>
      <c r="N1371" s="291">
        <v>30</v>
      </c>
      <c r="O1371" s="291">
        <v>0</v>
      </c>
      <c r="P1371" s="291">
        <v>146</v>
      </c>
      <c r="Q1371" s="286">
        <v>11</v>
      </c>
      <c r="R1371" s="274">
        <v>254</v>
      </c>
      <c r="S1371" s="274">
        <v>11</v>
      </c>
      <c r="T1371" s="287">
        <f t="shared" si="21"/>
        <v>2016</v>
      </c>
      <c r="U1371" s="274">
        <f>VLOOKUP(A1371,'[1]SB35 Determination Data'!$B$4:$F$542,5,FALSE)</f>
        <v>2016</v>
      </c>
    </row>
    <row r="1372" spans="1:21" s="274" customFormat="1" ht="12.75" x14ac:dyDescent="0.2">
      <c r="A1372" s="274" t="s">
        <v>442</v>
      </c>
      <c r="B1372" s="274" t="s">
        <v>220</v>
      </c>
      <c r="C1372" s="274" t="s">
        <v>531</v>
      </c>
      <c r="D1372" s="295">
        <v>2016</v>
      </c>
      <c r="E1372" s="274" t="s">
        <v>650</v>
      </c>
      <c r="F1372" s="291">
        <v>52</v>
      </c>
      <c r="G1372" s="285">
        <v>0</v>
      </c>
      <c r="H1372" s="291">
        <v>0</v>
      </c>
      <c r="I1372" s="291">
        <v>0</v>
      </c>
      <c r="J1372" s="285">
        <v>26</v>
      </c>
      <c r="K1372" s="284">
        <v>0</v>
      </c>
      <c r="L1372" s="291">
        <v>0</v>
      </c>
      <c r="M1372" s="291">
        <v>0</v>
      </c>
      <c r="N1372" s="291">
        <v>30</v>
      </c>
      <c r="O1372" s="291">
        <v>0</v>
      </c>
      <c r="P1372" s="291">
        <v>146</v>
      </c>
      <c r="Q1372" s="286">
        <v>9</v>
      </c>
      <c r="R1372" s="274">
        <v>254</v>
      </c>
      <c r="S1372" s="274">
        <v>9</v>
      </c>
      <c r="T1372" s="287">
        <f t="shared" si="21"/>
        <v>2016</v>
      </c>
      <c r="U1372" s="274">
        <f>VLOOKUP(A1372,'[1]SB35 Determination Data'!$B$4:$F$542,5,FALSE)</f>
        <v>2016</v>
      </c>
    </row>
    <row r="1373" spans="1:21" s="274" customFormat="1" ht="12.75" x14ac:dyDescent="0.2">
      <c r="A1373" s="274" t="s">
        <v>442</v>
      </c>
      <c r="B1373" s="274" t="s">
        <v>220</v>
      </c>
      <c r="C1373" s="274" t="s">
        <v>531</v>
      </c>
      <c r="D1373" s="295">
        <v>2017</v>
      </c>
      <c r="E1373" s="274" t="s">
        <v>650</v>
      </c>
      <c r="F1373" s="291">
        <v>52</v>
      </c>
      <c r="G1373" s="285">
        <v>0</v>
      </c>
      <c r="H1373" s="291">
        <v>0</v>
      </c>
      <c r="I1373" s="291">
        <v>0</v>
      </c>
      <c r="J1373" s="285">
        <v>26</v>
      </c>
      <c r="K1373" s="284">
        <v>0</v>
      </c>
      <c r="L1373" s="291">
        <v>0</v>
      </c>
      <c r="M1373" s="291">
        <v>0</v>
      </c>
      <c r="N1373" s="291">
        <v>30</v>
      </c>
      <c r="O1373" s="291">
        <v>3</v>
      </c>
      <c r="P1373" s="291">
        <v>146</v>
      </c>
      <c r="Q1373" s="286">
        <v>12</v>
      </c>
      <c r="R1373" s="274">
        <v>254</v>
      </c>
      <c r="S1373" s="274">
        <v>15</v>
      </c>
      <c r="T1373" s="287">
        <f t="shared" si="21"/>
        <v>2017</v>
      </c>
      <c r="U1373" s="274">
        <f>VLOOKUP(A1373,'[1]SB35 Determination Data'!$B$4:$F$542,5,FALSE)</f>
        <v>2016</v>
      </c>
    </row>
    <row r="1374" spans="1:21" s="274" customFormat="1" ht="12.75" x14ac:dyDescent="0.2">
      <c r="A1374" s="274" t="s">
        <v>701</v>
      </c>
      <c r="B1374" s="274" t="s">
        <v>701</v>
      </c>
      <c r="C1374" s="274" t="s">
        <v>660</v>
      </c>
      <c r="D1374" s="295">
        <v>2017</v>
      </c>
      <c r="E1374" s="274" t="s">
        <v>650</v>
      </c>
      <c r="F1374" s="291">
        <v>2</v>
      </c>
      <c r="G1374" s="285">
        <v>0</v>
      </c>
      <c r="H1374" s="291">
        <v>0</v>
      </c>
      <c r="I1374" s="291">
        <v>0</v>
      </c>
      <c r="J1374" s="285">
        <v>2</v>
      </c>
      <c r="K1374" s="284">
        <v>0</v>
      </c>
      <c r="L1374" s="291">
        <v>0</v>
      </c>
      <c r="M1374" s="291">
        <v>0</v>
      </c>
      <c r="N1374" s="291">
        <v>2</v>
      </c>
      <c r="O1374" s="291">
        <v>0</v>
      </c>
      <c r="P1374" s="291">
        <v>4</v>
      </c>
      <c r="Q1374" s="286">
        <v>0</v>
      </c>
      <c r="R1374" s="274">
        <v>10</v>
      </c>
      <c r="S1374" s="274">
        <v>0</v>
      </c>
      <c r="T1374" s="287">
        <f t="shared" si="21"/>
        <v>2017</v>
      </c>
      <c r="U1374" s="274">
        <f>VLOOKUP(A1374,'[1]SB35 Determination Data'!$B$4:$F$542,5,FALSE)</f>
        <v>2014</v>
      </c>
    </row>
    <row r="1375" spans="1:21" s="274" customFormat="1" ht="12.75" x14ac:dyDescent="0.2">
      <c r="A1375" s="274" t="s">
        <v>705</v>
      </c>
      <c r="B1375" s="274" t="s">
        <v>701</v>
      </c>
      <c r="C1375" s="274" t="s">
        <v>660</v>
      </c>
      <c r="D1375" s="295">
        <v>2014</v>
      </c>
      <c r="E1375" s="274" t="s">
        <v>650</v>
      </c>
      <c r="F1375" s="291">
        <v>112</v>
      </c>
      <c r="G1375" s="285">
        <v>16</v>
      </c>
      <c r="H1375" s="291">
        <v>0</v>
      </c>
      <c r="I1375" s="291">
        <v>16</v>
      </c>
      <c r="J1375" s="285">
        <v>76</v>
      </c>
      <c r="K1375" s="284">
        <v>7</v>
      </c>
      <c r="L1375" s="291">
        <v>0</v>
      </c>
      <c r="M1375" s="291">
        <v>7</v>
      </c>
      <c r="N1375" s="291">
        <v>89</v>
      </c>
      <c r="O1375" s="291">
        <v>6</v>
      </c>
      <c r="P1375" s="291">
        <v>209</v>
      </c>
      <c r="Q1375" s="286">
        <v>52</v>
      </c>
      <c r="R1375" s="274">
        <v>486</v>
      </c>
      <c r="S1375" s="274">
        <v>81</v>
      </c>
      <c r="T1375" s="287">
        <f t="shared" si="21"/>
        <v>2014</v>
      </c>
      <c r="U1375" s="274">
        <f>VLOOKUP(A1375,'[1]SB35 Determination Data'!$B$4:$F$542,5,FALSE)</f>
        <v>2014</v>
      </c>
    </row>
    <row r="1376" spans="1:21" s="274" customFormat="1" ht="12.75" x14ac:dyDescent="0.2">
      <c r="A1376" s="274" t="s">
        <v>705</v>
      </c>
      <c r="B1376" s="274" t="s">
        <v>701</v>
      </c>
      <c r="C1376" s="274" t="s">
        <v>660</v>
      </c>
      <c r="D1376" s="295">
        <v>2016</v>
      </c>
      <c r="E1376" s="274" t="s">
        <v>650</v>
      </c>
      <c r="F1376" s="291">
        <v>112</v>
      </c>
      <c r="G1376" s="285">
        <v>0</v>
      </c>
      <c r="H1376" s="291">
        <v>0</v>
      </c>
      <c r="I1376" s="291">
        <v>0</v>
      </c>
      <c r="J1376" s="285">
        <v>76</v>
      </c>
      <c r="K1376" s="284">
        <v>23</v>
      </c>
      <c r="L1376" s="291">
        <v>23</v>
      </c>
      <c r="M1376" s="291">
        <v>0</v>
      </c>
      <c r="N1376" s="291">
        <v>89</v>
      </c>
      <c r="O1376" s="291">
        <v>8</v>
      </c>
      <c r="P1376" s="291">
        <v>209</v>
      </c>
      <c r="Q1376" s="286">
        <v>0</v>
      </c>
      <c r="R1376" s="274">
        <v>486</v>
      </c>
      <c r="S1376" s="274">
        <v>31</v>
      </c>
      <c r="T1376" s="287">
        <f t="shared" si="21"/>
        <v>2016</v>
      </c>
      <c r="U1376" s="274">
        <f>VLOOKUP(A1376,'[1]SB35 Determination Data'!$B$4:$F$542,5,FALSE)</f>
        <v>2014</v>
      </c>
    </row>
    <row r="1377" spans="1:21" s="274" customFormat="1" ht="12.75" x14ac:dyDescent="0.2">
      <c r="A1377" s="274" t="s">
        <v>705</v>
      </c>
      <c r="B1377" s="274" t="s">
        <v>701</v>
      </c>
      <c r="C1377" s="274" t="s">
        <v>660</v>
      </c>
      <c r="D1377" s="295">
        <v>2017</v>
      </c>
      <c r="E1377" s="274" t="s">
        <v>650</v>
      </c>
      <c r="F1377" s="291">
        <v>112</v>
      </c>
      <c r="G1377" s="285">
        <v>0</v>
      </c>
      <c r="H1377" s="291">
        <v>0</v>
      </c>
      <c r="I1377" s="291">
        <v>0</v>
      </c>
      <c r="J1377" s="285">
        <v>76</v>
      </c>
      <c r="K1377" s="284">
        <v>40</v>
      </c>
      <c r="L1377" s="291">
        <v>0</v>
      </c>
      <c r="M1377" s="291">
        <v>40</v>
      </c>
      <c r="N1377" s="291">
        <v>89</v>
      </c>
      <c r="O1377" s="291">
        <v>55</v>
      </c>
      <c r="P1377" s="291">
        <v>209</v>
      </c>
      <c r="Q1377" s="286">
        <v>0</v>
      </c>
      <c r="R1377" s="274">
        <v>486</v>
      </c>
      <c r="S1377" s="274">
        <v>95</v>
      </c>
      <c r="T1377" s="287">
        <f t="shared" si="21"/>
        <v>2017</v>
      </c>
      <c r="U1377" s="274">
        <f>VLOOKUP(A1377,'[1]SB35 Determination Data'!$B$4:$F$542,5,FALSE)</f>
        <v>2014</v>
      </c>
    </row>
    <row r="1378" spans="1:21" s="274" customFormat="1" ht="12.75" x14ac:dyDescent="0.2">
      <c r="A1378" s="274" t="s">
        <v>706</v>
      </c>
      <c r="B1378" s="274" t="s">
        <v>481</v>
      </c>
      <c r="C1378" s="274" t="s">
        <v>649</v>
      </c>
      <c r="D1378" s="295">
        <v>2014</v>
      </c>
      <c r="E1378" s="274" t="s">
        <v>650</v>
      </c>
      <c r="F1378" s="291">
        <v>375</v>
      </c>
      <c r="G1378" s="285">
        <v>0</v>
      </c>
      <c r="H1378" s="291">
        <v>0</v>
      </c>
      <c r="I1378" s="291">
        <v>0</v>
      </c>
      <c r="J1378" s="285">
        <v>251</v>
      </c>
      <c r="K1378" s="284">
        <v>0</v>
      </c>
      <c r="L1378" s="291">
        <v>0</v>
      </c>
      <c r="M1378" s="291">
        <v>0</v>
      </c>
      <c r="N1378" s="291">
        <v>271</v>
      </c>
      <c r="O1378" s="291">
        <v>0</v>
      </c>
      <c r="P1378" s="291">
        <v>596</v>
      </c>
      <c r="Q1378" s="286">
        <v>383</v>
      </c>
      <c r="R1378" s="274">
        <v>1493</v>
      </c>
      <c r="S1378" s="274">
        <v>383</v>
      </c>
      <c r="T1378" s="287">
        <f t="shared" si="21"/>
        <v>2014</v>
      </c>
      <c r="U1378" s="274">
        <f>VLOOKUP(A1378,'[1]SB35 Determination Data'!$B$4:$F$542,5,FALSE)</f>
        <v>2014</v>
      </c>
    </row>
    <row r="1379" spans="1:21" s="274" customFormat="1" ht="12.75" x14ac:dyDescent="0.2">
      <c r="A1379" s="274" t="s">
        <v>706</v>
      </c>
      <c r="B1379" s="274" t="s">
        <v>481</v>
      </c>
      <c r="C1379" s="274" t="s">
        <v>649</v>
      </c>
      <c r="D1379" s="295">
        <v>2015</v>
      </c>
      <c r="E1379" s="274" t="s">
        <v>650</v>
      </c>
      <c r="F1379" s="291">
        <v>375</v>
      </c>
      <c r="G1379" s="285">
        <v>0</v>
      </c>
      <c r="H1379" s="291">
        <v>0</v>
      </c>
      <c r="I1379" s="291">
        <v>0</v>
      </c>
      <c r="J1379" s="285">
        <v>251</v>
      </c>
      <c r="K1379" s="284">
        <v>0</v>
      </c>
      <c r="L1379" s="291">
        <v>0</v>
      </c>
      <c r="M1379" s="291">
        <v>0</v>
      </c>
      <c r="N1379" s="291">
        <v>271</v>
      </c>
      <c r="O1379" s="291">
        <v>0</v>
      </c>
      <c r="P1379" s="291">
        <v>596</v>
      </c>
      <c r="Q1379" s="286">
        <v>223</v>
      </c>
      <c r="R1379" s="274">
        <v>1493</v>
      </c>
      <c r="S1379" s="274">
        <v>223</v>
      </c>
      <c r="T1379" s="287">
        <f t="shared" si="21"/>
        <v>2015</v>
      </c>
      <c r="U1379" s="274">
        <f>VLOOKUP(A1379,'[1]SB35 Determination Data'!$B$4:$F$542,5,FALSE)</f>
        <v>2014</v>
      </c>
    </row>
    <row r="1380" spans="1:21" s="274" customFormat="1" ht="12.75" x14ac:dyDescent="0.2">
      <c r="A1380" s="274" t="s">
        <v>706</v>
      </c>
      <c r="B1380" s="274" t="s">
        <v>481</v>
      </c>
      <c r="C1380" s="274" t="s">
        <v>649</v>
      </c>
      <c r="D1380" s="295">
        <v>2016</v>
      </c>
      <c r="E1380" s="274" t="s">
        <v>650</v>
      </c>
      <c r="F1380" s="291">
        <v>375</v>
      </c>
      <c r="G1380" s="285">
        <v>0</v>
      </c>
      <c r="H1380" s="291">
        <v>0</v>
      </c>
      <c r="I1380" s="291">
        <v>0</v>
      </c>
      <c r="J1380" s="285">
        <v>251</v>
      </c>
      <c r="K1380" s="284">
        <v>0</v>
      </c>
      <c r="L1380" s="291">
        <v>0</v>
      </c>
      <c r="M1380" s="291">
        <v>0</v>
      </c>
      <c r="N1380" s="291">
        <v>271</v>
      </c>
      <c r="O1380" s="291">
        <v>0</v>
      </c>
      <c r="P1380" s="291">
        <v>596</v>
      </c>
      <c r="Q1380" s="286">
        <v>299</v>
      </c>
      <c r="R1380" s="274">
        <v>1493</v>
      </c>
      <c r="S1380" s="274">
        <v>299</v>
      </c>
      <c r="T1380" s="287">
        <f t="shared" si="21"/>
        <v>2016</v>
      </c>
      <c r="U1380" s="274">
        <f>VLOOKUP(A1380,'[1]SB35 Determination Data'!$B$4:$F$542,5,FALSE)</f>
        <v>2014</v>
      </c>
    </row>
    <row r="1381" spans="1:21" s="274" customFormat="1" ht="12.75" x14ac:dyDescent="0.2">
      <c r="A1381" s="274" t="s">
        <v>706</v>
      </c>
      <c r="B1381" s="274" t="s">
        <v>481</v>
      </c>
      <c r="C1381" s="274" t="s">
        <v>649</v>
      </c>
      <c r="D1381" s="295">
        <v>2017</v>
      </c>
      <c r="E1381" s="274" t="s">
        <v>650</v>
      </c>
      <c r="F1381" s="291">
        <v>375</v>
      </c>
      <c r="G1381" s="285">
        <v>15</v>
      </c>
      <c r="H1381" s="291">
        <v>15</v>
      </c>
      <c r="I1381" s="291">
        <v>0</v>
      </c>
      <c r="J1381" s="285">
        <v>251</v>
      </c>
      <c r="K1381" s="284">
        <v>0</v>
      </c>
      <c r="L1381" s="291">
        <v>0</v>
      </c>
      <c r="M1381" s="291">
        <v>0</v>
      </c>
      <c r="N1381" s="291">
        <v>271</v>
      </c>
      <c r="O1381" s="291">
        <v>15</v>
      </c>
      <c r="P1381" s="291">
        <v>596</v>
      </c>
      <c r="Q1381" s="286">
        <v>84</v>
      </c>
      <c r="R1381" s="274">
        <v>1493</v>
      </c>
      <c r="S1381" s="274">
        <v>114</v>
      </c>
      <c r="T1381" s="287">
        <f t="shared" si="21"/>
        <v>2017</v>
      </c>
      <c r="U1381" s="274">
        <f>VLOOKUP(A1381,'[1]SB35 Determination Data'!$B$4:$F$542,5,FALSE)</f>
        <v>2014</v>
      </c>
    </row>
    <row r="1382" spans="1:21" s="274" customFormat="1" ht="12.75" x14ac:dyDescent="0.2">
      <c r="A1382" s="274" t="s">
        <v>623</v>
      </c>
      <c r="B1382" s="274" t="s">
        <v>262</v>
      </c>
      <c r="C1382" s="274" t="s">
        <v>649</v>
      </c>
      <c r="D1382" s="295">
        <v>2017</v>
      </c>
      <c r="E1382" s="274" t="s">
        <v>650</v>
      </c>
      <c r="F1382" s="291">
        <v>159</v>
      </c>
      <c r="G1382" s="285">
        <v>0</v>
      </c>
      <c r="H1382" s="291">
        <v>0</v>
      </c>
      <c r="I1382" s="291">
        <v>0</v>
      </c>
      <c r="J1382" s="285">
        <v>93</v>
      </c>
      <c r="K1382" s="284">
        <v>1</v>
      </c>
      <c r="L1382" s="291">
        <v>1</v>
      </c>
      <c r="M1382" s="291">
        <v>0</v>
      </c>
      <c r="N1382" s="291">
        <v>99</v>
      </c>
      <c r="O1382" s="291">
        <v>5</v>
      </c>
      <c r="P1382" s="291">
        <v>252</v>
      </c>
      <c r="Q1382" s="286">
        <v>92</v>
      </c>
      <c r="R1382" s="274">
        <v>603</v>
      </c>
      <c r="S1382" s="274">
        <v>98</v>
      </c>
      <c r="T1382" s="287">
        <f t="shared" si="21"/>
        <v>2017</v>
      </c>
      <c r="U1382" s="274">
        <f>VLOOKUP(A1382,'[1]SB35 Determination Data'!$B$4:$F$542,5,FALSE)</f>
        <v>2014</v>
      </c>
    </row>
    <row r="1383" spans="1:21" s="274" customFormat="1" ht="12.75" x14ac:dyDescent="0.2">
      <c r="A1383" s="274" t="s">
        <v>707</v>
      </c>
      <c r="B1383" s="274" t="s">
        <v>743</v>
      </c>
      <c r="C1383" s="274" t="s">
        <v>649</v>
      </c>
      <c r="D1383" s="295">
        <v>2014</v>
      </c>
      <c r="E1383" s="274" t="s">
        <v>650</v>
      </c>
      <c r="F1383" s="291">
        <v>47</v>
      </c>
      <c r="G1383" s="285">
        <v>17</v>
      </c>
      <c r="H1383" s="291">
        <v>17</v>
      </c>
      <c r="I1383" s="291">
        <v>0</v>
      </c>
      <c r="J1383" s="285">
        <v>32</v>
      </c>
      <c r="K1383" s="284">
        <v>2</v>
      </c>
      <c r="L1383" s="291">
        <v>2</v>
      </c>
      <c r="M1383" s="291">
        <v>0</v>
      </c>
      <c r="N1383" s="274">
        <v>36</v>
      </c>
      <c r="O1383" s="291">
        <v>1</v>
      </c>
      <c r="P1383" s="291">
        <v>77</v>
      </c>
      <c r="Q1383" s="286">
        <v>27</v>
      </c>
      <c r="R1383" s="274">
        <v>192</v>
      </c>
      <c r="S1383" s="274">
        <v>47</v>
      </c>
      <c r="T1383" s="287">
        <f t="shared" si="21"/>
        <v>2014</v>
      </c>
      <c r="U1383" s="274">
        <f>VLOOKUP(A1383,'[1]SB35 Determination Data'!$B$4:$F$542,5,FALSE)</f>
        <v>2014</v>
      </c>
    </row>
    <row r="1384" spans="1:21" s="274" customFormat="1" ht="12.75" x14ac:dyDescent="0.2">
      <c r="A1384" s="274" t="s">
        <v>707</v>
      </c>
      <c r="B1384" s="274" t="s">
        <v>743</v>
      </c>
      <c r="C1384" s="274" t="s">
        <v>649</v>
      </c>
      <c r="D1384" s="295">
        <v>2015</v>
      </c>
      <c r="E1384" s="274" t="s">
        <v>650</v>
      </c>
      <c r="F1384" s="291">
        <v>47</v>
      </c>
      <c r="G1384" s="285">
        <v>0</v>
      </c>
      <c r="H1384" s="291">
        <v>0</v>
      </c>
      <c r="I1384" s="291">
        <v>0</v>
      </c>
      <c r="J1384" s="285">
        <v>32</v>
      </c>
      <c r="K1384" s="284">
        <v>0</v>
      </c>
      <c r="L1384" s="291">
        <v>0</v>
      </c>
      <c r="M1384" s="291">
        <v>0</v>
      </c>
      <c r="N1384" s="291">
        <v>36</v>
      </c>
      <c r="O1384" s="291">
        <v>0</v>
      </c>
      <c r="P1384" s="291">
        <v>77</v>
      </c>
      <c r="Q1384" s="286">
        <v>115</v>
      </c>
      <c r="R1384" s="274">
        <v>192</v>
      </c>
      <c r="S1384" s="274">
        <v>115</v>
      </c>
      <c r="T1384" s="287">
        <f t="shared" si="21"/>
        <v>2015</v>
      </c>
      <c r="U1384" s="274">
        <f>VLOOKUP(A1384,'[1]SB35 Determination Data'!$B$4:$F$542,5,FALSE)</f>
        <v>2014</v>
      </c>
    </row>
    <row r="1385" spans="1:21" s="274" customFormat="1" ht="12.75" x14ac:dyDescent="0.2">
      <c r="A1385" s="274" t="s">
        <v>707</v>
      </c>
      <c r="B1385" s="274" t="s">
        <v>743</v>
      </c>
      <c r="C1385" s="274" t="s">
        <v>649</v>
      </c>
      <c r="D1385" s="295">
        <v>2016</v>
      </c>
      <c r="E1385" s="274" t="s">
        <v>650</v>
      </c>
      <c r="F1385" s="291">
        <v>47</v>
      </c>
      <c r="G1385" s="285">
        <v>0</v>
      </c>
      <c r="H1385" s="291">
        <v>0</v>
      </c>
      <c r="I1385" s="291">
        <v>0</v>
      </c>
      <c r="J1385" s="285">
        <v>32</v>
      </c>
      <c r="K1385" s="284">
        <v>0</v>
      </c>
      <c r="L1385" s="291">
        <v>0</v>
      </c>
      <c r="M1385" s="291">
        <v>0</v>
      </c>
      <c r="N1385" s="291">
        <v>36</v>
      </c>
      <c r="O1385" s="291">
        <v>38</v>
      </c>
      <c r="P1385" s="291">
        <v>77</v>
      </c>
      <c r="Q1385" s="286">
        <v>62</v>
      </c>
      <c r="R1385" s="274">
        <v>192</v>
      </c>
      <c r="S1385" s="274">
        <v>100</v>
      </c>
      <c r="T1385" s="287">
        <f t="shared" si="21"/>
        <v>2016</v>
      </c>
      <c r="U1385" s="274">
        <f>VLOOKUP(A1385,'[1]SB35 Determination Data'!$B$4:$F$542,5,FALSE)</f>
        <v>2014</v>
      </c>
    </row>
    <row r="1386" spans="1:21" s="274" customFormat="1" ht="12.75" x14ac:dyDescent="0.2">
      <c r="A1386" s="274" t="s">
        <v>707</v>
      </c>
      <c r="B1386" s="274" t="s">
        <v>743</v>
      </c>
      <c r="C1386" s="274" t="s">
        <v>649</v>
      </c>
      <c r="D1386" s="295">
        <v>2017</v>
      </c>
      <c r="E1386" s="274" t="s">
        <v>650</v>
      </c>
      <c r="F1386" s="291">
        <v>47</v>
      </c>
      <c r="G1386" s="285">
        <v>0</v>
      </c>
      <c r="H1386" s="291">
        <v>0</v>
      </c>
      <c r="I1386" s="291">
        <v>0</v>
      </c>
      <c r="J1386" s="285">
        <v>32</v>
      </c>
      <c r="K1386" s="284">
        <v>0</v>
      </c>
      <c r="L1386" s="291">
        <v>0</v>
      </c>
      <c r="M1386" s="291">
        <v>0</v>
      </c>
      <c r="N1386" s="291">
        <v>36</v>
      </c>
      <c r="O1386" s="291">
        <v>50</v>
      </c>
      <c r="P1386" s="291">
        <v>77</v>
      </c>
      <c r="Q1386" s="286">
        <v>16</v>
      </c>
      <c r="R1386" s="274">
        <v>192</v>
      </c>
      <c r="S1386" s="274">
        <v>66</v>
      </c>
      <c r="T1386" s="287">
        <f t="shared" si="21"/>
        <v>2017</v>
      </c>
      <c r="U1386" s="274">
        <f>VLOOKUP(A1386,'[1]SB35 Determination Data'!$B$4:$F$542,5,FALSE)</f>
        <v>2014</v>
      </c>
    </row>
    <row r="1387" spans="1:21" s="274" customFormat="1" ht="12.75" x14ac:dyDescent="0.2">
      <c r="A1387" s="274" t="s">
        <v>708</v>
      </c>
      <c r="B1387" s="274" t="s">
        <v>301</v>
      </c>
      <c r="C1387" s="274" t="s">
        <v>654</v>
      </c>
      <c r="D1387" s="295">
        <v>2014</v>
      </c>
      <c r="E1387" s="274" t="s">
        <v>650</v>
      </c>
      <c r="F1387" s="291">
        <v>24</v>
      </c>
      <c r="G1387" s="285">
        <v>0</v>
      </c>
      <c r="H1387" s="291">
        <v>0</v>
      </c>
      <c r="I1387" s="291">
        <v>0</v>
      </c>
      <c r="J1387" s="285">
        <v>16</v>
      </c>
      <c r="K1387" s="284">
        <v>0</v>
      </c>
      <c r="L1387" s="291">
        <v>0</v>
      </c>
      <c r="M1387" s="291">
        <v>0</v>
      </c>
      <c r="N1387" s="291">
        <v>19</v>
      </c>
      <c r="O1387" s="291">
        <v>0</v>
      </c>
      <c r="P1387" s="291">
        <v>19</v>
      </c>
      <c r="Q1387" s="286">
        <v>2</v>
      </c>
      <c r="R1387" s="274">
        <v>78</v>
      </c>
      <c r="S1387" s="274">
        <v>2</v>
      </c>
      <c r="T1387" s="287">
        <f t="shared" si="21"/>
        <v>2015</v>
      </c>
      <c r="U1387" s="274">
        <f>VLOOKUP(A1387,'[1]SB35 Determination Data'!$B$4:$F$542,5,FALSE)</f>
        <v>2015</v>
      </c>
    </row>
    <row r="1388" spans="1:21" s="274" customFormat="1" ht="12.75" x14ac:dyDescent="0.2">
      <c r="A1388" s="274" t="s">
        <v>708</v>
      </c>
      <c r="B1388" s="274" t="s">
        <v>301</v>
      </c>
      <c r="C1388" s="274" t="s">
        <v>654</v>
      </c>
      <c r="D1388" s="295">
        <v>2015</v>
      </c>
      <c r="E1388" s="274" t="s">
        <v>650</v>
      </c>
      <c r="F1388" s="291">
        <v>24</v>
      </c>
      <c r="G1388" s="285">
        <v>0</v>
      </c>
      <c r="H1388" s="291">
        <v>0</v>
      </c>
      <c r="I1388" s="291">
        <v>0</v>
      </c>
      <c r="J1388" s="285">
        <v>16</v>
      </c>
      <c r="K1388" s="284">
        <v>0</v>
      </c>
      <c r="L1388" s="291">
        <v>0</v>
      </c>
      <c r="M1388" s="291">
        <v>0</v>
      </c>
      <c r="N1388" s="274">
        <v>19</v>
      </c>
      <c r="O1388" s="291">
        <v>0</v>
      </c>
      <c r="P1388" s="291">
        <v>19</v>
      </c>
      <c r="Q1388" s="286">
        <v>0</v>
      </c>
      <c r="R1388" s="274">
        <v>78</v>
      </c>
      <c r="S1388" s="274">
        <v>0</v>
      </c>
      <c r="T1388" s="287">
        <f t="shared" si="21"/>
        <v>2015</v>
      </c>
      <c r="U1388" s="274">
        <f>VLOOKUP(A1388,'[1]SB35 Determination Data'!$B$4:$F$542,5,FALSE)</f>
        <v>2015</v>
      </c>
    </row>
    <row r="1389" spans="1:21" s="274" customFormat="1" ht="12.75" x14ac:dyDescent="0.2">
      <c r="A1389" s="274" t="s">
        <v>708</v>
      </c>
      <c r="B1389" s="274" t="s">
        <v>301</v>
      </c>
      <c r="C1389" s="274" t="s">
        <v>654</v>
      </c>
      <c r="D1389" s="295">
        <v>2016</v>
      </c>
      <c r="E1389" s="274" t="s">
        <v>650</v>
      </c>
      <c r="F1389" s="291">
        <v>24</v>
      </c>
      <c r="G1389" s="285">
        <v>0</v>
      </c>
      <c r="H1389" s="291">
        <v>0</v>
      </c>
      <c r="I1389" s="291">
        <v>0</v>
      </c>
      <c r="J1389" s="285">
        <v>16</v>
      </c>
      <c r="K1389" s="284">
        <v>0</v>
      </c>
      <c r="L1389" s="291">
        <v>0</v>
      </c>
      <c r="M1389" s="291">
        <v>0</v>
      </c>
      <c r="N1389" s="291">
        <v>19</v>
      </c>
      <c r="O1389" s="291">
        <v>0</v>
      </c>
      <c r="P1389" s="291">
        <v>19</v>
      </c>
      <c r="Q1389" s="286">
        <v>2</v>
      </c>
      <c r="R1389" s="274">
        <v>78</v>
      </c>
      <c r="S1389" s="274">
        <v>2</v>
      </c>
      <c r="T1389" s="287">
        <f t="shared" si="21"/>
        <v>2016</v>
      </c>
      <c r="U1389" s="274">
        <f>VLOOKUP(A1389,'[1]SB35 Determination Data'!$B$4:$F$542,5,FALSE)</f>
        <v>2015</v>
      </c>
    </row>
    <row r="1390" spans="1:21" s="274" customFormat="1" ht="12.75" x14ac:dyDescent="0.2">
      <c r="A1390" s="274" t="s">
        <v>708</v>
      </c>
      <c r="B1390" s="274" t="s">
        <v>301</v>
      </c>
      <c r="C1390" s="274" t="s">
        <v>654</v>
      </c>
      <c r="D1390" s="295">
        <v>2017</v>
      </c>
      <c r="E1390" s="274" t="s">
        <v>650</v>
      </c>
      <c r="F1390" s="291">
        <v>24</v>
      </c>
      <c r="G1390" s="285">
        <v>0</v>
      </c>
      <c r="H1390" s="291">
        <v>0</v>
      </c>
      <c r="I1390" s="291">
        <v>0</v>
      </c>
      <c r="J1390" s="285">
        <v>16</v>
      </c>
      <c r="K1390" s="284">
        <v>0</v>
      </c>
      <c r="L1390" s="291">
        <v>0</v>
      </c>
      <c r="M1390" s="291">
        <v>0</v>
      </c>
      <c r="N1390" s="291">
        <v>19</v>
      </c>
      <c r="O1390" s="291">
        <v>0</v>
      </c>
      <c r="P1390" s="291">
        <v>19</v>
      </c>
      <c r="Q1390" s="286">
        <v>7</v>
      </c>
      <c r="R1390" s="274">
        <v>78</v>
      </c>
      <c r="S1390" s="274">
        <v>7</v>
      </c>
      <c r="T1390" s="287">
        <f t="shared" si="21"/>
        <v>2017</v>
      </c>
      <c r="U1390" s="274">
        <f>VLOOKUP(A1390,'[1]SB35 Determination Data'!$B$4:$F$542,5,FALSE)</f>
        <v>2015</v>
      </c>
    </row>
    <row r="1391" spans="1:21" s="274" customFormat="1" ht="12.75" x14ac:dyDescent="0.2">
      <c r="A1391" s="274" t="s">
        <v>516</v>
      </c>
      <c r="B1391" s="274" t="s">
        <v>262</v>
      </c>
      <c r="C1391" s="274" t="s">
        <v>649</v>
      </c>
      <c r="D1391" s="295">
        <v>2014</v>
      </c>
      <c r="E1391" s="274" t="s">
        <v>650</v>
      </c>
      <c r="F1391" s="291">
        <v>380</v>
      </c>
      <c r="G1391" s="285">
        <v>0</v>
      </c>
      <c r="H1391" s="291">
        <v>0</v>
      </c>
      <c r="I1391" s="291">
        <v>0</v>
      </c>
      <c r="J1391" s="285">
        <v>227</v>
      </c>
      <c r="K1391" s="284">
        <v>0</v>
      </c>
      <c r="L1391" s="291">
        <v>0</v>
      </c>
      <c r="M1391" s="291">
        <v>0</v>
      </c>
      <c r="N1391" s="291">
        <v>243</v>
      </c>
      <c r="O1391" s="291">
        <v>0</v>
      </c>
      <c r="P1391" s="291">
        <v>600</v>
      </c>
      <c r="Q1391" s="286">
        <v>12</v>
      </c>
      <c r="R1391" s="274">
        <v>1450</v>
      </c>
      <c r="S1391" s="274">
        <v>12</v>
      </c>
      <c r="T1391" s="287">
        <f t="shared" si="21"/>
        <v>2014</v>
      </c>
      <c r="U1391" s="274">
        <f>VLOOKUP(A1391,'[1]SB35 Determination Data'!$B$4:$F$542,5,FALSE)</f>
        <v>2014</v>
      </c>
    </row>
    <row r="1392" spans="1:21" s="274" customFormat="1" ht="12.75" x14ac:dyDescent="0.2">
      <c r="A1392" s="274" t="s">
        <v>516</v>
      </c>
      <c r="B1392" s="274" t="s">
        <v>262</v>
      </c>
      <c r="C1392" s="274" t="s">
        <v>649</v>
      </c>
      <c r="D1392" s="295">
        <v>2015</v>
      </c>
      <c r="E1392" s="274" t="s">
        <v>650</v>
      </c>
      <c r="F1392" s="291">
        <v>380</v>
      </c>
      <c r="G1392" s="285">
        <v>0</v>
      </c>
      <c r="H1392" s="291">
        <v>0</v>
      </c>
      <c r="I1392" s="291">
        <v>0</v>
      </c>
      <c r="J1392" s="285">
        <v>227</v>
      </c>
      <c r="K1392" s="284">
        <v>0</v>
      </c>
      <c r="L1392" s="291">
        <v>0</v>
      </c>
      <c r="M1392" s="291">
        <v>0</v>
      </c>
      <c r="N1392" s="291">
        <v>243</v>
      </c>
      <c r="O1392" s="291">
        <v>0</v>
      </c>
      <c r="P1392" s="291">
        <v>600</v>
      </c>
      <c r="Q1392" s="286">
        <v>21</v>
      </c>
      <c r="R1392" s="274">
        <v>1450</v>
      </c>
      <c r="S1392" s="274">
        <v>21</v>
      </c>
      <c r="T1392" s="287">
        <f t="shared" si="21"/>
        <v>2015</v>
      </c>
      <c r="U1392" s="274">
        <f>VLOOKUP(A1392,'[1]SB35 Determination Data'!$B$4:$F$542,5,FALSE)</f>
        <v>2014</v>
      </c>
    </row>
    <row r="1393" spans="1:21" s="274" customFormat="1" ht="12.75" x14ac:dyDescent="0.2">
      <c r="A1393" s="274" t="s">
        <v>516</v>
      </c>
      <c r="B1393" s="274" t="s">
        <v>262</v>
      </c>
      <c r="C1393" s="274" t="s">
        <v>649</v>
      </c>
      <c r="D1393" s="295">
        <v>2016</v>
      </c>
      <c r="E1393" s="274" t="s">
        <v>650</v>
      </c>
      <c r="F1393" s="291">
        <v>380</v>
      </c>
      <c r="G1393" s="285">
        <v>0</v>
      </c>
      <c r="H1393" s="291">
        <v>0</v>
      </c>
      <c r="I1393" s="291">
        <v>0</v>
      </c>
      <c r="J1393" s="285">
        <v>227</v>
      </c>
      <c r="K1393" s="284">
        <v>0</v>
      </c>
      <c r="L1393" s="291">
        <v>0</v>
      </c>
      <c r="M1393" s="291">
        <v>0</v>
      </c>
      <c r="N1393" s="274">
        <v>243</v>
      </c>
      <c r="O1393" s="291">
        <v>1</v>
      </c>
      <c r="P1393" s="291">
        <v>600</v>
      </c>
      <c r="Q1393" s="286">
        <v>49</v>
      </c>
      <c r="R1393" s="274">
        <v>1450</v>
      </c>
      <c r="S1393" s="274">
        <v>50</v>
      </c>
      <c r="T1393" s="287">
        <f t="shared" si="21"/>
        <v>2016</v>
      </c>
      <c r="U1393" s="274">
        <f>VLOOKUP(A1393,'[1]SB35 Determination Data'!$B$4:$F$542,5,FALSE)</f>
        <v>2014</v>
      </c>
    </row>
    <row r="1394" spans="1:21" s="274" customFormat="1" ht="12.75" x14ac:dyDescent="0.2">
      <c r="A1394" s="274" t="s">
        <v>516</v>
      </c>
      <c r="B1394" s="274" t="s">
        <v>262</v>
      </c>
      <c r="C1394" s="274" t="s">
        <v>649</v>
      </c>
      <c r="D1394" s="295">
        <v>2017</v>
      </c>
      <c r="E1394" s="274" t="s">
        <v>650</v>
      </c>
      <c r="F1394" s="291">
        <v>380</v>
      </c>
      <c r="G1394" s="285">
        <v>0</v>
      </c>
      <c r="H1394" s="291">
        <v>0</v>
      </c>
      <c r="I1394" s="291">
        <v>0</v>
      </c>
      <c r="J1394" s="285">
        <v>227</v>
      </c>
      <c r="K1394" s="284">
        <v>0</v>
      </c>
      <c r="L1394" s="291">
        <v>0</v>
      </c>
      <c r="M1394" s="291">
        <v>0</v>
      </c>
      <c r="N1394" s="291">
        <v>243</v>
      </c>
      <c r="O1394" s="291">
        <v>4</v>
      </c>
      <c r="P1394" s="291">
        <v>600</v>
      </c>
      <c r="Q1394" s="286">
        <v>9</v>
      </c>
      <c r="R1394" s="274">
        <v>1450</v>
      </c>
      <c r="S1394" s="274">
        <v>13</v>
      </c>
      <c r="T1394" s="287">
        <f t="shared" si="21"/>
        <v>2017</v>
      </c>
      <c r="U1394" s="274">
        <f>VLOOKUP(A1394,'[1]SB35 Determination Data'!$B$4:$F$542,5,FALSE)</f>
        <v>2014</v>
      </c>
    </row>
    <row r="1395" spans="1:21" s="274" customFormat="1" ht="12.75" x14ac:dyDescent="0.2">
      <c r="A1395" s="274" t="s">
        <v>710</v>
      </c>
      <c r="B1395" s="274" t="s">
        <v>383</v>
      </c>
      <c r="C1395" s="274" t="s">
        <v>531</v>
      </c>
      <c r="D1395" s="295">
        <v>2015</v>
      </c>
      <c r="E1395" s="274" t="s">
        <v>650</v>
      </c>
      <c r="F1395" s="291">
        <v>980</v>
      </c>
      <c r="G1395" s="285">
        <v>0</v>
      </c>
      <c r="H1395" s="291">
        <v>0</v>
      </c>
      <c r="I1395" s="291">
        <v>0</v>
      </c>
      <c r="J1395" s="285">
        <v>705</v>
      </c>
      <c r="K1395" s="284">
        <v>0</v>
      </c>
      <c r="L1395" s="291">
        <v>0</v>
      </c>
      <c r="M1395" s="291">
        <v>0</v>
      </c>
      <c r="N1395" s="291">
        <v>828</v>
      </c>
      <c r="O1395" s="291">
        <v>0</v>
      </c>
      <c r="P1395" s="291">
        <v>2463</v>
      </c>
      <c r="Q1395" s="286">
        <v>0</v>
      </c>
      <c r="R1395" s="274">
        <v>4976</v>
      </c>
      <c r="S1395" s="274">
        <v>0</v>
      </c>
      <c r="T1395" s="287">
        <f t="shared" si="21"/>
        <v>2016</v>
      </c>
      <c r="U1395" s="274">
        <f>VLOOKUP(A1395,'[1]SB35 Determination Data'!$B$4:$F$542,5,FALSE)</f>
        <v>2016</v>
      </c>
    </row>
    <row r="1396" spans="1:21" s="274" customFormat="1" ht="12.75" x14ac:dyDescent="0.2">
      <c r="A1396" s="274" t="s">
        <v>710</v>
      </c>
      <c r="B1396" s="274" t="s">
        <v>383</v>
      </c>
      <c r="C1396" s="274" t="s">
        <v>531</v>
      </c>
      <c r="D1396" s="295">
        <v>2016</v>
      </c>
      <c r="E1396" s="274" t="s">
        <v>650</v>
      </c>
      <c r="F1396" s="291">
        <v>980</v>
      </c>
      <c r="G1396" s="285">
        <v>0</v>
      </c>
      <c r="H1396" s="291">
        <v>0</v>
      </c>
      <c r="I1396" s="291">
        <v>0</v>
      </c>
      <c r="J1396" s="285">
        <v>705</v>
      </c>
      <c r="K1396" s="284">
        <v>0</v>
      </c>
      <c r="L1396" s="291">
        <v>0</v>
      </c>
      <c r="M1396" s="291">
        <v>0</v>
      </c>
      <c r="N1396" s="274">
        <v>828</v>
      </c>
      <c r="O1396" s="291">
        <v>2</v>
      </c>
      <c r="P1396" s="291">
        <v>2463</v>
      </c>
      <c r="Q1396" s="286">
        <v>1003</v>
      </c>
      <c r="R1396" s="274">
        <v>4976</v>
      </c>
      <c r="S1396" s="274">
        <v>1005</v>
      </c>
      <c r="T1396" s="287">
        <f t="shared" si="21"/>
        <v>2016</v>
      </c>
      <c r="U1396" s="274">
        <f>VLOOKUP(A1396,'[1]SB35 Determination Data'!$B$4:$F$542,5,FALSE)</f>
        <v>2016</v>
      </c>
    </row>
    <row r="1397" spans="1:21" s="274" customFormat="1" ht="12.75" x14ac:dyDescent="0.2">
      <c r="A1397" s="274" t="s">
        <v>710</v>
      </c>
      <c r="B1397" s="274" t="s">
        <v>383</v>
      </c>
      <c r="C1397" s="274" t="s">
        <v>531</v>
      </c>
      <c r="D1397" s="295">
        <v>2017</v>
      </c>
      <c r="E1397" s="274" t="s">
        <v>650</v>
      </c>
      <c r="F1397" s="291">
        <v>980</v>
      </c>
      <c r="G1397" s="285">
        <v>0</v>
      </c>
      <c r="H1397" s="291">
        <v>0</v>
      </c>
      <c r="I1397" s="291">
        <v>0</v>
      </c>
      <c r="J1397" s="285">
        <v>705</v>
      </c>
      <c r="K1397" s="284">
        <v>0</v>
      </c>
      <c r="L1397" s="291">
        <v>0</v>
      </c>
      <c r="M1397" s="291">
        <v>0</v>
      </c>
      <c r="N1397" s="291">
        <v>828</v>
      </c>
      <c r="O1397" s="291">
        <v>3</v>
      </c>
      <c r="P1397" s="291">
        <v>2463</v>
      </c>
      <c r="Q1397" s="286">
        <v>301</v>
      </c>
      <c r="R1397" s="274">
        <v>4976</v>
      </c>
      <c r="S1397" s="274">
        <v>304</v>
      </c>
      <c r="T1397" s="287">
        <f t="shared" si="21"/>
        <v>2017</v>
      </c>
      <c r="U1397" s="274">
        <f>VLOOKUP(A1397,'[1]SB35 Determination Data'!$B$4:$F$542,5,FALSE)</f>
        <v>2016</v>
      </c>
    </row>
    <row r="1398" spans="1:21" s="274" customFormat="1" ht="12.75" x14ac:dyDescent="0.2">
      <c r="A1398" s="274" t="s">
        <v>713</v>
      </c>
      <c r="B1398" s="274" t="s">
        <v>425</v>
      </c>
      <c r="C1398" s="274" t="s">
        <v>660</v>
      </c>
      <c r="D1398" s="295">
        <v>2014</v>
      </c>
      <c r="E1398" s="274" t="s">
        <v>650</v>
      </c>
      <c r="F1398" s="291">
        <v>108</v>
      </c>
      <c r="G1398" s="285">
        <v>0</v>
      </c>
      <c r="H1398" s="291">
        <v>0</v>
      </c>
      <c r="I1398" s="291">
        <v>0</v>
      </c>
      <c r="J1398" s="285">
        <v>75</v>
      </c>
      <c r="K1398" s="284">
        <v>0</v>
      </c>
      <c r="L1398" s="291">
        <v>0</v>
      </c>
      <c r="M1398" s="291">
        <v>0</v>
      </c>
      <c r="N1398" s="291">
        <v>78</v>
      </c>
      <c r="O1398" s="291">
        <v>0</v>
      </c>
      <c r="P1398" s="291">
        <v>199</v>
      </c>
      <c r="Q1398" s="286">
        <v>95</v>
      </c>
      <c r="R1398" s="274">
        <v>460</v>
      </c>
      <c r="S1398" s="274">
        <v>95</v>
      </c>
      <c r="T1398" s="287">
        <f t="shared" si="21"/>
        <v>2014</v>
      </c>
      <c r="U1398" s="274">
        <f>VLOOKUP(A1398,'[1]SB35 Determination Data'!$B$4:$F$542,5,FALSE)</f>
        <v>2014</v>
      </c>
    </row>
    <row r="1399" spans="1:21" s="274" customFormat="1" ht="12.75" x14ac:dyDescent="0.2">
      <c r="A1399" s="274" t="s">
        <v>713</v>
      </c>
      <c r="B1399" s="274" t="s">
        <v>425</v>
      </c>
      <c r="C1399" s="274" t="s">
        <v>660</v>
      </c>
      <c r="D1399" s="295">
        <v>2015</v>
      </c>
      <c r="E1399" s="274" t="s">
        <v>650</v>
      </c>
      <c r="F1399" s="291">
        <v>108</v>
      </c>
      <c r="G1399" s="285">
        <v>0</v>
      </c>
      <c r="H1399" s="291">
        <v>0</v>
      </c>
      <c r="I1399" s="291">
        <v>0</v>
      </c>
      <c r="J1399" s="285">
        <v>75</v>
      </c>
      <c r="K1399" s="284">
        <v>0</v>
      </c>
      <c r="L1399" s="291">
        <v>0</v>
      </c>
      <c r="M1399" s="291">
        <v>0</v>
      </c>
      <c r="N1399" s="291">
        <v>78</v>
      </c>
      <c r="O1399" s="291">
        <v>0</v>
      </c>
      <c r="P1399" s="291">
        <v>199</v>
      </c>
      <c r="Q1399" s="286">
        <v>87</v>
      </c>
      <c r="R1399" s="274">
        <v>460</v>
      </c>
      <c r="S1399" s="274">
        <v>87</v>
      </c>
      <c r="T1399" s="287">
        <f t="shared" si="21"/>
        <v>2015</v>
      </c>
      <c r="U1399" s="274">
        <f>VLOOKUP(A1399,'[1]SB35 Determination Data'!$B$4:$F$542,5,FALSE)</f>
        <v>2014</v>
      </c>
    </row>
    <row r="1400" spans="1:21" s="274" customFormat="1" ht="12.75" x14ac:dyDescent="0.2">
      <c r="A1400" s="274" t="s">
        <v>713</v>
      </c>
      <c r="B1400" s="274" t="s">
        <v>425</v>
      </c>
      <c r="C1400" s="274" t="s">
        <v>660</v>
      </c>
      <c r="D1400" s="295">
        <v>2016</v>
      </c>
      <c r="E1400" s="274" t="s">
        <v>650</v>
      </c>
      <c r="F1400" s="291">
        <v>108</v>
      </c>
      <c r="G1400" s="285">
        <v>0</v>
      </c>
      <c r="H1400" s="291">
        <v>0</v>
      </c>
      <c r="I1400" s="291">
        <v>0</v>
      </c>
      <c r="J1400" s="285">
        <v>75</v>
      </c>
      <c r="K1400" s="284">
        <v>0</v>
      </c>
      <c r="L1400" s="291">
        <v>0</v>
      </c>
      <c r="M1400" s="291">
        <v>0</v>
      </c>
      <c r="N1400" s="291">
        <v>78</v>
      </c>
      <c r="O1400" s="291">
        <v>0</v>
      </c>
      <c r="P1400" s="291">
        <v>199</v>
      </c>
      <c r="Q1400" s="286">
        <v>116</v>
      </c>
      <c r="R1400" s="274">
        <v>460</v>
      </c>
      <c r="S1400" s="274">
        <v>116</v>
      </c>
      <c r="T1400" s="287">
        <f t="shared" si="21"/>
        <v>2016</v>
      </c>
      <c r="U1400" s="274">
        <f>VLOOKUP(A1400,'[1]SB35 Determination Data'!$B$4:$F$542,5,FALSE)</f>
        <v>2014</v>
      </c>
    </row>
    <row r="1401" spans="1:21" s="274" customFormat="1" ht="12.75" x14ac:dyDescent="0.2">
      <c r="A1401" s="274" t="s">
        <v>713</v>
      </c>
      <c r="B1401" s="274" t="s">
        <v>425</v>
      </c>
      <c r="C1401" s="274" t="s">
        <v>660</v>
      </c>
      <c r="D1401" s="295">
        <v>2017</v>
      </c>
      <c r="E1401" s="274" t="s">
        <v>650</v>
      </c>
      <c r="F1401" s="291">
        <v>108</v>
      </c>
      <c r="G1401" s="285">
        <v>0</v>
      </c>
      <c r="H1401" s="291">
        <v>0</v>
      </c>
      <c r="I1401" s="291">
        <v>0</v>
      </c>
      <c r="J1401" s="285">
        <v>75</v>
      </c>
      <c r="K1401" s="284">
        <v>0</v>
      </c>
      <c r="L1401" s="291">
        <v>0</v>
      </c>
      <c r="M1401" s="291">
        <v>0</v>
      </c>
      <c r="N1401" s="274">
        <v>78</v>
      </c>
      <c r="O1401" s="291">
        <v>0</v>
      </c>
      <c r="P1401" s="291">
        <v>199</v>
      </c>
      <c r="Q1401" s="286">
        <v>93</v>
      </c>
      <c r="R1401" s="274">
        <v>460</v>
      </c>
      <c r="S1401" s="274">
        <v>93</v>
      </c>
      <c r="T1401" s="287">
        <f t="shared" si="21"/>
        <v>2017</v>
      </c>
      <c r="U1401" s="274">
        <f>VLOOKUP(A1401,'[1]SB35 Determination Data'!$B$4:$F$542,5,FALSE)</f>
        <v>2014</v>
      </c>
    </row>
    <row r="1402" spans="1:21" s="274" customFormat="1" ht="12.75" x14ac:dyDescent="0.2">
      <c r="A1402" s="274" t="s">
        <v>714</v>
      </c>
      <c r="B1402" s="274" t="s">
        <v>714</v>
      </c>
      <c r="C1402" s="274" t="s">
        <v>531</v>
      </c>
      <c r="D1402" s="295">
        <v>2015</v>
      </c>
      <c r="E1402" s="274" t="s">
        <v>650</v>
      </c>
      <c r="F1402" s="291">
        <v>920</v>
      </c>
      <c r="G1402" s="285">
        <v>0</v>
      </c>
      <c r="H1402" s="291">
        <v>0</v>
      </c>
      <c r="I1402" s="291">
        <v>0</v>
      </c>
      <c r="J1402" s="285">
        <v>609</v>
      </c>
      <c r="K1402" s="284">
        <v>0</v>
      </c>
      <c r="L1402" s="291">
        <v>0</v>
      </c>
      <c r="M1402" s="291">
        <v>0</v>
      </c>
      <c r="N1402" s="291">
        <v>613</v>
      </c>
      <c r="O1402" s="291">
        <v>0</v>
      </c>
      <c r="P1402" s="291">
        <v>1452</v>
      </c>
      <c r="Q1402" s="286">
        <v>485</v>
      </c>
      <c r="R1402" s="274">
        <v>3594</v>
      </c>
      <c r="S1402" s="274">
        <v>485</v>
      </c>
      <c r="T1402" s="287">
        <f t="shared" si="21"/>
        <v>2016</v>
      </c>
      <c r="U1402" s="274">
        <f>VLOOKUP(A1402,'[1]SB35 Determination Data'!$B$4:$F$542,5,FALSE)</f>
        <v>2016</v>
      </c>
    </row>
    <row r="1403" spans="1:21" s="274" customFormat="1" ht="12.75" x14ac:dyDescent="0.2">
      <c r="A1403" s="274" t="s">
        <v>714</v>
      </c>
      <c r="B1403" s="274" t="s">
        <v>714</v>
      </c>
      <c r="C1403" s="274" t="s">
        <v>531</v>
      </c>
      <c r="D1403" s="295">
        <v>2016</v>
      </c>
      <c r="E1403" s="274" t="s">
        <v>650</v>
      </c>
      <c r="F1403" s="291">
        <v>920</v>
      </c>
      <c r="G1403" s="285">
        <v>0</v>
      </c>
      <c r="H1403" s="291">
        <v>0</v>
      </c>
      <c r="I1403" s="291">
        <v>0</v>
      </c>
      <c r="J1403" s="285">
        <v>609</v>
      </c>
      <c r="K1403" s="284">
        <v>0</v>
      </c>
      <c r="L1403" s="291">
        <v>0</v>
      </c>
      <c r="M1403" s="291">
        <v>0</v>
      </c>
      <c r="N1403" s="291">
        <v>613</v>
      </c>
      <c r="O1403" s="291">
        <v>0</v>
      </c>
      <c r="P1403" s="291">
        <v>1452</v>
      </c>
      <c r="Q1403" s="286">
        <v>335</v>
      </c>
      <c r="R1403" s="274">
        <v>3594</v>
      </c>
      <c r="S1403" s="274">
        <v>335</v>
      </c>
      <c r="T1403" s="287">
        <f t="shared" si="21"/>
        <v>2016</v>
      </c>
      <c r="U1403" s="274">
        <f>VLOOKUP(A1403,'[1]SB35 Determination Data'!$B$4:$F$542,5,FALSE)</f>
        <v>2016</v>
      </c>
    </row>
    <row r="1404" spans="1:21" s="274" customFormat="1" ht="12.75" x14ac:dyDescent="0.2">
      <c r="A1404" s="274" t="s">
        <v>714</v>
      </c>
      <c r="B1404" s="274" t="s">
        <v>714</v>
      </c>
      <c r="C1404" s="274" t="s">
        <v>531</v>
      </c>
      <c r="D1404" s="295">
        <v>2017</v>
      </c>
      <c r="E1404" s="274" t="s">
        <v>650</v>
      </c>
      <c r="F1404" s="291">
        <v>920</v>
      </c>
      <c r="G1404" s="285">
        <v>0</v>
      </c>
      <c r="H1404" s="291">
        <v>0</v>
      </c>
      <c r="I1404" s="291">
        <v>0</v>
      </c>
      <c r="J1404" s="285">
        <v>609</v>
      </c>
      <c r="K1404" s="284">
        <v>7</v>
      </c>
      <c r="L1404" s="291">
        <v>7</v>
      </c>
      <c r="M1404" s="291">
        <v>0</v>
      </c>
      <c r="N1404" s="291">
        <v>613</v>
      </c>
      <c r="O1404" s="291">
        <v>0</v>
      </c>
      <c r="P1404" s="291">
        <v>1452</v>
      </c>
      <c r="Q1404" s="286">
        <v>354</v>
      </c>
      <c r="R1404" s="274">
        <v>3594</v>
      </c>
      <c r="S1404" s="274">
        <v>361</v>
      </c>
      <c r="T1404" s="287">
        <f t="shared" si="21"/>
        <v>2017</v>
      </c>
      <c r="U1404" s="274">
        <f>VLOOKUP(A1404,'[1]SB35 Determination Data'!$B$4:$F$542,5,FALSE)</f>
        <v>2016</v>
      </c>
    </row>
    <row r="1405" spans="1:21" s="274" customFormat="1" ht="12.75" x14ac:dyDescent="0.2">
      <c r="A1405" s="274" t="s">
        <v>715</v>
      </c>
      <c r="B1405" s="274" t="s">
        <v>714</v>
      </c>
      <c r="C1405" s="274" t="s">
        <v>531</v>
      </c>
      <c r="D1405" s="295">
        <v>2015</v>
      </c>
      <c r="E1405" s="274" t="s">
        <v>650</v>
      </c>
      <c r="F1405" s="291">
        <v>1477</v>
      </c>
      <c r="G1405" s="285">
        <v>55</v>
      </c>
      <c r="H1405" s="291">
        <v>0</v>
      </c>
      <c r="I1405" s="291">
        <v>55</v>
      </c>
      <c r="J1405" s="285">
        <v>1065</v>
      </c>
      <c r="K1405" s="284">
        <v>63</v>
      </c>
      <c r="L1405" s="291">
        <v>0</v>
      </c>
      <c r="M1405" s="291">
        <v>63</v>
      </c>
      <c r="N1405" s="291">
        <v>1169</v>
      </c>
      <c r="O1405" s="291">
        <v>25</v>
      </c>
      <c r="P1405" s="291">
        <v>3370</v>
      </c>
      <c r="Q1405" s="286">
        <v>23</v>
      </c>
      <c r="R1405" s="274">
        <v>7081</v>
      </c>
      <c r="S1405" s="274">
        <v>166</v>
      </c>
      <c r="T1405" s="287">
        <f t="shared" si="21"/>
        <v>2016</v>
      </c>
      <c r="U1405" s="274">
        <f>VLOOKUP(A1405,'[1]SB35 Determination Data'!$B$4:$F$542,5,FALSE)</f>
        <v>2016</v>
      </c>
    </row>
    <row r="1406" spans="1:21" s="274" customFormat="1" ht="12.75" x14ac:dyDescent="0.2">
      <c r="A1406" s="274" t="s">
        <v>715</v>
      </c>
      <c r="B1406" s="274" t="s">
        <v>714</v>
      </c>
      <c r="C1406" s="274" t="s">
        <v>531</v>
      </c>
      <c r="D1406" s="295">
        <v>2016</v>
      </c>
      <c r="E1406" s="274" t="s">
        <v>650</v>
      </c>
      <c r="F1406" s="291">
        <v>1477</v>
      </c>
      <c r="G1406" s="285">
        <v>67</v>
      </c>
      <c r="H1406" s="291">
        <v>0</v>
      </c>
      <c r="I1406" s="291">
        <v>67</v>
      </c>
      <c r="J1406" s="285">
        <v>1065</v>
      </c>
      <c r="K1406" s="284">
        <v>27</v>
      </c>
      <c r="L1406" s="291">
        <v>0</v>
      </c>
      <c r="M1406" s="291">
        <v>27</v>
      </c>
      <c r="N1406" s="291">
        <v>1169</v>
      </c>
      <c r="O1406" s="291">
        <v>57</v>
      </c>
      <c r="P1406" s="291">
        <v>3370</v>
      </c>
      <c r="Q1406" s="286">
        <v>58</v>
      </c>
      <c r="R1406" s="274">
        <v>7081</v>
      </c>
      <c r="S1406" s="274">
        <v>209</v>
      </c>
      <c r="T1406" s="287">
        <f t="shared" si="21"/>
        <v>2016</v>
      </c>
      <c r="U1406" s="274">
        <f>VLOOKUP(A1406,'[1]SB35 Determination Data'!$B$4:$F$542,5,FALSE)</f>
        <v>2016</v>
      </c>
    </row>
    <row r="1407" spans="1:21" s="274" customFormat="1" ht="12.75" x14ac:dyDescent="0.2">
      <c r="A1407" s="274" t="s">
        <v>715</v>
      </c>
      <c r="B1407" s="274" t="s">
        <v>714</v>
      </c>
      <c r="C1407" s="274" t="s">
        <v>531</v>
      </c>
      <c r="D1407" s="295">
        <v>2017</v>
      </c>
      <c r="E1407" s="274" t="s">
        <v>650</v>
      </c>
      <c r="F1407" s="291">
        <v>1477</v>
      </c>
      <c r="G1407" s="285">
        <v>33</v>
      </c>
      <c r="H1407" s="291">
        <v>0</v>
      </c>
      <c r="I1407" s="291">
        <v>33</v>
      </c>
      <c r="J1407" s="285">
        <v>1065</v>
      </c>
      <c r="K1407" s="284">
        <v>84</v>
      </c>
      <c r="L1407" s="291">
        <v>0</v>
      </c>
      <c r="M1407" s="291">
        <v>84</v>
      </c>
      <c r="N1407" s="274">
        <v>1169</v>
      </c>
      <c r="O1407" s="291">
        <v>16</v>
      </c>
      <c r="P1407" s="291">
        <v>3370</v>
      </c>
      <c r="Q1407" s="286">
        <v>13</v>
      </c>
      <c r="R1407" s="274">
        <v>7081</v>
      </c>
      <c r="S1407" s="274">
        <v>146</v>
      </c>
      <c r="T1407" s="287">
        <f t="shared" si="21"/>
        <v>2017</v>
      </c>
      <c r="U1407" s="274">
        <f>VLOOKUP(A1407,'[1]SB35 Determination Data'!$B$4:$F$542,5,FALSE)</f>
        <v>2016</v>
      </c>
    </row>
    <row r="1408" spans="1:21" s="274" customFormat="1" ht="12.75" x14ac:dyDescent="0.2">
      <c r="A1408" s="274" t="s">
        <v>718</v>
      </c>
      <c r="B1408" s="274" t="s">
        <v>733</v>
      </c>
      <c r="C1408" s="274" t="s">
        <v>660</v>
      </c>
      <c r="D1408" s="295">
        <v>2014</v>
      </c>
      <c r="E1408" s="274" t="s">
        <v>650</v>
      </c>
      <c r="F1408" s="291">
        <v>102</v>
      </c>
      <c r="G1408" s="285">
        <v>0</v>
      </c>
      <c r="H1408" s="291">
        <v>0</v>
      </c>
      <c r="I1408" s="291">
        <v>0</v>
      </c>
      <c r="J1408" s="285">
        <v>74</v>
      </c>
      <c r="K1408" s="284">
        <v>2</v>
      </c>
      <c r="L1408" s="291">
        <v>2</v>
      </c>
      <c r="M1408" s="291">
        <v>0</v>
      </c>
      <c r="N1408" s="291">
        <v>81</v>
      </c>
      <c r="O1408" s="291">
        <v>0</v>
      </c>
      <c r="P1408" s="291">
        <v>193</v>
      </c>
      <c r="Q1408" s="286">
        <v>0</v>
      </c>
      <c r="R1408" s="274">
        <v>450</v>
      </c>
      <c r="S1408" s="274">
        <v>2</v>
      </c>
      <c r="T1408" s="287">
        <f t="shared" si="21"/>
        <v>2014</v>
      </c>
      <c r="U1408" s="274">
        <f>VLOOKUP(A1408,'[1]SB35 Determination Data'!$B$4:$F$542,5,FALSE)</f>
        <v>2014</v>
      </c>
    </row>
    <row r="1409" spans="1:21" s="274" customFormat="1" ht="12.75" x14ac:dyDescent="0.2">
      <c r="A1409" s="274" t="s">
        <v>718</v>
      </c>
      <c r="B1409" s="274" t="s">
        <v>733</v>
      </c>
      <c r="C1409" s="274" t="s">
        <v>660</v>
      </c>
      <c r="D1409" s="295">
        <v>2015</v>
      </c>
      <c r="E1409" s="274" t="s">
        <v>650</v>
      </c>
      <c r="F1409" s="291">
        <v>102</v>
      </c>
      <c r="G1409" s="285">
        <v>0</v>
      </c>
      <c r="H1409" s="291">
        <v>0</v>
      </c>
      <c r="I1409" s="291">
        <v>0</v>
      </c>
      <c r="J1409" s="285">
        <v>74</v>
      </c>
      <c r="K1409" s="284">
        <v>0</v>
      </c>
      <c r="L1409" s="291">
        <v>0</v>
      </c>
      <c r="M1409" s="291">
        <v>0</v>
      </c>
      <c r="N1409" s="291">
        <v>81</v>
      </c>
      <c r="O1409" s="291">
        <v>0</v>
      </c>
      <c r="P1409" s="291">
        <v>193</v>
      </c>
      <c r="Q1409" s="286">
        <v>33</v>
      </c>
      <c r="R1409" s="274">
        <v>450</v>
      </c>
      <c r="S1409" s="274">
        <v>33</v>
      </c>
      <c r="T1409" s="287">
        <f t="shared" si="21"/>
        <v>2015</v>
      </c>
      <c r="U1409" s="274">
        <f>VLOOKUP(A1409,'[1]SB35 Determination Data'!$B$4:$F$542,5,FALSE)</f>
        <v>2014</v>
      </c>
    </row>
    <row r="1410" spans="1:21" s="274" customFormat="1" ht="12.75" x14ac:dyDescent="0.2">
      <c r="A1410" s="274" t="s">
        <v>718</v>
      </c>
      <c r="B1410" s="274" t="s">
        <v>733</v>
      </c>
      <c r="C1410" s="274" t="s">
        <v>660</v>
      </c>
      <c r="D1410" s="295">
        <v>2016</v>
      </c>
      <c r="E1410" s="274" t="s">
        <v>650</v>
      </c>
      <c r="F1410" s="291">
        <v>102</v>
      </c>
      <c r="G1410" s="285">
        <v>0</v>
      </c>
      <c r="H1410" s="291">
        <v>0</v>
      </c>
      <c r="I1410" s="291">
        <v>0</v>
      </c>
      <c r="J1410" s="285">
        <v>74</v>
      </c>
      <c r="K1410" s="284">
        <v>2</v>
      </c>
      <c r="L1410" s="291">
        <v>2</v>
      </c>
      <c r="M1410" s="291">
        <v>0</v>
      </c>
      <c r="N1410" s="291">
        <v>81</v>
      </c>
      <c r="O1410" s="291">
        <v>0</v>
      </c>
      <c r="P1410" s="291">
        <v>193</v>
      </c>
      <c r="Q1410" s="286">
        <v>0</v>
      </c>
      <c r="R1410" s="274">
        <v>450</v>
      </c>
      <c r="S1410" s="274">
        <v>2</v>
      </c>
      <c r="T1410" s="287">
        <f t="shared" si="21"/>
        <v>2016</v>
      </c>
      <c r="U1410" s="274">
        <f>VLOOKUP(A1410,'[1]SB35 Determination Data'!$B$4:$F$542,5,FALSE)</f>
        <v>2014</v>
      </c>
    </row>
    <row r="1411" spans="1:21" s="274" customFormat="1" ht="12.75" x14ac:dyDescent="0.2">
      <c r="A1411" s="274" t="s">
        <v>718</v>
      </c>
      <c r="B1411" s="274" t="s">
        <v>733</v>
      </c>
      <c r="C1411" s="274" t="s">
        <v>660</v>
      </c>
      <c r="D1411" s="295">
        <v>2017</v>
      </c>
      <c r="E1411" s="274" t="s">
        <v>650</v>
      </c>
      <c r="F1411" s="291">
        <v>102</v>
      </c>
      <c r="G1411" s="285">
        <v>0</v>
      </c>
      <c r="H1411" s="291">
        <v>0</v>
      </c>
      <c r="I1411" s="291">
        <v>0</v>
      </c>
      <c r="J1411" s="285">
        <v>74</v>
      </c>
      <c r="K1411" s="284">
        <v>2</v>
      </c>
      <c r="L1411" s="291">
        <v>2</v>
      </c>
      <c r="M1411" s="291">
        <v>0</v>
      </c>
      <c r="N1411" s="291">
        <v>81</v>
      </c>
      <c r="O1411" s="291">
        <v>0</v>
      </c>
      <c r="P1411" s="291">
        <v>193</v>
      </c>
      <c r="Q1411" s="286">
        <v>71</v>
      </c>
      <c r="R1411" s="274">
        <v>450</v>
      </c>
      <c r="S1411" s="274">
        <v>73</v>
      </c>
      <c r="T1411" s="287">
        <f t="shared" si="21"/>
        <v>2017</v>
      </c>
      <c r="U1411" s="274">
        <f>VLOOKUP(A1411,'[1]SB35 Determination Data'!$B$4:$F$542,5,FALSE)</f>
        <v>2014</v>
      </c>
    </row>
    <row r="1412" spans="1:21" s="274" customFormat="1" ht="12.75" x14ac:dyDescent="0.2">
      <c r="A1412" s="274" t="s">
        <v>719</v>
      </c>
      <c r="B1412" s="274" t="s">
        <v>679</v>
      </c>
      <c r="C1412" s="274" t="s">
        <v>531</v>
      </c>
      <c r="D1412" s="295">
        <v>2015</v>
      </c>
      <c r="E1412" s="274" t="s">
        <v>650</v>
      </c>
      <c r="F1412" s="291">
        <v>877</v>
      </c>
      <c r="G1412" s="285">
        <v>1</v>
      </c>
      <c r="H1412" s="291">
        <v>1</v>
      </c>
      <c r="I1412" s="291">
        <v>0</v>
      </c>
      <c r="J1412" s="285">
        <v>562</v>
      </c>
      <c r="K1412" s="284">
        <v>3</v>
      </c>
      <c r="L1412" s="291">
        <v>3</v>
      </c>
      <c r="M1412" s="291">
        <v>0</v>
      </c>
      <c r="N1412" s="291">
        <v>627</v>
      </c>
      <c r="O1412" s="291">
        <v>41</v>
      </c>
      <c r="P1412" s="291">
        <v>1552</v>
      </c>
      <c r="Q1412" s="286">
        <v>15</v>
      </c>
      <c r="R1412" s="274">
        <v>3618</v>
      </c>
      <c r="S1412" s="274">
        <v>60</v>
      </c>
      <c r="T1412" s="287">
        <f t="shared" ref="T1412:T1475" si="22">IF(D1412&gt;U1412,D1412,U1412)</f>
        <v>2016</v>
      </c>
      <c r="U1412" s="274">
        <f>VLOOKUP(A1412,'[1]SB35 Determination Data'!$B$4:$F$542,5,FALSE)</f>
        <v>2016</v>
      </c>
    </row>
    <row r="1413" spans="1:21" s="274" customFormat="1" ht="12.75" x14ac:dyDescent="0.2">
      <c r="A1413" s="274" t="s">
        <v>719</v>
      </c>
      <c r="B1413" s="274" t="s">
        <v>679</v>
      </c>
      <c r="C1413" s="274" t="s">
        <v>531</v>
      </c>
      <c r="D1413" s="295">
        <v>2016</v>
      </c>
      <c r="E1413" s="274" t="s">
        <v>650</v>
      </c>
      <c r="F1413" s="291">
        <v>877</v>
      </c>
      <c r="G1413" s="285">
        <v>1</v>
      </c>
      <c r="H1413" s="291">
        <v>1</v>
      </c>
      <c r="I1413" s="291">
        <v>0</v>
      </c>
      <c r="J1413" s="285">
        <v>562</v>
      </c>
      <c r="K1413" s="284">
        <v>120</v>
      </c>
      <c r="L1413" s="291">
        <v>120</v>
      </c>
      <c r="M1413" s="291">
        <v>0</v>
      </c>
      <c r="N1413" s="274">
        <v>627</v>
      </c>
      <c r="O1413" s="291">
        <v>547</v>
      </c>
      <c r="P1413" s="291">
        <v>1552</v>
      </c>
      <c r="Q1413" s="286">
        <v>13</v>
      </c>
      <c r="R1413" s="274">
        <v>3618</v>
      </c>
      <c r="S1413" s="274">
        <v>681</v>
      </c>
      <c r="T1413" s="287">
        <f t="shared" si="22"/>
        <v>2016</v>
      </c>
      <c r="U1413" s="274">
        <f>VLOOKUP(A1413,'[1]SB35 Determination Data'!$B$4:$F$542,5,FALSE)</f>
        <v>2016</v>
      </c>
    </row>
    <row r="1414" spans="1:21" s="274" customFormat="1" ht="12.75" x14ac:dyDescent="0.2">
      <c r="A1414" s="274" t="s">
        <v>719</v>
      </c>
      <c r="B1414" s="274" t="s">
        <v>679</v>
      </c>
      <c r="C1414" s="274" t="s">
        <v>531</v>
      </c>
      <c r="D1414" s="295">
        <v>2017</v>
      </c>
      <c r="E1414" s="274" t="s">
        <v>650</v>
      </c>
      <c r="F1414" s="291">
        <v>877</v>
      </c>
      <c r="G1414" s="285">
        <v>0</v>
      </c>
      <c r="H1414" s="291">
        <v>0</v>
      </c>
      <c r="I1414" s="291">
        <v>0</v>
      </c>
      <c r="J1414" s="285">
        <v>562</v>
      </c>
      <c r="K1414" s="284">
        <v>0</v>
      </c>
      <c r="L1414" s="291">
        <v>0</v>
      </c>
      <c r="M1414" s="291">
        <v>0</v>
      </c>
      <c r="N1414" s="291">
        <v>627</v>
      </c>
      <c r="O1414" s="291">
        <v>3</v>
      </c>
      <c r="P1414" s="291">
        <v>1552</v>
      </c>
      <c r="Q1414" s="286">
        <v>18</v>
      </c>
      <c r="R1414" s="274">
        <v>3618</v>
      </c>
      <c r="S1414" s="274">
        <v>21</v>
      </c>
      <c r="T1414" s="287">
        <f t="shared" si="22"/>
        <v>2017</v>
      </c>
      <c r="U1414" s="274">
        <f>VLOOKUP(A1414,'[1]SB35 Determination Data'!$B$4:$F$542,5,FALSE)</f>
        <v>2016</v>
      </c>
    </row>
    <row r="1415" spans="1:21" s="274" customFormat="1" ht="12.75" x14ac:dyDescent="0.2">
      <c r="A1415" s="274" t="s">
        <v>720</v>
      </c>
      <c r="B1415" s="274" t="s">
        <v>436</v>
      </c>
      <c r="C1415" s="274" t="s">
        <v>649</v>
      </c>
      <c r="D1415" s="295">
        <v>2014</v>
      </c>
      <c r="E1415" s="274" t="s">
        <v>650</v>
      </c>
      <c r="F1415" s="291">
        <v>283</v>
      </c>
      <c r="G1415" s="285">
        <v>88</v>
      </c>
      <c r="H1415" s="291">
        <v>88</v>
      </c>
      <c r="I1415" s="291">
        <v>0</v>
      </c>
      <c r="J1415" s="285">
        <v>195</v>
      </c>
      <c r="K1415" s="284">
        <v>73</v>
      </c>
      <c r="L1415" s="291">
        <v>73</v>
      </c>
      <c r="M1415" s="291">
        <v>0</v>
      </c>
      <c r="N1415" s="291">
        <v>224</v>
      </c>
      <c r="O1415" s="291">
        <v>101</v>
      </c>
      <c r="P1415" s="291">
        <v>525</v>
      </c>
      <c r="Q1415" s="286">
        <v>496</v>
      </c>
      <c r="R1415" s="274">
        <v>1227</v>
      </c>
      <c r="S1415" s="274">
        <v>758</v>
      </c>
      <c r="T1415" s="287">
        <f t="shared" si="22"/>
        <v>2014</v>
      </c>
      <c r="U1415" s="274">
        <f>VLOOKUP(A1415,'[1]SB35 Determination Data'!$B$4:$F$542,5,FALSE)</f>
        <v>2014</v>
      </c>
    </row>
    <row r="1416" spans="1:21" s="274" customFormat="1" ht="12.75" x14ac:dyDescent="0.2">
      <c r="A1416" s="274" t="s">
        <v>720</v>
      </c>
      <c r="B1416" s="274" t="s">
        <v>436</v>
      </c>
      <c r="C1416" s="274" t="s">
        <v>649</v>
      </c>
      <c r="D1416" s="295">
        <v>2015</v>
      </c>
      <c r="E1416" s="274" t="s">
        <v>650</v>
      </c>
      <c r="F1416" s="291">
        <v>283</v>
      </c>
      <c r="G1416" s="285">
        <v>0</v>
      </c>
      <c r="H1416" s="291">
        <v>0</v>
      </c>
      <c r="I1416" s="291">
        <v>0</v>
      </c>
      <c r="J1416" s="285">
        <v>195</v>
      </c>
      <c r="K1416" s="284">
        <v>0</v>
      </c>
      <c r="L1416" s="291">
        <v>0</v>
      </c>
      <c r="M1416" s="291">
        <v>0</v>
      </c>
      <c r="N1416" s="291">
        <v>224</v>
      </c>
      <c r="O1416" s="291">
        <v>0</v>
      </c>
      <c r="P1416" s="291">
        <v>525</v>
      </c>
      <c r="Q1416" s="286">
        <v>240</v>
      </c>
      <c r="R1416" s="274">
        <v>1227</v>
      </c>
      <c r="S1416" s="274">
        <v>240</v>
      </c>
      <c r="T1416" s="287">
        <f t="shared" si="22"/>
        <v>2015</v>
      </c>
      <c r="U1416" s="274">
        <f>VLOOKUP(A1416,'[1]SB35 Determination Data'!$B$4:$F$542,5,FALSE)</f>
        <v>2014</v>
      </c>
    </row>
    <row r="1417" spans="1:21" s="274" customFormat="1" ht="12.75" x14ac:dyDescent="0.2">
      <c r="A1417" s="274" t="s">
        <v>720</v>
      </c>
      <c r="B1417" s="274" t="s">
        <v>436</v>
      </c>
      <c r="C1417" s="274" t="s">
        <v>649</v>
      </c>
      <c r="D1417" s="295">
        <v>2016</v>
      </c>
      <c r="E1417" s="274" t="s">
        <v>650</v>
      </c>
      <c r="F1417" s="291">
        <v>283</v>
      </c>
      <c r="G1417" s="285">
        <v>1</v>
      </c>
      <c r="H1417" s="291">
        <v>1</v>
      </c>
      <c r="I1417" s="291">
        <v>0</v>
      </c>
      <c r="J1417" s="285">
        <v>195</v>
      </c>
      <c r="K1417" s="284">
        <v>0</v>
      </c>
      <c r="L1417" s="291">
        <v>0</v>
      </c>
      <c r="M1417" s="291">
        <v>0</v>
      </c>
      <c r="N1417" s="291">
        <v>224</v>
      </c>
      <c r="O1417" s="291">
        <v>0</v>
      </c>
      <c r="P1417" s="291">
        <v>525</v>
      </c>
      <c r="Q1417" s="286">
        <v>157</v>
      </c>
      <c r="R1417" s="274">
        <v>1227</v>
      </c>
      <c r="S1417" s="274">
        <v>158</v>
      </c>
      <c r="T1417" s="287">
        <f t="shared" si="22"/>
        <v>2016</v>
      </c>
      <c r="U1417" s="274">
        <f>VLOOKUP(A1417,'[1]SB35 Determination Data'!$B$4:$F$542,5,FALSE)</f>
        <v>2014</v>
      </c>
    </row>
    <row r="1418" spans="1:21" s="274" customFormat="1" ht="12.75" x14ac:dyDescent="0.2">
      <c r="A1418" s="274" t="s">
        <v>720</v>
      </c>
      <c r="B1418" s="274" t="s">
        <v>436</v>
      </c>
      <c r="C1418" s="274" t="s">
        <v>649</v>
      </c>
      <c r="D1418" s="295">
        <v>2017</v>
      </c>
      <c r="E1418" s="274" t="s">
        <v>650</v>
      </c>
      <c r="F1418" s="291">
        <v>283</v>
      </c>
      <c r="G1418" s="285">
        <v>1</v>
      </c>
      <c r="H1418" s="291">
        <v>1</v>
      </c>
      <c r="I1418" s="291">
        <v>0</v>
      </c>
      <c r="J1418" s="285">
        <v>195</v>
      </c>
      <c r="K1418" s="284">
        <v>0</v>
      </c>
      <c r="L1418" s="291">
        <v>0</v>
      </c>
      <c r="M1418" s="291">
        <v>0</v>
      </c>
      <c r="N1418" s="274">
        <v>224</v>
      </c>
      <c r="O1418" s="291">
        <v>0</v>
      </c>
      <c r="P1418" s="291">
        <v>525</v>
      </c>
      <c r="Q1418" s="286">
        <v>13</v>
      </c>
      <c r="R1418" s="274">
        <v>1227</v>
      </c>
      <c r="S1418" s="274">
        <v>14</v>
      </c>
      <c r="T1418" s="287">
        <f t="shared" si="22"/>
        <v>2017</v>
      </c>
      <c r="U1418" s="274">
        <f>VLOOKUP(A1418,'[1]SB35 Determination Data'!$B$4:$F$542,5,FALSE)</f>
        <v>2014</v>
      </c>
    </row>
    <row r="1419" spans="1:21" s="274" customFormat="1" ht="12.75" x14ac:dyDescent="0.2">
      <c r="A1419" s="274" t="s">
        <v>721</v>
      </c>
      <c r="B1419" s="274" t="s">
        <v>542</v>
      </c>
      <c r="C1419" s="274" t="s">
        <v>649</v>
      </c>
      <c r="D1419" s="295">
        <v>2014</v>
      </c>
      <c r="E1419" s="274" t="s">
        <v>650</v>
      </c>
      <c r="F1419" s="291">
        <v>103</v>
      </c>
      <c r="G1419" s="285">
        <v>0</v>
      </c>
      <c r="H1419" s="291">
        <v>0</v>
      </c>
      <c r="I1419" s="291">
        <v>0</v>
      </c>
      <c r="J1419" s="285">
        <v>72</v>
      </c>
      <c r="K1419" s="284">
        <v>0</v>
      </c>
      <c r="L1419" s="291">
        <v>0</v>
      </c>
      <c r="M1419" s="291">
        <v>0</v>
      </c>
      <c r="N1419" s="291">
        <v>84</v>
      </c>
      <c r="O1419" s="291">
        <v>7</v>
      </c>
      <c r="P1419" s="291">
        <v>195</v>
      </c>
      <c r="Q1419" s="286">
        <v>0</v>
      </c>
      <c r="R1419" s="274">
        <v>454</v>
      </c>
      <c r="S1419" s="274">
        <v>7</v>
      </c>
      <c r="T1419" s="287">
        <f t="shared" si="22"/>
        <v>2014</v>
      </c>
      <c r="U1419" s="274">
        <f>VLOOKUP(A1419,'[1]SB35 Determination Data'!$B$4:$F$542,5,FALSE)</f>
        <v>2014</v>
      </c>
    </row>
    <row r="1420" spans="1:21" s="274" customFormat="1" ht="12.75" x14ac:dyDescent="0.2">
      <c r="A1420" s="274" t="s">
        <v>721</v>
      </c>
      <c r="B1420" s="274" t="s">
        <v>542</v>
      </c>
      <c r="C1420" s="274" t="s">
        <v>649</v>
      </c>
      <c r="D1420" s="295">
        <v>2015</v>
      </c>
      <c r="E1420" s="274" t="s">
        <v>650</v>
      </c>
      <c r="F1420" s="291">
        <v>103</v>
      </c>
      <c r="G1420" s="285">
        <v>0</v>
      </c>
      <c r="H1420" s="291">
        <v>0</v>
      </c>
      <c r="I1420" s="291">
        <v>0</v>
      </c>
      <c r="J1420" s="285">
        <v>72</v>
      </c>
      <c r="K1420" s="284">
        <v>0</v>
      </c>
      <c r="L1420" s="291">
        <v>0</v>
      </c>
      <c r="M1420" s="291">
        <v>0</v>
      </c>
      <c r="N1420" s="291">
        <v>84</v>
      </c>
      <c r="O1420" s="291">
        <v>5</v>
      </c>
      <c r="P1420" s="291">
        <v>195</v>
      </c>
      <c r="Q1420" s="286">
        <v>0</v>
      </c>
      <c r="R1420" s="274">
        <v>454</v>
      </c>
      <c r="S1420" s="274">
        <v>5</v>
      </c>
      <c r="T1420" s="287">
        <f t="shared" si="22"/>
        <v>2015</v>
      </c>
      <c r="U1420" s="274">
        <f>VLOOKUP(A1420,'[1]SB35 Determination Data'!$B$4:$F$542,5,FALSE)</f>
        <v>2014</v>
      </c>
    </row>
    <row r="1421" spans="1:21" s="274" customFormat="1" ht="12.75" x14ac:dyDescent="0.2">
      <c r="A1421" s="274" t="s">
        <v>721</v>
      </c>
      <c r="B1421" s="274" t="s">
        <v>542</v>
      </c>
      <c r="C1421" s="274" t="s">
        <v>649</v>
      </c>
      <c r="D1421" s="295">
        <v>2016</v>
      </c>
      <c r="E1421" s="274" t="s">
        <v>650</v>
      </c>
      <c r="F1421" s="291">
        <v>103</v>
      </c>
      <c r="G1421" s="285">
        <v>0</v>
      </c>
      <c r="H1421" s="291">
        <v>0</v>
      </c>
      <c r="I1421" s="291">
        <v>0</v>
      </c>
      <c r="J1421" s="285">
        <v>72</v>
      </c>
      <c r="K1421" s="284">
        <v>0</v>
      </c>
      <c r="L1421" s="291">
        <v>0</v>
      </c>
      <c r="M1421" s="291">
        <v>0</v>
      </c>
      <c r="N1421" s="291">
        <v>84</v>
      </c>
      <c r="O1421" s="291">
        <v>1</v>
      </c>
      <c r="P1421" s="291">
        <v>195</v>
      </c>
      <c r="Q1421" s="286">
        <v>0</v>
      </c>
      <c r="R1421" s="274">
        <v>454</v>
      </c>
      <c r="S1421" s="274">
        <v>1</v>
      </c>
      <c r="T1421" s="287">
        <f t="shared" si="22"/>
        <v>2016</v>
      </c>
      <c r="U1421" s="274">
        <f>VLOOKUP(A1421,'[1]SB35 Determination Data'!$B$4:$F$542,5,FALSE)</f>
        <v>2014</v>
      </c>
    </row>
    <row r="1422" spans="1:21" s="274" customFormat="1" ht="12.75" x14ac:dyDescent="0.2">
      <c r="A1422" s="274" t="s">
        <v>721</v>
      </c>
      <c r="B1422" s="274" t="s">
        <v>542</v>
      </c>
      <c r="C1422" s="274" t="s">
        <v>649</v>
      </c>
      <c r="D1422" s="295">
        <v>2017</v>
      </c>
      <c r="E1422" s="274" t="s">
        <v>650</v>
      </c>
      <c r="F1422" s="291">
        <v>103</v>
      </c>
      <c r="G1422" s="285">
        <v>0</v>
      </c>
      <c r="H1422" s="291">
        <v>0</v>
      </c>
      <c r="I1422" s="291">
        <v>0</v>
      </c>
      <c r="J1422" s="285">
        <v>72</v>
      </c>
      <c r="K1422" s="284">
        <v>0</v>
      </c>
      <c r="L1422" s="291">
        <v>0</v>
      </c>
      <c r="M1422" s="291">
        <v>0</v>
      </c>
      <c r="N1422" s="291">
        <v>84</v>
      </c>
      <c r="O1422" s="291">
        <v>10</v>
      </c>
      <c r="P1422" s="291">
        <v>195</v>
      </c>
      <c r="Q1422" s="286">
        <v>0</v>
      </c>
      <c r="R1422" s="274">
        <v>454</v>
      </c>
      <c r="S1422" s="274">
        <v>10</v>
      </c>
      <c r="T1422" s="287">
        <f t="shared" si="22"/>
        <v>2017</v>
      </c>
      <c r="U1422" s="274">
        <f>VLOOKUP(A1422,'[1]SB35 Determination Data'!$B$4:$F$542,5,FALSE)</f>
        <v>2014</v>
      </c>
    </row>
    <row r="1423" spans="1:21" s="274" customFormat="1" ht="12.75" x14ac:dyDescent="0.2">
      <c r="A1423" s="274" t="s">
        <v>722</v>
      </c>
      <c r="B1423" s="274" t="s">
        <v>334</v>
      </c>
      <c r="C1423" s="274" t="s">
        <v>660</v>
      </c>
      <c r="D1423" s="295">
        <v>2014</v>
      </c>
      <c r="E1423" s="274" t="s">
        <v>650</v>
      </c>
      <c r="F1423" s="291">
        <v>11</v>
      </c>
      <c r="G1423" s="285">
        <v>0</v>
      </c>
      <c r="H1423" s="291">
        <v>0</v>
      </c>
      <c r="I1423" s="291">
        <v>0</v>
      </c>
      <c r="J1423" s="285">
        <v>7</v>
      </c>
      <c r="K1423" s="284">
        <v>0</v>
      </c>
      <c r="L1423" s="291">
        <v>0</v>
      </c>
      <c r="M1423" s="291">
        <v>0</v>
      </c>
      <c r="N1423" s="291">
        <v>7</v>
      </c>
      <c r="O1423" s="291">
        <v>0</v>
      </c>
      <c r="P1423" s="291">
        <v>20</v>
      </c>
      <c r="Q1423" s="286">
        <v>0</v>
      </c>
      <c r="R1423" s="274">
        <v>45</v>
      </c>
      <c r="S1423" s="274">
        <v>0</v>
      </c>
      <c r="T1423" s="287">
        <f t="shared" si="22"/>
        <v>2014</v>
      </c>
      <c r="U1423" s="274">
        <f>VLOOKUP(A1423,'[1]SB35 Determination Data'!$B$4:$F$542,5,FALSE)</f>
        <v>2014</v>
      </c>
    </row>
    <row r="1424" spans="1:21" s="274" customFormat="1" ht="12.75" x14ac:dyDescent="0.2">
      <c r="A1424" s="274" t="s">
        <v>722</v>
      </c>
      <c r="B1424" s="274" t="s">
        <v>334</v>
      </c>
      <c r="C1424" s="274" t="s">
        <v>660</v>
      </c>
      <c r="D1424" s="295">
        <v>2015</v>
      </c>
      <c r="E1424" s="274" t="s">
        <v>650</v>
      </c>
      <c r="F1424" s="291">
        <v>11</v>
      </c>
      <c r="G1424" s="285">
        <v>31</v>
      </c>
      <c r="H1424" s="291">
        <v>31</v>
      </c>
      <c r="I1424" s="291">
        <v>0</v>
      </c>
      <c r="J1424" s="285">
        <v>7</v>
      </c>
      <c r="K1424" s="284">
        <v>10</v>
      </c>
      <c r="L1424" s="291">
        <v>10</v>
      </c>
      <c r="M1424" s="291">
        <v>0</v>
      </c>
      <c r="N1424" s="291">
        <v>7</v>
      </c>
      <c r="O1424" s="291">
        <v>0</v>
      </c>
      <c r="P1424" s="291">
        <v>20</v>
      </c>
      <c r="Q1424" s="286">
        <v>5</v>
      </c>
      <c r="R1424" s="274">
        <v>45</v>
      </c>
      <c r="S1424" s="274">
        <v>46</v>
      </c>
      <c r="T1424" s="287">
        <f t="shared" si="22"/>
        <v>2015</v>
      </c>
      <c r="U1424" s="274">
        <f>VLOOKUP(A1424,'[1]SB35 Determination Data'!$B$4:$F$542,5,FALSE)</f>
        <v>2014</v>
      </c>
    </row>
    <row r="1425" spans="1:21" s="274" customFormat="1" ht="12.75" x14ac:dyDescent="0.2">
      <c r="A1425" s="274" t="s">
        <v>722</v>
      </c>
      <c r="B1425" s="274" t="s">
        <v>334</v>
      </c>
      <c r="C1425" s="274" t="s">
        <v>660</v>
      </c>
      <c r="D1425" s="295">
        <v>2016</v>
      </c>
      <c r="E1425" s="274" t="s">
        <v>650</v>
      </c>
      <c r="F1425" s="291">
        <v>11</v>
      </c>
      <c r="G1425" s="285">
        <v>0</v>
      </c>
      <c r="H1425" s="291">
        <v>0</v>
      </c>
      <c r="I1425" s="291">
        <v>0</v>
      </c>
      <c r="J1425" s="285">
        <v>7</v>
      </c>
      <c r="K1425" s="284">
        <v>0</v>
      </c>
      <c r="L1425" s="291">
        <v>0</v>
      </c>
      <c r="M1425" s="291">
        <v>0</v>
      </c>
      <c r="N1425" s="291">
        <v>7</v>
      </c>
      <c r="O1425" s="291">
        <v>0</v>
      </c>
      <c r="P1425" s="291">
        <v>20</v>
      </c>
      <c r="Q1425" s="286">
        <v>7</v>
      </c>
      <c r="R1425" s="274">
        <v>45</v>
      </c>
      <c r="S1425" s="274">
        <v>7</v>
      </c>
      <c r="T1425" s="287">
        <f t="shared" si="22"/>
        <v>2016</v>
      </c>
      <c r="U1425" s="274">
        <f>VLOOKUP(A1425,'[1]SB35 Determination Data'!$B$4:$F$542,5,FALSE)</f>
        <v>2014</v>
      </c>
    </row>
    <row r="1426" spans="1:21" s="274" customFormat="1" ht="12.75" x14ac:dyDescent="0.2">
      <c r="A1426" s="274" t="s">
        <v>722</v>
      </c>
      <c r="B1426" s="274" t="s">
        <v>334</v>
      </c>
      <c r="C1426" s="274" t="s">
        <v>660</v>
      </c>
      <c r="D1426" s="295">
        <v>2017</v>
      </c>
      <c r="E1426" s="274" t="s">
        <v>650</v>
      </c>
      <c r="F1426" s="291">
        <v>11</v>
      </c>
      <c r="G1426" s="285">
        <v>0</v>
      </c>
      <c r="H1426" s="291">
        <v>0</v>
      </c>
      <c r="I1426" s="291">
        <v>0</v>
      </c>
      <c r="J1426" s="285">
        <v>7</v>
      </c>
      <c r="K1426" s="284">
        <v>0</v>
      </c>
      <c r="L1426" s="291">
        <v>0</v>
      </c>
      <c r="M1426" s="291">
        <v>0</v>
      </c>
      <c r="N1426" s="291">
        <v>7</v>
      </c>
      <c r="O1426" s="291">
        <v>0</v>
      </c>
      <c r="P1426" s="291">
        <v>20</v>
      </c>
      <c r="Q1426" s="286">
        <v>4</v>
      </c>
      <c r="R1426" s="274">
        <v>45</v>
      </c>
      <c r="S1426" s="274">
        <v>4</v>
      </c>
      <c r="T1426" s="287">
        <f t="shared" si="22"/>
        <v>2017</v>
      </c>
      <c r="U1426" s="274">
        <f>VLOOKUP(A1426,'[1]SB35 Determination Data'!$B$4:$F$542,5,FALSE)</f>
        <v>2014</v>
      </c>
    </row>
    <row r="1427" spans="1:21" s="274" customFormat="1" ht="12.75" x14ac:dyDescent="0.2">
      <c r="A1427" s="274" t="s">
        <v>197</v>
      </c>
      <c r="B1427" s="274" t="s">
        <v>40</v>
      </c>
      <c r="C1427" s="274" t="s">
        <v>654</v>
      </c>
      <c r="D1427" s="295">
        <v>2014</v>
      </c>
      <c r="E1427" s="274" t="s">
        <v>650</v>
      </c>
      <c r="F1427" s="291">
        <v>317</v>
      </c>
      <c r="G1427" s="285">
        <v>0</v>
      </c>
      <c r="H1427" s="291">
        <v>0</v>
      </c>
      <c r="I1427" s="291">
        <v>0</v>
      </c>
      <c r="J1427" s="285">
        <v>180</v>
      </c>
      <c r="K1427" s="284">
        <v>0</v>
      </c>
      <c r="L1427" s="291">
        <v>0</v>
      </c>
      <c r="M1427" s="291">
        <v>0</v>
      </c>
      <c r="N1427" s="274">
        <v>192</v>
      </c>
      <c r="O1427" s="291">
        <v>4</v>
      </c>
      <c r="P1427" s="291">
        <v>417</v>
      </c>
      <c r="Q1427" s="286">
        <v>2</v>
      </c>
      <c r="R1427" s="274">
        <v>1106</v>
      </c>
      <c r="S1427" s="274">
        <v>6</v>
      </c>
      <c r="T1427" s="287">
        <f t="shared" si="22"/>
        <v>2015</v>
      </c>
      <c r="U1427" s="274">
        <f>VLOOKUP(A1427,'[1]SB35 Determination Data'!$B$4:$F$542,5,FALSE)</f>
        <v>2015</v>
      </c>
    </row>
    <row r="1428" spans="1:21" s="274" customFormat="1" ht="12.75" x14ac:dyDescent="0.2">
      <c r="A1428" s="274" t="s">
        <v>197</v>
      </c>
      <c r="B1428" s="274" t="s">
        <v>40</v>
      </c>
      <c r="C1428" s="274" t="s">
        <v>654</v>
      </c>
      <c r="D1428" s="295">
        <v>2015</v>
      </c>
      <c r="E1428" s="274" t="s">
        <v>650</v>
      </c>
      <c r="F1428" s="291">
        <v>317</v>
      </c>
      <c r="G1428" s="285">
        <v>0</v>
      </c>
      <c r="H1428" s="291">
        <v>0</v>
      </c>
      <c r="I1428" s="291">
        <v>0</v>
      </c>
      <c r="J1428" s="285">
        <v>180</v>
      </c>
      <c r="K1428" s="284">
        <v>0</v>
      </c>
      <c r="L1428" s="291">
        <v>0</v>
      </c>
      <c r="M1428" s="291">
        <v>0</v>
      </c>
      <c r="N1428" s="291">
        <v>192</v>
      </c>
      <c r="O1428" s="291">
        <v>2</v>
      </c>
      <c r="P1428" s="291">
        <v>417</v>
      </c>
      <c r="Q1428" s="286">
        <v>288</v>
      </c>
      <c r="R1428" s="274">
        <v>1106</v>
      </c>
      <c r="S1428" s="274">
        <v>290</v>
      </c>
      <c r="T1428" s="287">
        <f t="shared" si="22"/>
        <v>2015</v>
      </c>
      <c r="U1428" s="274">
        <f>VLOOKUP(A1428,'[1]SB35 Determination Data'!$B$4:$F$542,5,FALSE)</f>
        <v>2015</v>
      </c>
    </row>
    <row r="1429" spans="1:21" s="274" customFormat="1" ht="12.75" x14ac:dyDescent="0.2">
      <c r="A1429" s="274" t="s">
        <v>197</v>
      </c>
      <c r="B1429" s="274" t="s">
        <v>40</v>
      </c>
      <c r="C1429" s="274" t="s">
        <v>654</v>
      </c>
      <c r="D1429" s="295">
        <v>2016</v>
      </c>
      <c r="E1429" s="274" t="s">
        <v>650</v>
      </c>
      <c r="F1429" s="291">
        <v>317</v>
      </c>
      <c r="G1429" s="285">
        <v>0</v>
      </c>
      <c r="H1429" s="291">
        <v>0</v>
      </c>
      <c r="I1429" s="291">
        <v>0</v>
      </c>
      <c r="J1429" s="285">
        <v>180</v>
      </c>
      <c r="K1429" s="284">
        <v>0</v>
      </c>
      <c r="L1429" s="291">
        <v>0</v>
      </c>
      <c r="M1429" s="291">
        <v>0</v>
      </c>
      <c r="N1429" s="291">
        <v>192</v>
      </c>
      <c r="O1429" s="291">
        <v>1</v>
      </c>
      <c r="P1429" s="291">
        <v>417</v>
      </c>
      <c r="Q1429" s="286">
        <v>1</v>
      </c>
      <c r="R1429" s="274">
        <v>1106</v>
      </c>
      <c r="S1429" s="274">
        <v>2</v>
      </c>
      <c r="T1429" s="287">
        <f t="shared" si="22"/>
        <v>2016</v>
      </c>
      <c r="U1429" s="274">
        <f>VLOOKUP(A1429,'[1]SB35 Determination Data'!$B$4:$F$542,5,FALSE)</f>
        <v>2015</v>
      </c>
    </row>
    <row r="1430" spans="1:21" s="274" customFormat="1" ht="12.75" x14ac:dyDescent="0.2">
      <c r="A1430" s="274" t="s">
        <v>197</v>
      </c>
      <c r="B1430" s="274" t="s">
        <v>40</v>
      </c>
      <c r="C1430" s="274" t="s">
        <v>654</v>
      </c>
      <c r="D1430" s="295">
        <v>2017</v>
      </c>
      <c r="E1430" s="274" t="s">
        <v>650</v>
      </c>
      <c r="F1430" s="291">
        <v>317</v>
      </c>
      <c r="G1430" s="285">
        <v>0</v>
      </c>
      <c r="H1430" s="291">
        <v>0</v>
      </c>
      <c r="I1430" s="291">
        <v>0</v>
      </c>
      <c r="J1430" s="285">
        <v>180</v>
      </c>
      <c r="K1430" s="284">
        <v>0</v>
      </c>
      <c r="L1430" s="291">
        <v>0</v>
      </c>
      <c r="M1430" s="291">
        <v>0</v>
      </c>
      <c r="N1430" s="291">
        <v>192</v>
      </c>
      <c r="O1430" s="291">
        <v>3</v>
      </c>
      <c r="P1430" s="291">
        <v>417</v>
      </c>
      <c r="Q1430" s="286">
        <v>27</v>
      </c>
      <c r="R1430" s="274">
        <v>1106</v>
      </c>
      <c r="S1430" s="274">
        <v>30</v>
      </c>
      <c r="T1430" s="287">
        <f t="shared" si="22"/>
        <v>2017</v>
      </c>
      <c r="U1430" s="274">
        <f>VLOOKUP(A1430,'[1]SB35 Determination Data'!$B$4:$F$542,5,FALSE)</f>
        <v>2015</v>
      </c>
    </row>
    <row r="1431" spans="1:21" s="274" customFormat="1" ht="12.75" x14ac:dyDescent="0.2">
      <c r="A1431" s="274" t="s">
        <v>723</v>
      </c>
      <c r="B1431" s="274" t="s">
        <v>542</v>
      </c>
      <c r="C1431" s="274" t="s">
        <v>649</v>
      </c>
      <c r="D1431" s="295">
        <v>2015</v>
      </c>
      <c r="E1431" s="274" t="s">
        <v>650</v>
      </c>
      <c r="F1431" s="291">
        <v>382</v>
      </c>
      <c r="G1431" s="285">
        <v>0</v>
      </c>
      <c r="H1431" s="291">
        <v>0</v>
      </c>
      <c r="I1431" s="291">
        <v>0</v>
      </c>
      <c r="J1431" s="285">
        <v>260</v>
      </c>
      <c r="K1431" s="284">
        <v>0</v>
      </c>
      <c r="L1431" s="291">
        <v>0</v>
      </c>
      <c r="M1431" s="291">
        <v>0</v>
      </c>
      <c r="N1431" s="291">
        <v>294</v>
      </c>
      <c r="O1431" s="291">
        <v>0</v>
      </c>
      <c r="P1431" s="291">
        <v>653</v>
      </c>
      <c r="Q1431" s="286">
        <v>100</v>
      </c>
      <c r="R1431" s="274">
        <v>1589</v>
      </c>
      <c r="S1431" s="274">
        <v>100</v>
      </c>
      <c r="T1431" s="287">
        <f t="shared" si="22"/>
        <v>2015</v>
      </c>
      <c r="U1431" s="274">
        <f>VLOOKUP(A1431,'[1]SB35 Determination Data'!$B$4:$F$542,5,FALSE)</f>
        <v>2014</v>
      </c>
    </row>
    <row r="1432" spans="1:21" s="274" customFormat="1" ht="12.75" x14ac:dyDescent="0.2">
      <c r="A1432" s="274" t="s">
        <v>723</v>
      </c>
      <c r="B1432" s="274" t="s">
        <v>542</v>
      </c>
      <c r="C1432" s="274" t="s">
        <v>649</v>
      </c>
      <c r="D1432" s="295">
        <v>2016</v>
      </c>
      <c r="E1432" s="274" t="s">
        <v>650</v>
      </c>
      <c r="F1432" s="291">
        <v>382</v>
      </c>
      <c r="G1432" s="285">
        <v>0</v>
      </c>
      <c r="H1432" s="291">
        <v>0</v>
      </c>
      <c r="I1432" s="291">
        <v>0</v>
      </c>
      <c r="J1432" s="285">
        <v>260</v>
      </c>
      <c r="K1432" s="284">
        <v>0</v>
      </c>
      <c r="L1432" s="291">
        <v>0</v>
      </c>
      <c r="M1432" s="291">
        <v>0</v>
      </c>
      <c r="N1432" s="291">
        <v>294</v>
      </c>
      <c r="O1432" s="291">
        <v>0</v>
      </c>
      <c r="P1432" s="291">
        <v>653</v>
      </c>
      <c r="Q1432" s="286">
        <v>103</v>
      </c>
      <c r="R1432" s="274">
        <v>1589</v>
      </c>
      <c r="S1432" s="274">
        <v>103</v>
      </c>
      <c r="T1432" s="287">
        <f t="shared" si="22"/>
        <v>2016</v>
      </c>
      <c r="U1432" s="274">
        <f>VLOOKUP(A1432,'[1]SB35 Determination Data'!$B$4:$F$542,5,FALSE)</f>
        <v>2014</v>
      </c>
    </row>
    <row r="1433" spans="1:21" s="274" customFormat="1" ht="12.75" x14ac:dyDescent="0.2">
      <c r="A1433" s="274" t="s">
        <v>723</v>
      </c>
      <c r="B1433" s="274" t="s">
        <v>542</v>
      </c>
      <c r="C1433" s="274" t="s">
        <v>649</v>
      </c>
      <c r="D1433" s="295">
        <v>2017</v>
      </c>
      <c r="E1433" s="274" t="s">
        <v>650</v>
      </c>
      <c r="F1433" s="291">
        <v>382</v>
      </c>
      <c r="G1433" s="285">
        <v>0</v>
      </c>
      <c r="H1433" s="291">
        <v>0</v>
      </c>
      <c r="I1433" s="291">
        <v>0</v>
      </c>
      <c r="J1433" s="285">
        <v>260</v>
      </c>
      <c r="K1433" s="284">
        <v>0</v>
      </c>
      <c r="L1433" s="291">
        <v>0</v>
      </c>
      <c r="M1433" s="291">
        <v>0</v>
      </c>
      <c r="N1433" s="291">
        <v>294</v>
      </c>
      <c r="O1433" s="291">
        <v>0</v>
      </c>
      <c r="P1433" s="291">
        <v>653</v>
      </c>
      <c r="Q1433" s="286">
        <v>99</v>
      </c>
      <c r="R1433" s="274">
        <v>1589</v>
      </c>
      <c r="S1433" s="274">
        <v>99</v>
      </c>
      <c r="T1433" s="287">
        <f t="shared" si="22"/>
        <v>2017</v>
      </c>
      <c r="U1433" s="274">
        <f>VLOOKUP(A1433,'[1]SB35 Determination Data'!$B$4:$F$542,5,FALSE)</f>
        <v>2014</v>
      </c>
    </row>
    <row r="1434" spans="1:21" s="274" customFormat="1" ht="12.75" x14ac:dyDescent="0.2">
      <c r="A1434" s="274" t="s">
        <v>724</v>
      </c>
      <c r="B1434" s="274" t="s">
        <v>663</v>
      </c>
      <c r="C1434" s="274" t="s">
        <v>654</v>
      </c>
      <c r="D1434" s="295">
        <v>2015</v>
      </c>
      <c r="E1434" s="274" t="s">
        <v>650</v>
      </c>
      <c r="F1434" s="291">
        <v>287</v>
      </c>
      <c r="G1434" s="285">
        <v>20</v>
      </c>
      <c r="H1434" s="291">
        <v>20</v>
      </c>
      <c r="I1434" s="291">
        <v>0</v>
      </c>
      <c r="J1434" s="285">
        <v>134</v>
      </c>
      <c r="K1434" s="284">
        <v>46</v>
      </c>
      <c r="L1434" s="291">
        <v>46</v>
      </c>
      <c r="M1434" s="291">
        <v>0</v>
      </c>
      <c r="N1434" s="291">
        <v>173</v>
      </c>
      <c r="O1434" s="291">
        <v>158</v>
      </c>
      <c r="P1434" s="291">
        <v>490</v>
      </c>
      <c r="Q1434" s="286">
        <v>212</v>
      </c>
      <c r="R1434" s="274">
        <v>1084</v>
      </c>
      <c r="S1434" s="274">
        <v>436</v>
      </c>
      <c r="T1434" s="287">
        <f t="shared" si="22"/>
        <v>2015</v>
      </c>
      <c r="U1434" s="274">
        <f>VLOOKUP(A1434,'[1]SB35 Determination Data'!$B$4:$F$542,5,FALSE)</f>
        <v>2015</v>
      </c>
    </row>
    <row r="1435" spans="1:21" s="274" customFormat="1" ht="12.75" x14ac:dyDescent="0.2">
      <c r="A1435" s="274" t="s">
        <v>724</v>
      </c>
      <c r="B1435" s="274" t="s">
        <v>663</v>
      </c>
      <c r="C1435" s="274" t="s">
        <v>654</v>
      </c>
      <c r="D1435" s="295">
        <v>2016</v>
      </c>
      <c r="E1435" s="274" t="s">
        <v>650</v>
      </c>
      <c r="F1435" s="291">
        <v>287</v>
      </c>
      <c r="G1435" s="285">
        <v>0</v>
      </c>
      <c r="H1435" s="291">
        <v>0</v>
      </c>
      <c r="I1435" s="291">
        <v>0</v>
      </c>
      <c r="J1435" s="285">
        <v>134</v>
      </c>
      <c r="K1435" s="284">
        <v>0</v>
      </c>
      <c r="L1435" s="291">
        <v>0</v>
      </c>
      <c r="M1435" s="291">
        <v>0</v>
      </c>
      <c r="N1435" s="291">
        <v>173</v>
      </c>
      <c r="O1435" s="291">
        <v>160</v>
      </c>
      <c r="P1435" s="291">
        <v>490</v>
      </c>
      <c r="Q1435" s="286">
        <v>177</v>
      </c>
      <c r="R1435" s="274">
        <v>1084</v>
      </c>
      <c r="S1435" s="274">
        <v>337</v>
      </c>
      <c r="T1435" s="287">
        <f t="shared" si="22"/>
        <v>2016</v>
      </c>
      <c r="U1435" s="274">
        <f>VLOOKUP(A1435,'[1]SB35 Determination Data'!$B$4:$F$542,5,FALSE)</f>
        <v>2015</v>
      </c>
    </row>
    <row r="1436" spans="1:21" s="274" customFormat="1" ht="12.75" x14ac:dyDescent="0.2">
      <c r="A1436" s="274" t="s">
        <v>724</v>
      </c>
      <c r="B1436" s="274" t="s">
        <v>663</v>
      </c>
      <c r="C1436" s="274" t="s">
        <v>654</v>
      </c>
      <c r="D1436" s="295">
        <v>2017</v>
      </c>
      <c r="E1436" s="274" t="s">
        <v>650</v>
      </c>
      <c r="F1436" s="291">
        <v>287</v>
      </c>
      <c r="G1436" s="285">
        <v>14</v>
      </c>
      <c r="H1436" s="291">
        <v>14</v>
      </c>
      <c r="I1436" s="291">
        <v>0</v>
      </c>
      <c r="J1436" s="285">
        <v>134</v>
      </c>
      <c r="K1436" s="284">
        <v>26</v>
      </c>
      <c r="L1436" s="291">
        <v>24</v>
      </c>
      <c r="M1436" s="291">
        <v>2</v>
      </c>
      <c r="N1436" s="291">
        <v>173</v>
      </c>
      <c r="O1436" s="291">
        <v>214</v>
      </c>
      <c r="P1436" s="291">
        <v>490</v>
      </c>
      <c r="Q1436" s="286">
        <v>63</v>
      </c>
      <c r="R1436" s="274">
        <v>1084</v>
      </c>
      <c r="S1436" s="274">
        <v>317</v>
      </c>
      <c r="T1436" s="287">
        <f t="shared" si="22"/>
        <v>2017</v>
      </c>
      <c r="U1436" s="274">
        <f>VLOOKUP(A1436,'[1]SB35 Determination Data'!$B$4:$F$542,5,FALSE)</f>
        <v>2015</v>
      </c>
    </row>
    <row r="1437" spans="1:21" s="274" customFormat="1" ht="12.75" x14ac:dyDescent="0.2">
      <c r="A1437" s="274" t="s">
        <v>725</v>
      </c>
      <c r="B1437" s="274" t="s">
        <v>663</v>
      </c>
      <c r="C1437" s="274" t="s">
        <v>654</v>
      </c>
      <c r="D1437" s="295">
        <v>2016</v>
      </c>
      <c r="E1437" s="274" t="s">
        <v>650</v>
      </c>
      <c r="F1437" s="291">
        <v>283</v>
      </c>
      <c r="G1437" s="285">
        <v>0</v>
      </c>
      <c r="H1437" s="291">
        <v>0</v>
      </c>
      <c r="I1437" s="291">
        <v>0</v>
      </c>
      <c r="J1437" s="285">
        <v>178</v>
      </c>
      <c r="K1437" s="284">
        <v>0</v>
      </c>
      <c r="L1437" s="291">
        <v>0</v>
      </c>
      <c r="M1437" s="291">
        <v>0</v>
      </c>
      <c r="N1437" s="291">
        <v>211</v>
      </c>
      <c r="O1437" s="291">
        <v>0</v>
      </c>
      <c r="P1437" s="291">
        <v>690</v>
      </c>
      <c r="Q1437" s="286">
        <v>47</v>
      </c>
      <c r="R1437" s="274">
        <v>1362</v>
      </c>
      <c r="S1437" s="274">
        <v>47</v>
      </c>
      <c r="T1437" s="287">
        <f t="shared" si="22"/>
        <v>2016</v>
      </c>
      <c r="U1437" s="274">
        <f>VLOOKUP(A1437,'[1]SB35 Determination Data'!$B$4:$F$542,5,FALSE)</f>
        <v>2015</v>
      </c>
    </row>
    <row r="1438" spans="1:21" s="274" customFormat="1" ht="12.75" x14ac:dyDescent="0.2">
      <c r="A1438" s="274" t="s">
        <v>725</v>
      </c>
      <c r="B1438" s="274" t="s">
        <v>663</v>
      </c>
      <c r="C1438" s="274" t="s">
        <v>654</v>
      </c>
      <c r="D1438" s="295">
        <v>2017</v>
      </c>
      <c r="E1438" s="274" t="s">
        <v>650</v>
      </c>
      <c r="F1438" s="291">
        <v>283</v>
      </c>
      <c r="G1438" s="285">
        <v>0</v>
      </c>
      <c r="H1438" s="291">
        <v>0</v>
      </c>
      <c r="I1438" s="291">
        <v>0</v>
      </c>
      <c r="J1438" s="285">
        <v>178</v>
      </c>
      <c r="K1438" s="284">
        <v>0</v>
      </c>
      <c r="L1438" s="291">
        <v>0</v>
      </c>
      <c r="M1438" s="291">
        <v>0</v>
      </c>
      <c r="N1438" s="274">
        <v>211</v>
      </c>
      <c r="O1438" s="291">
        <v>0</v>
      </c>
      <c r="P1438" s="291">
        <v>690</v>
      </c>
      <c r="Q1438" s="286">
        <v>44</v>
      </c>
      <c r="R1438" s="274">
        <v>1362</v>
      </c>
      <c r="S1438" s="274">
        <v>44</v>
      </c>
      <c r="T1438" s="287">
        <f t="shared" si="22"/>
        <v>2017</v>
      </c>
      <c r="U1438" s="274">
        <f>VLOOKUP(A1438,'[1]SB35 Determination Data'!$B$4:$F$542,5,FALSE)</f>
        <v>2015</v>
      </c>
    </row>
    <row r="1439" spans="1:21" s="274" customFormat="1" ht="12.75" x14ac:dyDescent="0.2">
      <c r="A1439" s="274" t="s">
        <v>726</v>
      </c>
      <c r="B1439" s="274" t="s">
        <v>743</v>
      </c>
      <c r="C1439" s="274" t="s">
        <v>649</v>
      </c>
      <c r="D1439" s="295">
        <v>2014</v>
      </c>
      <c r="E1439" s="274" t="s">
        <v>650</v>
      </c>
      <c r="F1439" s="291">
        <v>246</v>
      </c>
      <c r="G1439" s="285">
        <v>44</v>
      </c>
      <c r="H1439" s="291">
        <v>0</v>
      </c>
      <c r="I1439" s="291">
        <v>44</v>
      </c>
      <c r="J1439" s="285">
        <v>168</v>
      </c>
      <c r="K1439" s="284">
        <v>37</v>
      </c>
      <c r="L1439" s="291">
        <v>0</v>
      </c>
      <c r="M1439" s="291">
        <v>37</v>
      </c>
      <c r="N1439" s="291">
        <v>189</v>
      </c>
      <c r="O1439" s="291">
        <v>12</v>
      </c>
      <c r="P1439" s="291">
        <v>412</v>
      </c>
      <c r="Q1439" s="286">
        <v>58</v>
      </c>
      <c r="R1439" s="274">
        <v>1015</v>
      </c>
      <c r="S1439" s="274">
        <v>151</v>
      </c>
      <c r="T1439" s="287">
        <f t="shared" si="22"/>
        <v>2014</v>
      </c>
      <c r="U1439" s="274">
        <f>VLOOKUP(A1439,'[1]SB35 Determination Data'!$B$4:$F$542,5,FALSE)</f>
        <v>2014</v>
      </c>
    </row>
    <row r="1440" spans="1:21" s="274" customFormat="1" ht="12.75" x14ac:dyDescent="0.2">
      <c r="A1440" s="274" t="s">
        <v>726</v>
      </c>
      <c r="B1440" s="274" t="s">
        <v>743</v>
      </c>
      <c r="C1440" s="274" t="s">
        <v>649</v>
      </c>
      <c r="D1440" s="295">
        <v>2015</v>
      </c>
      <c r="E1440" s="274" t="s">
        <v>650</v>
      </c>
      <c r="F1440" s="291">
        <v>246</v>
      </c>
      <c r="G1440" s="285">
        <v>8</v>
      </c>
      <c r="H1440" s="291">
        <v>0</v>
      </c>
      <c r="I1440" s="291">
        <v>8</v>
      </c>
      <c r="J1440" s="285">
        <v>168</v>
      </c>
      <c r="K1440" s="284">
        <v>12</v>
      </c>
      <c r="L1440" s="291">
        <v>0</v>
      </c>
      <c r="M1440" s="291">
        <v>12</v>
      </c>
      <c r="N1440" s="291">
        <v>189</v>
      </c>
      <c r="O1440" s="291">
        <v>13</v>
      </c>
      <c r="P1440" s="291">
        <v>412</v>
      </c>
      <c r="Q1440" s="286">
        <v>46</v>
      </c>
      <c r="R1440" s="274">
        <v>1015</v>
      </c>
      <c r="S1440" s="274">
        <v>79</v>
      </c>
      <c r="T1440" s="287">
        <f t="shared" si="22"/>
        <v>2015</v>
      </c>
      <c r="U1440" s="274">
        <f>VLOOKUP(A1440,'[1]SB35 Determination Data'!$B$4:$F$542,5,FALSE)</f>
        <v>2014</v>
      </c>
    </row>
    <row r="1441" spans="1:21" s="274" customFormat="1" ht="12.75" x14ac:dyDescent="0.2">
      <c r="A1441" s="274" t="s">
        <v>726</v>
      </c>
      <c r="B1441" s="274" t="s">
        <v>743</v>
      </c>
      <c r="C1441" s="274" t="s">
        <v>649</v>
      </c>
      <c r="D1441" s="295">
        <v>2016</v>
      </c>
      <c r="E1441" s="274" t="s">
        <v>650</v>
      </c>
      <c r="F1441" s="291">
        <v>246</v>
      </c>
      <c r="G1441" s="285">
        <v>4</v>
      </c>
      <c r="H1441" s="291">
        <v>0</v>
      </c>
      <c r="I1441" s="291">
        <v>4</v>
      </c>
      <c r="J1441" s="285">
        <v>168</v>
      </c>
      <c r="K1441" s="284">
        <v>8</v>
      </c>
      <c r="L1441" s="291">
        <v>0</v>
      </c>
      <c r="M1441" s="291">
        <v>8</v>
      </c>
      <c r="N1441" s="291">
        <v>189</v>
      </c>
      <c r="O1441" s="291">
        <v>7</v>
      </c>
      <c r="P1441" s="291">
        <v>412</v>
      </c>
      <c r="Q1441" s="286">
        <v>44</v>
      </c>
      <c r="R1441" s="274">
        <v>1015</v>
      </c>
      <c r="S1441" s="274">
        <v>63</v>
      </c>
      <c r="T1441" s="287">
        <f t="shared" si="22"/>
        <v>2016</v>
      </c>
      <c r="U1441" s="274">
        <f>VLOOKUP(A1441,'[1]SB35 Determination Data'!$B$4:$F$542,5,FALSE)</f>
        <v>2014</v>
      </c>
    </row>
    <row r="1442" spans="1:21" s="274" customFormat="1" ht="12.75" x14ac:dyDescent="0.2">
      <c r="A1442" s="274" t="s">
        <v>726</v>
      </c>
      <c r="B1442" s="274" t="s">
        <v>743</v>
      </c>
      <c r="C1442" s="274" t="s">
        <v>649</v>
      </c>
      <c r="D1442" s="295">
        <v>2017</v>
      </c>
      <c r="E1442" s="274" t="s">
        <v>650</v>
      </c>
      <c r="F1442" s="291">
        <v>246</v>
      </c>
      <c r="G1442" s="285">
        <v>7</v>
      </c>
      <c r="H1442" s="291">
        <v>0</v>
      </c>
      <c r="I1442" s="291">
        <v>7</v>
      </c>
      <c r="J1442" s="285">
        <v>168</v>
      </c>
      <c r="K1442" s="284">
        <v>14</v>
      </c>
      <c r="L1442" s="291">
        <v>0</v>
      </c>
      <c r="M1442" s="291">
        <v>14</v>
      </c>
      <c r="N1442" s="291">
        <v>189</v>
      </c>
      <c r="O1442" s="291">
        <v>15</v>
      </c>
      <c r="P1442" s="291">
        <v>412</v>
      </c>
      <c r="Q1442" s="286">
        <v>45</v>
      </c>
      <c r="R1442" s="274">
        <v>1015</v>
      </c>
      <c r="S1442" s="274">
        <v>81</v>
      </c>
      <c r="T1442" s="287">
        <f t="shared" si="22"/>
        <v>2017</v>
      </c>
      <c r="U1442" s="274">
        <f>VLOOKUP(A1442,'[1]SB35 Determination Data'!$B$4:$F$542,5,FALSE)</f>
        <v>2014</v>
      </c>
    </row>
    <row r="1443" spans="1:21" s="274" customFormat="1" ht="12.75" x14ac:dyDescent="0.2">
      <c r="A1443" s="274" t="s">
        <v>728</v>
      </c>
      <c r="B1443" s="274" t="s">
        <v>542</v>
      </c>
      <c r="C1443" s="274" t="s">
        <v>649</v>
      </c>
      <c r="D1443" s="295">
        <v>2017</v>
      </c>
      <c r="E1443" s="274" t="s">
        <v>650</v>
      </c>
      <c r="F1443" s="291">
        <v>1698</v>
      </c>
      <c r="G1443" s="285">
        <v>0</v>
      </c>
      <c r="H1443" s="291">
        <v>0</v>
      </c>
      <c r="I1443" s="291">
        <v>0</v>
      </c>
      <c r="J1443" s="285">
        <v>1207</v>
      </c>
      <c r="K1443" s="284">
        <v>0</v>
      </c>
      <c r="L1443" s="291">
        <v>0</v>
      </c>
      <c r="M1443" s="291">
        <v>0</v>
      </c>
      <c r="N1443" s="274">
        <v>1342</v>
      </c>
      <c r="O1443" s="291">
        <v>104</v>
      </c>
      <c r="P1443" s="291">
        <v>3124</v>
      </c>
      <c r="Q1443" s="286">
        <v>14</v>
      </c>
      <c r="R1443" s="274">
        <v>7371</v>
      </c>
      <c r="S1443" s="274">
        <v>118</v>
      </c>
      <c r="T1443" s="287">
        <f t="shared" si="22"/>
        <v>2017</v>
      </c>
      <c r="U1443" s="274">
        <f>VLOOKUP(A1443,'[1]SB35 Determination Data'!$B$4:$F$542,5,FALSE)</f>
        <v>2014</v>
      </c>
    </row>
    <row r="1444" spans="1:21" s="274" customFormat="1" ht="12.75" x14ac:dyDescent="0.2">
      <c r="A1444" s="274" t="s">
        <v>729</v>
      </c>
      <c r="B1444" s="274" t="s">
        <v>436</v>
      </c>
      <c r="C1444" s="274" t="s">
        <v>649</v>
      </c>
      <c r="D1444" s="295">
        <v>2017</v>
      </c>
      <c r="E1444" s="274" t="s">
        <v>650</v>
      </c>
      <c r="F1444" s="291">
        <v>3</v>
      </c>
      <c r="G1444" s="285">
        <v>0</v>
      </c>
      <c r="H1444" s="291">
        <v>0</v>
      </c>
      <c r="I1444" s="291">
        <v>0</v>
      </c>
      <c r="J1444" s="285">
        <v>2</v>
      </c>
      <c r="K1444" s="284">
        <v>0</v>
      </c>
      <c r="L1444" s="291">
        <v>0</v>
      </c>
      <c r="M1444" s="291">
        <v>0</v>
      </c>
      <c r="N1444" s="291">
        <v>3</v>
      </c>
      <c r="O1444" s="291">
        <v>0</v>
      </c>
      <c r="P1444" s="291">
        <v>6</v>
      </c>
      <c r="Q1444" s="286">
        <v>1</v>
      </c>
      <c r="R1444" s="274">
        <v>14</v>
      </c>
      <c r="S1444" s="274">
        <v>1</v>
      </c>
      <c r="T1444" s="287">
        <f t="shared" si="22"/>
        <v>2017</v>
      </c>
      <c r="U1444" s="274">
        <f>VLOOKUP(A1444,'[1]SB35 Determination Data'!$B$4:$F$542,5,FALSE)</f>
        <v>2014</v>
      </c>
    </row>
    <row r="1445" spans="1:21" s="274" customFormat="1" ht="12.75" x14ac:dyDescent="0.2">
      <c r="A1445" s="274" t="s">
        <v>730</v>
      </c>
      <c r="B1445" s="274" t="s">
        <v>714</v>
      </c>
      <c r="C1445" s="274" t="s">
        <v>531</v>
      </c>
      <c r="D1445" s="295">
        <v>2015</v>
      </c>
      <c r="E1445" s="274" t="s">
        <v>650</v>
      </c>
      <c r="F1445" s="291">
        <v>2616</v>
      </c>
      <c r="G1445" s="285">
        <v>9</v>
      </c>
      <c r="H1445" s="291">
        <v>9</v>
      </c>
      <c r="I1445" s="291">
        <v>0</v>
      </c>
      <c r="J1445" s="285">
        <v>1931</v>
      </c>
      <c r="K1445" s="284">
        <v>106</v>
      </c>
      <c r="L1445" s="291">
        <v>106</v>
      </c>
      <c r="M1445" s="291">
        <v>0</v>
      </c>
      <c r="N1445" s="291">
        <v>1802</v>
      </c>
      <c r="O1445" s="291">
        <v>132</v>
      </c>
      <c r="P1445" s="291">
        <v>3672</v>
      </c>
      <c r="Q1445" s="286">
        <v>367</v>
      </c>
      <c r="R1445" s="274">
        <v>10021</v>
      </c>
      <c r="S1445" s="274">
        <v>614</v>
      </c>
      <c r="T1445" s="287">
        <f t="shared" si="22"/>
        <v>2016</v>
      </c>
      <c r="U1445" s="274">
        <f>VLOOKUP(A1445,'[1]SB35 Determination Data'!$B$4:$F$542,5,FALSE)</f>
        <v>2016</v>
      </c>
    </row>
    <row r="1446" spans="1:21" s="274" customFormat="1" ht="12.75" x14ac:dyDescent="0.2">
      <c r="A1446" s="274" t="s">
        <v>730</v>
      </c>
      <c r="B1446" s="274" t="s">
        <v>714</v>
      </c>
      <c r="C1446" s="274" t="s">
        <v>531</v>
      </c>
      <c r="D1446" s="295">
        <v>2016</v>
      </c>
      <c r="E1446" s="274" t="s">
        <v>650</v>
      </c>
      <c r="F1446" s="291">
        <v>2616</v>
      </c>
      <c r="G1446" s="285">
        <v>78</v>
      </c>
      <c r="H1446" s="291">
        <v>36</v>
      </c>
      <c r="I1446" s="291">
        <v>42</v>
      </c>
      <c r="J1446" s="285">
        <v>1931</v>
      </c>
      <c r="K1446" s="284">
        <v>118</v>
      </c>
      <c r="L1446" s="291">
        <v>0</v>
      </c>
      <c r="M1446" s="291">
        <v>118</v>
      </c>
      <c r="N1446" s="291">
        <v>1802</v>
      </c>
      <c r="O1446" s="291">
        <v>279</v>
      </c>
      <c r="P1446" s="291">
        <v>3672</v>
      </c>
      <c r="Q1446" s="286">
        <v>246</v>
      </c>
      <c r="R1446" s="274">
        <v>10021</v>
      </c>
      <c r="S1446" s="274">
        <v>721</v>
      </c>
      <c r="T1446" s="287">
        <f t="shared" si="22"/>
        <v>2016</v>
      </c>
      <c r="U1446" s="274">
        <f>VLOOKUP(A1446,'[1]SB35 Determination Data'!$B$4:$F$542,5,FALSE)</f>
        <v>2016</v>
      </c>
    </row>
    <row r="1447" spans="1:21" s="274" customFormat="1" ht="12.75" x14ac:dyDescent="0.2">
      <c r="A1447" s="274" t="s">
        <v>730</v>
      </c>
      <c r="B1447" s="274" t="s">
        <v>714</v>
      </c>
      <c r="C1447" s="274" t="s">
        <v>531</v>
      </c>
      <c r="D1447" s="295">
        <v>2017</v>
      </c>
      <c r="E1447" s="274" t="s">
        <v>650</v>
      </c>
      <c r="F1447" s="291">
        <v>2616</v>
      </c>
      <c r="G1447" s="285">
        <v>2</v>
      </c>
      <c r="H1447" s="291">
        <v>2</v>
      </c>
      <c r="I1447" s="291">
        <v>0</v>
      </c>
      <c r="J1447" s="285">
        <v>1931</v>
      </c>
      <c r="K1447" s="284">
        <v>72</v>
      </c>
      <c r="L1447" s="291">
        <v>72</v>
      </c>
      <c r="M1447" s="291">
        <v>0</v>
      </c>
      <c r="N1447" s="291">
        <v>1802</v>
      </c>
      <c r="O1447" s="291">
        <v>29</v>
      </c>
      <c r="P1447" s="291">
        <v>3672</v>
      </c>
      <c r="Q1447" s="286">
        <v>403</v>
      </c>
      <c r="R1447" s="274">
        <v>10021</v>
      </c>
      <c r="S1447" s="274">
        <v>506</v>
      </c>
      <c r="T1447" s="287">
        <f t="shared" si="22"/>
        <v>2017</v>
      </c>
      <c r="U1447" s="274">
        <f>VLOOKUP(A1447,'[1]SB35 Determination Data'!$B$4:$F$542,5,FALSE)</f>
        <v>2016</v>
      </c>
    </row>
    <row r="1448" spans="1:21" s="274" customFormat="1" ht="12.75" x14ac:dyDescent="0.2">
      <c r="A1448" s="274" t="s">
        <v>731</v>
      </c>
      <c r="B1448" s="274" t="s">
        <v>557</v>
      </c>
      <c r="C1448" s="274" t="s">
        <v>758</v>
      </c>
      <c r="D1448" s="295">
        <v>2013</v>
      </c>
      <c r="E1448" s="274" t="s">
        <v>650</v>
      </c>
      <c r="F1448" s="291">
        <v>343</v>
      </c>
      <c r="G1448" s="285">
        <v>48</v>
      </c>
      <c r="H1448" s="291">
        <v>48</v>
      </c>
      <c r="I1448" s="291">
        <v>0</v>
      </c>
      <c r="J1448" s="285">
        <v>260</v>
      </c>
      <c r="K1448" s="284">
        <v>36</v>
      </c>
      <c r="L1448" s="291">
        <v>36</v>
      </c>
      <c r="M1448" s="291">
        <v>0</v>
      </c>
      <c r="N1448" s="291">
        <v>241</v>
      </c>
      <c r="O1448" s="291">
        <v>1</v>
      </c>
      <c r="P1448" s="291">
        <v>530</v>
      </c>
      <c r="Q1448" s="286">
        <v>252</v>
      </c>
      <c r="R1448" s="274">
        <v>1374</v>
      </c>
      <c r="S1448" s="274">
        <v>337</v>
      </c>
      <c r="T1448" s="287">
        <f t="shared" si="22"/>
        <v>2013</v>
      </c>
      <c r="U1448" s="274">
        <f>VLOOKUP(A1448,'[1]SB35 Determination Data'!$B$4:$F$542,5,FALSE)</f>
        <v>2013</v>
      </c>
    </row>
    <row r="1449" spans="1:21" s="274" customFormat="1" ht="12.75" x14ac:dyDescent="0.2">
      <c r="A1449" s="274" t="s">
        <v>731</v>
      </c>
      <c r="B1449" s="274" t="s">
        <v>557</v>
      </c>
      <c r="C1449" s="274" t="s">
        <v>758</v>
      </c>
      <c r="D1449" s="295">
        <v>2014</v>
      </c>
      <c r="E1449" s="274" t="s">
        <v>650</v>
      </c>
      <c r="F1449" s="291">
        <v>343</v>
      </c>
      <c r="G1449" s="285">
        <v>48</v>
      </c>
      <c r="H1449" s="291">
        <v>48</v>
      </c>
      <c r="I1449" s="291">
        <v>0</v>
      </c>
      <c r="J1449" s="285">
        <v>260</v>
      </c>
      <c r="K1449" s="284">
        <v>18</v>
      </c>
      <c r="L1449" s="291">
        <v>18</v>
      </c>
      <c r="M1449" s="291">
        <v>0</v>
      </c>
      <c r="N1449" s="274">
        <v>241</v>
      </c>
      <c r="O1449" s="291">
        <v>0</v>
      </c>
      <c r="P1449" s="291">
        <v>530</v>
      </c>
      <c r="Q1449" s="286">
        <v>691</v>
      </c>
      <c r="R1449" s="274">
        <v>1374</v>
      </c>
      <c r="S1449" s="274">
        <v>757</v>
      </c>
      <c r="T1449" s="287">
        <f t="shared" si="22"/>
        <v>2014</v>
      </c>
      <c r="U1449" s="274">
        <f>VLOOKUP(A1449,'[1]SB35 Determination Data'!$B$4:$F$542,5,FALSE)</f>
        <v>2013</v>
      </c>
    </row>
    <row r="1450" spans="1:21" s="274" customFormat="1" ht="12.75" x14ac:dyDescent="0.2">
      <c r="A1450" s="274" t="s">
        <v>731</v>
      </c>
      <c r="B1450" s="274" t="s">
        <v>557</v>
      </c>
      <c r="C1450" s="274" t="s">
        <v>758</v>
      </c>
      <c r="D1450" s="295">
        <v>2015</v>
      </c>
      <c r="E1450" s="274" t="s">
        <v>650</v>
      </c>
      <c r="F1450" s="291">
        <v>343</v>
      </c>
      <c r="G1450" s="285">
        <v>0</v>
      </c>
      <c r="H1450" s="291">
        <v>0</v>
      </c>
      <c r="I1450" s="291">
        <v>0</v>
      </c>
      <c r="J1450" s="285">
        <v>260</v>
      </c>
      <c r="K1450" s="284">
        <v>0</v>
      </c>
      <c r="L1450" s="291">
        <v>0</v>
      </c>
      <c r="M1450" s="291">
        <v>0</v>
      </c>
      <c r="N1450" s="291">
        <v>241</v>
      </c>
      <c r="O1450" s="291">
        <v>0</v>
      </c>
      <c r="P1450" s="291">
        <v>530</v>
      </c>
      <c r="Q1450" s="286">
        <v>415</v>
      </c>
      <c r="R1450" s="274">
        <v>1374</v>
      </c>
      <c r="S1450" s="274">
        <v>415</v>
      </c>
      <c r="T1450" s="287">
        <f t="shared" si="22"/>
        <v>2015</v>
      </c>
      <c r="U1450" s="274">
        <f>VLOOKUP(A1450,'[1]SB35 Determination Data'!$B$4:$F$542,5,FALSE)</f>
        <v>2013</v>
      </c>
    </row>
    <row r="1451" spans="1:21" s="274" customFormat="1" ht="12.75" x14ac:dyDescent="0.2">
      <c r="A1451" s="274" t="s">
        <v>731</v>
      </c>
      <c r="B1451" s="274" t="s">
        <v>557</v>
      </c>
      <c r="C1451" s="274" t="s">
        <v>758</v>
      </c>
      <c r="D1451" s="295">
        <v>2016</v>
      </c>
      <c r="E1451" s="274" t="s">
        <v>650</v>
      </c>
      <c r="F1451" s="291">
        <v>343</v>
      </c>
      <c r="G1451" s="285">
        <v>0</v>
      </c>
      <c r="H1451" s="291">
        <v>0</v>
      </c>
      <c r="I1451" s="291">
        <v>0</v>
      </c>
      <c r="J1451" s="285">
        <v>260</v>
      </c>
      <c r="K1451" s="284">
        <v>0</v>
      </c>
      <c r="L1451" s="291">
        <v>0</v>
      </c>
      <c r="M1451" s="291">
        <v>0</v>
      </c>
      <c r="N1451" s="291">
        <v>241</v>
      </c>
      <c r="O1451" s="291">
        <v>0</v>
      </c>
      <c r="P1451" s="291">
        <v>530</v>
      </c>
      <c r="Q1451" s="286">
        <v>35</v>
      </c>
      <c r="R1451" s="274">
        <v>1374</v>
      </c>
      <c r="S1451" s="274">
        <v>35</v>
      </c>
      <c r="T1451" s="287">
        <f t="shared" si="22"/>
        <v>2016</v>
      </c>
      <c r="U1451" s="274">
        <f>VLOOKUP(A1451,'[1]SB35 Determination Data'!$B$4:$F$542,5,FALSE)</f>
        <v>2013</v>
      </c>
    </row>
    <row r="1452" spans="1:21" s="274" customFormat="1" ht="12.75" x14ac:dyDescent="0.2">
      <c r="A1452" s="274" t="s">
        <v>731</v>
      </c>
      <c r="B1452" s="274" t="s">
        <v>557</v>
      </c>
      <c r="C1452" s="274" t="s">
        <v>758</v>
      </c>
      <c r="D1452" s="295">
        <v>2017</v>
      </c>
      <c r="E1452" s="274" t="s">
        <v>650</v>
      </c>
      <c r="F1452" s="291">
        <v>343</v>
      </c>
      <c r="G1452" s="285">
        <v>0</v>
      </c>
      <c r="H1452" s="291">
        <v>0</v>
      </c>
      <c r="I1452" s="291">
        <v>0</v>
      </c>
      <c r="J1452" s="285">
        <v>260</v>
      </c>
      <c r="K1452" s="284">
        <v>0</v>
      </c>
      <c r="L1452" s="291">
        <v>0</v>
      </c>
      <c r="M1452" s="291">
        <v>0</v>
      </c>
      <c r="N1452" s="291">
        <v>241</v>
      </c>
      <c r="O1452" s="291">
        <v>0</v>
      </c>
      <c r="P1452" s="291">
        <v>530</v>
      </c>
      <c r="Q1452" s="286">
        <v>154</v>
      </c>
      <c r="R1452" s="274">
        <v>1374</v>
      </c>
      <c r="S1452" s="274">
        <v>154</v>
      </c>
      <c r="T1452" s="287">
        <f t="shared" si="22"/>
        <v>2017</v>
      </c>
      <c r="U1452" s="274">
        <f>VLOOKUP(A1452,'[1]SB35 Determination Data'!$B$4:$F$542,5,FALSE)</f>
        <v>2013</v>
      </c>
    </row>
    <row r="1453" spans="1:21" s="274" customFormat="1" ht="12.75" x14ac:dyDescent="0.2">
      <c r="A1453" s="274" t="s">
        <v>517</v>
      </c>
      <c r="B1453" s="274" t="s">
        <v>262</v>
      </c>
      <c r="C1453" s="274" t="s">
        <v>649</v>
      </c>
      <c r="D1453" s="295">
        <v>2014</v>
      </c>
      <c r="E1453" s="274" t="s">
        <v>650</v>
      </c>
      <c r="F1453" s="291">
        <v>246</v>
      </c>
      <c r="G1453" s="285">
        <v>0</v>
      </c>
      <c r="H1453" s="291">
        <v>0</v>
      </c>
      <c r="I1453" s="291">
        <v>0</v>
      </c>
      <c r="J1453" s="285">
        <v>144</v>
      </c>
      <c r="K1453" s="284">
        <v>0</v>
      </c>
      <c r="L1453" s="291">
        <v>0</v>
      </c>
      <c r="M1453" s="291">
        <v>0</v>
      </c>
      <c r="N1453" s="291">
        <v>155</v>
      </c>
      <c r="O1453" s="291">
        <v>1</v>
      </c>
      <c r="P1453" s="291">
        <v>363</v>
      </c>
      <c r="Q1453" s="286">
        <v>325</v>
      </c>
      <c r="R1453" s="274">
        <v>908</v>
      </c>
      <c r="S1453" s="274">
        <v>326</v>
      </c>
      <c r="T1453" s="287">
        <f t="shared" si="22"/>
        <v>2014</v>
      </c>
      <c r="U1453" s="274">
        <f>VLOOKUP(A1453,'[1]SB35 Determination Data'!$B$4:$F$542,5,FALSE)</f>
        <v>2014</v>
      </c>
    </row>
    <row r="1454" spans="1:21" s="274" customFormat="1" ht="12.75" x14ac:dyDescent="0.2">
      <c r="A1454" s="274" t="s">
        <v>517</v>
      </c>
      <c r="B1454" s="274" t="s">
        <v>262</v>
      </c>
      <c r="C1454" s="274" t="s">
        <v>649</v>
      </c>
      <c r="D1454" s="295">
        <v>2016</v>
      </c>
      <c r="E1454" s="274" t="s">
        <v>650</v>
      </c>
      <c r="F1454" s="291">
        <v>246</v>
      </c>
      <c r="G1454" s="285">
        <v>0</v>
      </c>
      <c r="H1454" s="291">
        <v>0</v>
      </c>
      <c r="I1454" s="291">
        <v>0</v>
      </c>
      <c r="J1454" s="285">
        <v>144</v>
      </c>
      <c r="K1454" s="284">
        <v>0</v>
      </c>
      <c r="L1454" s="291">
        <v>0</v>
      </c>
      <c r="M1454" s="291">
        <v>0</v>
      </c>
      <c r="N1454" s="291">
        <v>155</v>
      </c>
      <c r="O1454" s="291">
        <v>0</v>
      </c>
      <c r="P1454" s="291">
        <v>363</v>
      </c>
      <c r="Q1454" s="286">
        <v>12</v>
      </c>
      <c r="R1454" s="274">
        <v>908</v>
      </c>
      <c r="S1454" s="274">
        <v>12</v>
      </c>
      <c r="T1454" s="287">
        <f t="shared" si="22"/>
        <v>2016</v>
      </c>
      <c r="U1454" s="274">
        <f>VLOOKUP(A1454,'[1]SB35 Determination Data'!$B$4:$F$542,5,FALSE)</f>
        <v>2014</v>
      </c>
    </row>
    <row r="1455" spans="1:21" s="274" customFormat="1" ht="12.75" x14ac:dyDescent="0.2">
      <c r="A1455" s="274" t="s">
        <v>517</v>
      </c>
      <c r="B1455" s="274" t="s">
        <v>262</v>
      </c>
      <c r="C1455" s="274" t="s">
        <v>649</v>
      </c>
      <c r="D1455" s="295">
        <v>2017</v>
      </c>
      <c r="E1455" s="274" t="s">
        <v>650</v>
      </c>
      <c r="F1455" s="291">
        <v>246</v>
      </c>
      <c r="G1455" s="285">
        <v>0</v>
      </c>
      <c r="H1455" s="291">
        <v>0</v>
      </c>
      <c r="I1455" s="291">
        <v>0</v>
      </c>
      <c r="J1455" s="285">
        <v>144</v>
      </c>
      <c r="K1455" s="284">
        <v>0</v>
      </c>
      <c r="L1455" s="291">
        <v>0</v>
      </c>
      <c r="M1455" s="291">
        <v>0</v>
      </c>
      <c r="N1455" s="291">
        <v>155</v>
      </c>
      <c r="O1455" s="291">
        <v>0</v>
      </c>
      <c r="P1455" s="291">
        <v>363</v>
      </c>
      <c r="Q1455" s="286">
        <v>87</v>
      </c>
      <c r="R1455" s="274">
        <v>908</v>
      </c>
      <c r="S1455" s="274">
        <v>87</v>
      </c>
      <c r="T1455" s="287">
        <f t="shared" si="22"/>
        <v>2017</v>
      </c>
      <c r="U1455" s="274">
        <f>VLOOKUP(A1455,'[1]SB35 Determination Data'!$B$4:$F$542,5,FALSE)</f>
        <v>2014</v>
      </c>
    </row>
    <row r="1456" spans="1:21" s="274" customFormat="1" ht="12.75" x14ac:dyDescent="0.2">
      <c r="A1456" s="274" t="s">
        <v>319</v>
      </c>
      <c r="B1456" s="274" t="s">
        <v>120</v>
      </c>
      <c r="C1456" s="274" t="s">
        <v>654</v>
      </c>
      <c r="D1456" s="295">
        <v>2016</v>
      </c>
      <c r="E1456" s="274" t="s">
        <v>650</v>
      </c>
      <c r="F1456" s="291">
        <v>604</v>
      </c>
      <c r="G1456" s="285">
        <v>42</v>
      </c>
      <c r="H1456" s="291">
        <v>42</v>
      </c>
      <c r="I1456" s="291">
        <v>0</v>
      </c>
      <c r="J1456" s="285">
        <v>355</v>
      </c>
      <c r="K1456" s="284">
        <v>16</v>
      </c>
      <c r="L1456" s="291">
        <v>16</v>
      </c>
      <c r="M1456" s="291">
        <v>0</v>
      </c>
      <c r="N1456" s="291">
        <v>381</v>
      </c>
      <c r="O1456" s="291">
        <v>12</v>
      </c>
      <c r="P1456" s="291">
        <v>895</v>
      </c>
      <c r="Q1456" s="286">
        <v>392</v>
      </c>
      <c r="R1456" s="274">
        <v>2235</v>
      </c>
      <c r="S1456" s="274">
        <v>462</v>
      </c>
      <c r="T1456" s="287">
        <f t="shared" si="22"/>
        <v>2016</v>
      </c>
      <c r="U1456" s="274">
        <f>VLOOKUP(A1456,'[1]SB35 Determination Data'!$B$4:$F$542,5,FALSE)</f>
        <v>2015</v>
      </c>
    </row>
    <row r="1457" spans="1:21" s="274" customFormat="1" ht="12.75" x14ac:dyDescent="0.2">
      <c r="A1457" s="274" t="s">
        <v>319</v>
      </c>
      <c r="B1457" s="274" t="s">
        <v>120</v>
      </c>
      <c r="C1457" s="274" t="s">
        <v>654</v>
      </c>
      <c r="D1457" s="295">
        <v>2017</v>
      </c>
      <c r="E1457" s="274" t="s">
        <v>650</v>
      </c>
      <c r="F1457" s="291">
        <v>604</v>
      </c>
      <c r="G1457" s="285">
        <v>0</v>
      </c>
      <c r="H1457" s="291">
        <v>0</v>
      </c>
      <c r="I1457" s="291">
        <v>0</v>
      </c>
      <c r="J1457" s="285">
        <v>355</v>
      </c>
      <c r="K1457" s="284">
        <v>0</v>
      </c>
      <c r="L1457" s="291">
        <v>0</v>
      </c>
      <c r="M1457" s="291">
        <v>0</v>
      </c>
      <c r="N1457" s="291">
        <v>381</v>
      </c>
      <c r="O1457" s="291">
        <v>6</v>
      </c>
      <c r="P1457" s="291">
        <v>895</v>
      </c>
      <c r="Q1457" s="286">
        <v>119</v>
      </c>
      <c r="R1457" s="274">
        <v>2235</v>
      </c>
      <c r="S1457" s="274">
        <v>125</v>
      </c>
      <c r="T1457" s="287">
        <f t="shared" si="22"/>
        <v>2017</v>
      </c>
      <c r="U1457" s="274">
        <f>VLOOKUP(A1457,'[1]SB35 Determination Data'!$B$4:$F$542,5,FALSE)</f>
        <v>2015</v>
      </c>
    </row>
    <row r="1458" spans="1:21" s="274" customFormat="1" ht="12.75" x14ac:dyDescent="0.2">
      <c r="A1458" s="274" t="s">
        <v>444</v>
      </c>
      <c r="B1458" s="274" t="s">
        <v>220</v>
      </c>
      <c r="C1458" s="274" t="s">
        <v>531</v>
      </c>
      <c r="D1458" s="295">
        <v>2015</v>
      </c>
      <c r="E1458" s="274" t="s">
        <v>650</v>
      </c>
      <c r="F1458" s="291">
        <v>350</v>
      </c>
      <c r="G1458" s="285">
        <v>0</v>
      </c>
      <c r="H1458" s="291">
        <v>0</v>
      </c>
      <c r="I1458" s="291">
        <v>0</v>
      </c>
      <c r="J1458" s="285">
        <v>275</v>
      </c>
      <c r="K1458" s="284">
        <v>8</v>
      </c>
      <c r="L1458" s="291">
        <v>0</v>
      </c>
      <c r="M1458" s="291">
        <v>8</v>
      </c>
      <c r="N1458" s="291">
        <v>280</v>
      </c>
      <c r="O1458" s="291">
        <v>0</v>
      </c>
      <c r="P1458" s="291">
        <v>521</v>
      </c>
      <c r="Q1458" s="286">
        <v>37</v>
      </c>
      <c r="R1458" s="274">
        <v>1426</v>
      </c>
      <c r="S1458" s="274">
        <v>45</v>
      </c>
      <c r="T1458" s="287">
        <f t="shared" si="22"/>
        <v>2016</v>
      </c>
      <c r="U1458" s="274">
        <f>VLOOKUP(A1458,'[1]SB35 Determination Data'!$B$4:$F$542,5,FALSE)</f>
        <v>2016</v>
      </c>
    </row>
    <row r="1459" spans="1:21" s="274" customFormat="1" ht="12.75" x14ac:dyDescent="0.2">
      <c r="A1459" s="274" t="s">
        <v>444</v>
      </c>
      <c r="B1459" s="274" t="s">
        <v>220</v>
      </c>
      <c r="C1459" s="274" t="s">
        <v>531</v>
      </c>
      <c r="D1459" s="295">
        <v>2016</v>
      </c>
      <c r="E1459" s="274" t="s">
        <v>650</v>
      </c>
      <c r="F1459" s="291">
        <v>350</v>
      </c>
      <c r="G1459" s="285">
        <v>0</v>
      </c>
      <c r="H1459" s="291">
        <v>0</v>
      </c>
      <c r="I1459" s="291">
        <v>0</v>
      </c>
      <c r="J1459" s="291">
        <v>275</v>
      </c>
      <c r="K1459" s="284">
        <v>16</v>
      </c>
      <c r="L1459" s="291">
        <v>0</v>
      </c>
      <c r="M1459" s="291">
        <v>16</v>
      </c>
      <c r="N1459" s="291">
        <v>280</v>
      </c>
      <c r="O1459" s="291">
        <v>3</v>
      </c>
      <c r="P1459" s="291">
        <v>521</v>
      </c>
      <c r="Q1459" s="274">
        <v>85</v>
      </c>
      <c r="R1459" s="274">
        <v>1426</v>
      </c>
      <c r="S1459" s="274">
        <v>104</v>
      </c>
      <c r="T1459" s="287">
        <f t="shared" si="22"/>
        <v>2016</v>
      </c>
      <c r="U1459" s="274">
        <f>VLOOKUP(A1459,'[1]SB35 Determination Data'!$B$4:$F$542,5,FALSE)</f>
        <v>2016</v>
      </c>
    </row>
    <row r="1460" spans="1:21" s="274" customFormat="1" ht="12.75" x14ac:dyDescent="0.2">
      <c r="A1460" s="274" t="s">
        <v>444</v>
      </c>
      <c r="B1460" s="274" t="s">
        <v>220</v>
      </c>
      <c r="C1460" s="274" t="s">
        <v>531</v>
      </c>
      <c r="D1460" s="295">
        <v>2017</v>
      </c>
      <c r="E1460" s="274" t="s">
        <v>650</v>
      </c>
      <c r="F1460" s="291">
        <v>350</v>
      </c>
      <c r="G1460" s="285">
        <v>0</v>
      </c>
      <c r="H1460" s="291">
        <v>0</v>
      </c>
      <c r="I1460" s="291">
        <v>0</v>
      </c>
      <c r="J1460" s="291">
        <v>275</v>
      </c>
      <c r="K1460" s="284">
        <v>37</v>
      </c>
      <c r="L1460" s="291">
        <v>0</v>
      </c>
      <c r="M1460" s="291">
        <v>37</v>
      </c>
      <c r="N1460" s="291">
        <v>280</v>
      </c>
      <c r="O1460" s="291">
        <v>1</v>
      </c>
      <c r="P1460" s="291">
        <v>521</v>
      </c>
      <c r="Q1460" s="274">
        <v>82</v>
      </c>
      <c r="R1460" s="274">
        <v>1426</v>
      </c>
      <c r="S1460" s="274">
        <v>120</v>
      </c>
      <c r="T1460" s="287">
        <f t="shared" si="22"/>
        <v>2017</v>
      </c>
      <c r="U1460" s="274">
        <f>VLOOKUP(A1460,'[1]SB35 Determination Data'!$B$4:$F$542,5,FALSE)</f>
        <v>2016</v>
      </c>
    </row>
    <row r="1461" spans="1:21" s="274" customFormat="1" ht="12.75" x14ac:dyDescent="0.2">
      <c r="A1461" s="274" t="s">
        <v>735</v>
      </c>
      <c r="B1461" s="274" t="s">
        <v>621</v>
      </c>
      <c r="C1461" s="274" t="s">
        <v>531</v>
      </c>
      <c r="D1461" s="295">
        <v>2016</v>
      </c>
      <c r="E1461" s="274" t="s">
        <v>650</v>
      </c>
      <c r="F1461" s="291">
        <v>169</v>
      </c>
      <c r="G1461" s="285">
        <v>20</v>
      </c>
      <c r="H1461" s="291">
        <v>20</v>
      </c>
      <c r="I1461" s="291">
        <v>0</v>
      </c>
      <c r="J1461" s="291">
        <v>110</v>
      </c>
      <c r="K1461" s="284">
        <v>2</v>
      </c>
      <c r="L1461" s="291">
        <v>2</v>
      </c>
      <c r="M1461" s="291">
        <v>0</v>
      </c>
      <c r="N1461" s="291">
        <v>128</v>
      </c>
      <c r="O1461" s="291">
        <v>4</v>
      </c>
      <c r="P1461" s="291">
        <v>293</v>
      </c>
      <c r="Q1461" s="274">
        <v>27</v>
      </c>
      <c r="R1461" s="274">
        <v>700</v>
      </c>
      <c r="S1461" s="274">
        <v>53</v>
      </c>
      <c r="T1461" s="287">
        <f t="shared" si="22"/>
        <v>2016</v>
      </c>
      <c r="U1461" s="274">
        <f>VLOOKUP(A1461,'[1]SB35 Determination Data'!$B$4:$F$542,5,FALSE)</f>
        <v>2016</v>
      </c>
    </row>
    <row r="1462" spans="1:21" s="274" customFormat="1" ht="12.75" x14ac:dyDescent="0.2">
      <c r="A1462" s="274" t="s">
        <v>735</v>
      </c>
      <c r="B1462" s="274" t="s">
        <v>621</v>
      </c>
      <c r="C1462" s="274" t="s">
        <v>531</v>
      </c>
      <c r="D1462" s="295">
        <v>2017</v>
      </c>
      <c r="E1462" s="274" t="s">
        <v>650</v>
      </c>
      <c r="F1462" s="291">
        <v>169</v>
      </c>
      <c r="G1462" s="285">
        <v>1</v>
      </c>
      <c r="H1462" s="291">
        <v>1</v>
      </c>
      <c r="I1462" s="291">
        <v>0</v>
      </c>
      <c r="J1462" s="291">
        <v>110</v>
      </c>
      <c r="K1462" s="284">
        <v>3</v>
      </c>
      <c r="L1462" s="291">
        <v>3</v>
      </c>
      <c r="M1462" s="291">
        <v>0</v>
      </c>
      <c r="N1462" s="274">
        <v>128</v>
      </c>
      <c r="O1462" s="291">
        <v>7</v>
      </c>
      <c r="P1462" s="291">
        <v>293</v>
      </c>
      <c r="Q1462" s="274">
        <v>103</v>
      </c>
      <c r="R1462" s="274">
        <v>700</v>
      </c>
      <c r="S1462" s="274">
        <v>114</v>
      </c>
      <c r="T1462" s="287">
        <f t="shared" si="22"/>
        <v>2017</v>
      </c>
      <c r="U1462" s="274">
        <f>VLOOKUP(A1462,'[1]SB35 Determination Data'!$B$4:$F$542,5,FALSE)</f>
        <v>2016</v>
      </c>
    </row>
    <row r="1463" spans="1:21" s="274" customFormat="1" ht="12.75" x14ac:dyDescent="0.2">
      <c r="A1463" s="274" t="s">
        <v>519</v>
      </c>
      <c r="B1463" s="274" t="s">
        <v>262</v>
      </c>
      <c r="C1463" s="274" t="s">
        <v>649</v>
      </c>
      <c r="D1463" s="295">
        <v>2014</v>
      </c>
      <c r="E1463" s="274" t="s">
        <v>650</v>
      </c>
      <c r="F1463" s="291">
        <v>217</v>
      </c>
      <c r="G1463" s="285">
        <v>0</v>
      </c>
      <c r="H1463" s="291">
        <v>0</v>
      </c>
      <c r="I1463" s="291">
        <v>0</v>
      </c>
      <c r="J1463" s="291">
        <v>129</v>
      </c>
      <c r="K1463" s="284">
        <v>0</v>
      </c>
      <c r="L1463" s="291">
        <v>0</v>
      </c>
      <c r="M1463" s="291">
        <v>0</v>
      </c>
      <c r="N1463" s="291">
        <v>138</v>
      </c>
      <c r="O1463" s="291">
        <v>0</v>
      </c>
      <c r="P1463" s="291">
        <v>347</v>
      </c>
      <c r="Q1463" s="274">
        <v>481</v>
      </c>
      <c r="R1463" s="274">
        <v>831</v>
      </c>
      <c r="S1463" s="274">
        <v>481</v>
      </c>
      <c r="T1463" s="287">
        <f t="shared" si="22"/>
        <v>2014</v>
      </c>
      <c r="U1463" s="274">
        <f>VLOOKUP(A1463,'[1]SB35 Determination Data'!$B$4:$F$542,5,FALSE)</f>
        <v>2014</v>
      </c>
    </row>
    <row r="1464" spans="1:21" s="274" customFormat="1" ht="12.75" x14ac:dyDescent="0.2">
      <c r="A1464" s="274" t="s">
        <v>519</v>
      </c>
      <c r="B1464" s="274" t="s">
        <v>262</v>
      </c>
      <c r="C1464" s="274" t="s">
        <v>649</v>
      </c>
      <c r="D1464" s="295">
        <v>2015</v>
      </c>
      <c r="E1464" s="274" t="s">
        <v>650</v>
      </c>
      <c r="F1464" s="291">
        <v>217</v>
      </c>
      <c r="G1464" s="285">
        <v>0</v>
      </c>
      <c r="H1464" s="291">
        <v>0</v>
      </c>
      <c r="I1464" s="291">
        <v>0</v>
      </c>
      <c r="J1464" s="291">
        <v>129</v>
      </c>
      <c r="K1464" s="284">
        <v>0</v>
      </c>
      <c r="L1464" s="291">
        <v>0</v>
      </c>
      <c r="M1464" s="291">
        <v>0</v>
      </c>
      <c r="N1464" s="291">
        <v>138</v>
      </c>
      <c r="O1464" s="291">
        <v>0</v>
      </c>
      <c r="P1464" s="291">
        <v>347</v>
      </c>
      <c r="Q1464" s="274">
        <v>140</v>
      </c>
      <c r="R1464" s="274">
        <v>831</v>
      </c>
      <c r="S1464" s="274">
        <v>140</v>
      </c>
      <c r="T1464" s="287">
        <f t="shared" si="22"/>
        <v>2015</v>
      </c>
      <c r="U1464" s="274">
        <f>VLOOKUP(A1464,'[1]SB35 Determination Data'!$B$4:$F$542,5,FALSE)</f>
        <v>2014</v>
      </c>
    </row>
    <row r="1465" spans="1:21" s="274" customFormat="1" ht="12.75" x14ac:dyDescent="0.2">
      <c r="A1465" s="274" t="s">
        <v>519</v>
      </c>
      <c r="B1465" s="274" t="s">
        <v>262</v>
      </c>
      <c r="C1465" s="274" t="s">
        <v>649</v>
      </c>
      <c r="D1465" s="295">
        <v>2016</v>
      </c>
      <c r="E1465" s="274" t="s">
        <v>650</v>
      </c>
      <c r="F1465" s="291">
        <v>217</v>
      </c>
      <c r="G1465" s="285">
        <v>0</v>
      </c>
      <c r="H1465" s="291">
        <v>0</v>
      </c>
      <c r="I1465" s="291">
        <v>0</v>
      </c>
      <c r="J1465" s="291">
        <v>129</v>
      </c>
      <c r="K1465" s="284">
        <v>0</v>
      </c>
      <c r="L1465" s="291">
        <v>0</v>
      </c>
      <c r="M1465" s="291">
        <v>0</v>
      </c>
      <c r="N1465" s="291">
        <v>138</v>
      </c>
      <c r="O1465" s="291">
        <v>0</v>
      </c>
      <c r="P1465" s="291">
        <v>347</v>
      </c>
      <c r="Q1465" s="274">
        <v>37</v>
      </c>
      <c r="R1465" s="274">
        <v>831</v>
      </c>
      <c r="S1465" s="274">
        <v>37</v>
      </c>
      <c r="T1465" s="287">
        <f t="shared" si="22"/>
        <v>2016</v>
      </c>
      <c r="U1465" s="274">
        <f>VLOOKUP(A1465,'[1]SB35 Determination Data'!$B$4:$F$542,5,FALSE)</f>
        <v>2014</v>
      </c>
    </row>
    <row r="1466" spans="1:21" s="274" customFormat="1" ht="12.75" x14ac:dyDescent="0.2">
      <c r="A1466" s="274" t="s">
        <v>519</v>
      </c>
      <c r="B1466" s="274" t="s">
        <v>262</v>
      </c>
      <c r="C1466" s="274" t="s">
        <v>649</v>
      </c>
      <c r="D1466" s="295">
        <v>2017</v>
      </c>
      <c r="E1466" s="274" t="s">
        <v>650</v>
      </c>
      <c r="F1466" s="291">
        <v>217</v>
      </c>
      <c r="G1466" s="285">
        <v>0</v>
      </c>
      <c r="H1466" s="291">
        <v>0</v>
      </c>
      <c r="I1466" s="291">
        <v>0</v>
      </c>
      <c r="J1466" s="291">
        <v>129</v>
      </c>
      <c r="K1466" s="284">
        <v>0</v>
      </c>
      <c r="L1466" s="291">
        <v>0</v>
      </c>
      <c r="M1466" s="291">
        <v>0</v>
      </c>
      <c r="N1466" s="291">
        <v>138</v>
      </c>
      <c r="O1466" s="291">
        <v>0</v>
      </c>
      <c r="P1466" s="291">
        <v>347</v>
      </c>
      <c r="Q1466" s="274">
        <v>2</v>
      </c>
      <c r="R1466" s="274">
        <v>831</v>
      </c>
      <c r="S1466" s="274">
        <v>2</v>
      </c>
      <c r="T1466" s="287">
        <f t="shared" si="22"/>
        <v>2017</v>
      </c>
      <c r="U1466" s="274">
        <f>VLOOKUP(A1466,'[1]SB35 Determination Data'!$B$4:$F$542,5,FALSE)</f>
        <v>2014</v>
      </c>
    </row>
    <row r="1467" spans="1:21" s="274" customFormat="1" ht="12.75" x14ac:dyDescent="0.2">
      <c r="A1467" s="274" t="s">
        <v>520</v>
      </c>
      <c r="B1467" s="274" t="s">
        <v>262</v>
      </c>
      <c r="C1467" s="274" t="s">
        <v>649</v>
      </c>
      <c r="D1467" s="295">
        <v>2014</v>
      </c>
      <c r="E1467" s="274" t="s">
        <v>650</v>
      </c>
      <c r="F1467" s="291">
        <v>19</v>
      </c>
      <c r="G1467" s="285">
        <v>0</v>
      </c>
      <c r="H1467" s="291">
        <v>0</v>
      </c>
      <c r="I1467" s="291">
        <v>0</v>
      </c>
      <c r="J1467" s="291">
        <v>12</v>
      </c>
      <c r="K1467" s="284">
        <v>18</v>
      </c>
      <c r="L1467" s="291">
        <v>18</v>
      </c>
      <c r="M1467" s="291">
        <v>0</v>
      </c>
      <c r="N1467" s="291">
        <v>13</v>
      </c>
      <c r="O1467" s="291">
        <v>19</v>
      </c>
      <c r="P1467" s="291">
        <v>33</v>
      </c>
      <c r="Q1467" s="274">
        <v>233</v>
      </c>
      <c r="R1467" s="274">
        <v>77</v>
      </c>
      <c r="S1467" s="274">
        <v>270</v>
      </c>
      <c r="T1467" s="287">
        <f t="shared" si="22"/>
        <v>2014</v>
      </c>
      <c r="U1467" s="274">
        <f>VLOOKUP(A1467,'[1]SB35 Determination Data'!$B$4:$F$542,5,FALSE)</f>
        <v>2014</v>
      </c>
    </row>
    <row r="1468" spans="1:21" s="274" customFormat="1" ht="12.75" x14ac:dyDescent="0.2">
      <c r="A1468" s="274" t="s">
        <v>520</v>
      </c>
      <c r="B1468" s="274" t="s">
        <v>262</v>
      </c>
      <c r="C1468" s="274" t="s">
        <v>649</v>
      </c>
      <c r="D1468" s="295">
        <v>2015</v>
      </c>
      <c r="E1468" s="274" t="s">
        <v>650</v>
      </c>
      <c r="F1468" s="291">
        <v>19</v>
      </c>
      <c r="G1468" s="285">
        <v>42</v>
      </c>
      <c r="H1468" s="291">
        <v>42</v>
      </c>
      <c r="I1468" s="291">
        <v>0</v>
      </c>
      <c r="J1468" s="291">
        <v>12</v>
      </c>
      <c r="K1468" s="284">
        <v>43</v>
      </c>
      <c r="L1468" s="291">
        <v>43</v>
      </c>
      <c r="M1468" s="291">
        <v>0</v>
      </c>
      <c r="N1468" s="274">
        <v>13</v>
      </c>
      <c r="O1468" s="291">
        <v>0</v>
      </c>
      <c r="P1468" s="291">
        <v>33</v>
      </c>
      <c r="Q1468" s="274">
        <v>390</v>
      </c>
      <c r="R1468" s="274">
        <v>77</v>
      </c>
      <c r="S1468" s="274">
        <v>475</v>
      </c>
      <c r="T1468" s="287">
        <f t="shared" si="22"/>
        <v>2015</v>
      </c>
      <c r="U1468" s="274">
        <f>VLOOKUP(A1468,'[1]SB35 Determination Data'!$B$4:$F$542,5,FALSE)</f>
        <v>2014</v>
      </c>
    </row>
    <row r="1469" spans="1:21" s="274" customFormat="1" ht="12.75" x14ac:dyDescent="0.2">
      <c r="A1469" s="274" t="s">
        <v>520</v>
      </c>
      <c r="B1469" s="274" t="s">
        <v>262</v>
      </c>
      <c r="C1469" s="274" t="s">
        <v>649</v>
      </c>
      <c r="D1469" s="295">
        <v>2016</v>
      </c>
      <c r="E1469" s="274" t="s">
        <v>650</v>
      </c>
      <c r="F1469" s="291">
        <v>19</v>
      </c>
      <c r="G1469" s="285">
        <v>27</v>
      </c>
      <c r="H1469" s="291">
        <v>27</v>
      </c>
      <c r="I1469" s="291">
        <v>0</v>
      </c>
      <c r="J1469" s="291">
        <v>12</v>
      </c>
      <c r="K1469" s="284">
        <v>13</v>
      </c>
      <c r="L1469" s="291">
        <v>13</v>
      </c>
      <c r="M1469" s="291">
        <v>0</v>
      </c>
      <c r="N1469" s="291">
        <v>13</v>
      </c>
      <c r="O1469" s="291">
        <v>20</v>
      </c>
      <c r="P1469" s="291">
        <v>33</v>
      </c>
      <c r="Q1469" s="274">
        <v>589</v>
      </c>
      <c r="R1469" s="274">
        <v>77</v>
      </c>
      <c r="S1469" s="274">
        <v>649</v>
      </c>
      <c r="T1469" s="287">
        <f t="shared" si="22"/>
        <v>2016</v>
      </c>
      <c r="U1469" s="274">
        <f>VLOOKUP(A1469,'[1]SB35 Determination Data'!$B$4:$F$542,5,FALSE)</f>
        <v>2014</v>
      </c>
    </row>
    <row r="1470" spans="1:21" s="274" customFormat="1" ht="12.75" x14ac:dyDescent="0.2">
      <c r="A1470" s="274" t="s">
        <v>520</v>
      </c>
      <c r="B1470" s="274" t="s">
        <v>262</v>
      </c>
      <c r="C1470" s="274" t="s">
        <v>649</v>
      </c>
      <c r="D1470" s="295">
        <v>2017</v>
      </c>
      <c r="E1470" s="274" t="s">
        <v>650</v>
      </c>
      <c r="F1470" s="291">
        <v>19</v>
      </c>
      <c r="G1470" s="285">
        <v>0</v>
      </c>
      <c r="H1470" s="291">
        <v>0</v>
      </c>
      <c r="I1470" s="291">
        <v>0</v>
      </c>
      <c r="J1470" s="291">
        <v>12</v>
      </c>
      <c r="K1470" s="284">
        <v>15</v>
      </c>
      <c r="L1470" s="291">
        <v>15</v>
      </c>
      <c r="M1470" s="291">
        <v>0</v>
      </c>
      <c r="N1470" s="291">
        <v>13</v>
      </c>
      <c r="O1470" s="291">
        <v>8</v>
      </c>
      <c r="P1470" s="291">
        <v>33</v>
      </c>
      <c r="Q1470" s="274">
        <v>161</v>
      </c>
      <c r="R1470" s="274">
        <v>77</v>
      </c>
      <c r="S1470" s="274">
        <v>184</v>
      </c>
      <c r="T1470" s="287">
        <f t="shared" si="22"/>
        <v>2017</v>
      </c>
      <c r="U1470" s="274">
        <f>VLOOKUP(A1470,'[1]SB35 Determination Data'!$B$4:$F$542,5,FALSE)</f>
        <v>2014</v>
      </c>
    </row>
    <row r="1471" spans="1:21" s="274" customFormat="1" ht="12.75" x14ac:dyDescent="0.2">
      <c r="A1471" s="274" t="s">
        <v>737</v>
      </c>
      <c r="B1471" s="274" t="s">
        <v>757</v>
      </c>
      <c r="C1471" s="274" t="s">
        <v>685</v>
      </c>
      <c r="D1471" s="295">
        <v>2013</v>
      </c>
      <c r="E1471" s="274" t="s">
        <v>650</v>
      </c>
      <c r="F1471" s="291">
        <v>1316</v>
      </c>
      <c r="G1471" s="285">
        <v>69</v>
      </c>
      <c r="H1471" s="291">
        <v>69</v>
      </c>
      <c r="I1471" s="291">
        <v>0</v>
      </c>
      <c r="J1471" s="291">
        <v>923</v>
      </c>
      <c r="K1471" s="284">
        <v>0</v>
      </c>
      <c r="L1471" s="291">
        <v>0</v>
      </c>
      <c r="M1471" s="291">
        <v>0</v>
      </c>
      <c r="N1471" s="291">
        <v>1111</v>
      </c>
      <c r="O1471" s="291">
        <v>437</v>
      </c>
      <c r="P1471" s="291">
        <v>2627</v>
      </c>
      <c r="Q1471" s="274">
        <v>76</v>
      </c>
      <c r="R1471" s="274">
        <v>5977</v>
      </c>
      <c r="S1471" s="274">
        <v>582</v>
      </c>
      <c r="T1471" s="287">
        <f t="shared" si="22"/>
        <v>2014</v>
      </c>
      <c r="U1471" s="274">
        <f>VLOOKUP(A1471,'[1]SB35 Determination Data'!$B$4:$F$542,5,FALSE)</f>
        <v>2014</v>
      </c>
    </row>
    <row r="1472" spans="1:21" s="274" customFormat="1" ht="12.75" x14ac:dyDescent="0.2">
      <c r="A1472" s="274" t="s">
        <v>737</v>
      </c>
      <c r="B1472" s="274" t="s">
        <v>757</v>
      </c>
      <c r="C1472" s="274" t="s">
        <v>685</v>
      </c>
      <c r="D1472" s="295">
        <v>2014</v>
      </c>
      <c r="E1472" s="274" t="s">
        <v>650</v>
      </c>
      <c r="F1472" s="291">
        <v>1316</v>
      </c>
      <c r="G1472" s="285">
        <v>0</v>
      </c>
      <c r="H1472" s="291">
        <v>0</v>
      </c>
      <c r="I1472" s="291">
        <v>0</v>
      </c>
      <c r="J1472" s="291">
        <v>923</v>
      </c>
      <c r="K1472" s="284">
        <v>0</v>
      </c>
      <c r="L1472" s="291">
        <v>0</v>
      </c>
      <c r="M1472" s="291">
        <v>0</v>
      </c>
      <c r="N1472" s="274">
        <v>1111</v>
      </c>
      <c r="O1472" s="291">
        <v>42</v>
      </c>
      <c r="P1472" s="291">
        <v>2627</v>
      </c>
      <c r="Q1472" s="274">
        <v>20</v>
      </c>
      <c r="R1472" s="274">
        <v>5977</v>
      </c>
      <c r="S1472" s="274">
        <v>62</v>
      </c>
      <c r="T1472" s="287">
        <f t="shared" si="22"/>
        <v>2014</v>
      </c>
      <c r="U1472" s="274">
        <f>VLOOKUP(A1472,'[1]SB35 Determination Data'!$B$4:$F$542,5,FALSE)</f>
        <v>2014</v>
      </c>
    </row>
    <row r="1473" spans="1:21" s="274" customFormat="1" ht="12.75" x14ac:dyDescent="0.2">
      <c r="A1473" s="274" t="s">
        <v>737</v>
      </c>
      <c r="B1473" s="274" t="s">
        <v>757</v>
      </c>
      <c r="C1473" s="274" t="s">
        <v>685</v>
      </c>
      <c r="D1473" s="295">
        <v>2015</v>
      </c>
      <c r="E1473" s="274" t="s">
        <v>650</v>
      </c>
      <c r="F1473" s="291">
        <v>1316</v>
      </c>
      <c r="G1473" s="285">
        <v>58</v>
      </c>
      <c r="H1473" s="291">
        <v>58</v>
      </c>
      <c r="I1473" s="291">
        <v>0</v>
      </c>
      <c r="J1473" s="291">
        <v>923</v>
      </c>
      <c r="K1473" s="284">
        <v>18</v>
      </c>
      <c r="L1473" s="291">
        <v>18</v>
      </c>
      <c r="M1473" s="291">
        <v>0</v>
      </c>
      <c r="N1473" s="291">
        <v>1111</v>
      </c>
      <c r="O1473" s="291">
        <v>42</v>
      </c>
      <c r="P1473" s="291">
        <v>2627</v>
      </c>
      <c r="Q1473" s="274">
        <v>19</v>
      </c>
      <c r="R1473" s="274">
        <v>5977</v>
      </c>
      <c r="S1473" s="274">
        <v>137</v>
      </c>
      <c r="T1473" s="287">
        <f t="shared" si="22"/>
        <v>2015</v>
      </c>
      <c r="U1473" s="274">
        <f>VLOOKUP(A1473,'[1]SB35 Determination Data'!$B$4:$F$542,5,FALSE)</f>
        <v>2014</v>
      </c>
    </row>
    <row r="1474" spans="1:21" s="274" customFormat="1" ht="12.75" x14ac:dyDescent="0.2">
      <c r="A1474" s="274" t="s">
        <v>737</v>
      </c>
      <c r="B1474" s="274" t="s">
        <v>757</v>
      </c>
      <c r="C1474" s="274" t="s">
        <v>685</v>
      </c>
      <c r="D1474" s="295">
        <v>2016</v>
      </c>
      <c r="E1474" s="274" t="s">
        <v>650</v>
      </c>
      <c r="F1474" s="291">
        <v>1316</v>
      </c>
      <c r="G1474" s="285">
        <v>0</v>
      </c>
      <c r="H1474" s="291">
        <v>0</v>
      </c>
      <c r="I1474" s="291">
        <v>0</v>
      </c>
      <c r="J1474" s="291">
        <v>923</v>
      </c>
      <c r="K1474" s="284">
        <v>0</v>
      </c>
      <c r="L1474" s="291">
        <v>0</v>
      </c>
      <c r="M1474" s="291">
        <v>0</v>
      </c>
      <c r="N1474" s="291">
        <v>1111</v>
      </c>
      <c r="O1474" s="291">
        <v>83</v>
      </c>
      <c r="P1474" s="291">
        <v>2627</v>
      </c>
      <c r="Q1474" s="274">
        <v>20</v>
      </c>
      <c r="R1474" s="274">
        <v>5977</v>
      </c>
      <c r="S1474" s="274">
        <v>103</v>
      </c>
      <c r="T1474" s="287">
        <f t="shared" si="22"/>
        <v>2016</v>
      </c>
      <c r="U1474" s="274">
        <f>VLOOKUP(A1474,'[1]SB35 Determination Data'!$B$4:$F$542,5,FALSE)</f>
        <v>2014</v>
      </c>
    </row>
    <row r="1475" spans="1:21" s="274" customFormat="1" ht="12.75" x14ac:dyDescent="0.2">
      <c r="A1475" s="274" t="s">
        <v>737</v>
      </c>
      <c r="B1475" s="274" t="s">
        <v>757</v>
      </c>
      <c r="C1475" s="274" t="s">
        <v>685</v>
      </c>
      <c r="D1475" s="295">
        <v>2017</v>
      </c>
      <c r="E1475" s="274" t="s">
        <v>650</v>
      </c>
      <c r="F1475" s="291">
        <v>1316</v>
      </c>
      <c r="G1475" s="285">
        <v>0</v>
      </c>
      <c r="H1475" s="291">
        <v>0</v>
      </c>
      <c r="I1475" s="291">
        <v>0</v>
      </c>
      <c r="J1475" s="291">
        <v>923</v>
      </c>
      <c r="K1475" s="284">
        <v>0</v>
      </c>
      <c r="L1475" s="291">
        <v>0</v>
      </c>
      <c r="M1475" s="291">
        <v>0</v>
      </c>
      <c r="N1475" s="291">
        <v>1111</v>
      </c>
      <c r="O1475" s="291">
        <v>125</v>
      </c>
      <c r="P1475" s="291">
        <v>2627</v>
      </c>
      <c r="Q1475" s="274">
        <v>12</v>
      </c>
      <c r="R1475" s="274">
        <v>5977</v>
      </c>
      <c r="S1475" s="274">
        <v>137</v>
      </c>
      <c r="T1475" s="287">
        <f t="shared" si="22"/>
        <v>2017</v>
      </c>
      <c r="U1475" s="274">
        <f>VLOOKUP(A1475,'[1]SB35 Determination Data'!$B$4:$F$542,5,FALSE)</f>
        <v>2014</v>
      </c>
    </row>
    <row r="1476" spans="1:21" s="274" customFormat="1" ht="12.75" x14ac:dyDescent="0.2">
      <c r="A1476" s="274" t="s">
        <v>626</v>
      </c>
      <c r="B1476" s="274" t="s">
        <v>262</v>
      </c>
      <c r="C1476" s="274" t="s">
        <v>649</v>
      </c>
      <c r="D1476" s="295">
        <v>2017</v>
      </c>
      <c r="E1476" s="274" t="s">
        <v>650</v>
      </c>
      <c r="F1476" s="291">
        <v>12</v>
      </c>
      <c r="G1476" s="285">
        <v>0</v>
      </c>
      <c r="H1476" s="291">
        <v>0</v>
      </c>
      <c r="I1476" s="291">
        <v>0</v>
      </c>
      <c r="J1476" s="291">
        <v>7</v>
      </c>
      <c r="K1476" s="284">
        <v>0</v>
      </c>
      <c r="L1476" s="291">
        <v>0</v>
      </c>
      <c r="M1476" s="291">
        <v>0</v>
      </c>
      <c r="N1476" s="274">
        <v>8</v>
      </c>
      <c r="O1476" s="291">
        <v>0</v>
      </c>
      <c r="P1476" s="291">
        <v>18</v>
      </c>
      <c r="Q1476" s="274">
        <v>0</v>
      </c>
      <c r="R1476" s="274">
        <v>45</v>
      </c>
      <c r="S1476" s="274">
        <v>0</v>
      </c>
      <c r="T1476" s="287">
        <f t="shared" ref="T1476:T1539" si="23">IF(D1476&gt;U1476,D1476,U1476)</f>
        <v>2017</v>
      </c>
      <c r="U1476" s="274">
        <f>VLOOKUP(A1476,'[1]SB35 Determination Data'!$B$4:$F$542,5,FALSE)</f>
        <v>2014</v>
      </c>
    </row>
    <row r="1477" spans="1:21" s="274" customFormat="1" ht="12.75" x14ac:dyDescent="0.2">
      <c r="A1477" s="274" t="s">
        <v>738</v>
      </c>
      <c r="B1477" s="274" t="s">
        <v>436</v>
      </c>
      <c r="C1477" s="274" t="s">
        <v>649</v>
      </c>
      <c r="D1477" s="295">
        <v>2014</v>
      </c>
      <c r="E1477" s="274" t="s">
        <v>650</v>
      </c>
      <c r="F1477" s="291">
        <v>1</v>
      </c>
      <c r="G1477" s="285">
        <v>0</v>
      </c>
      <c r="H1477" s="291">
        <v>0</v>
      </c>
      <c r="I1477" s="291">
        <v>0</v>
      </c>
      <c r="J1477" s="291">
        <v>1</v>
      </c>
      <c r="K1477" s="284">
        <v>0</v>
      </c>
      <c r="L1477" s="291">
        <v>0</v>
      </c>
      <c r="M1477" s="291">
        <v>0</v>
      </c>
      <c r="N1477" s="291">
        <v>0</v>
      </c>
      <c r="O1477" s="291">
        <v>0</v>
      </c>
      <c r="P1477" s="291">
        <v>0</v>
      </c>
      <c r="Q1477" s="274">
        <v>18</v>
      </c>
      <c r="R1477" s="274">
        <v>2</v>
      </c>
      <c r="S1477" s="274">
        <v>18</v>
      </c>
      <c r="T1477" s="287">
        <f t="shared" si="23"/>
        <v>2014</v>
      </c>
      <c r="U1477" s="274">
        <f>VLOOKUP(A1477,'[1]SB35 Determination Data'!$B$4:$F$542,5,FALSE)</f>
        <v>2014</v>
      </c>
    </row>
    <row r="1478" spans="1:21" s="274" customFormat="1" ht="12.75" x14ac:dyDescent="0.2">
      <c r="A1478" s="274" t="s">
        <v>738</v>
      </c>
      <c r="B1478" s="274" t="s">
        <v>436</v>
      </c>
      <c r="C1478" s="274" t="s">
        <v>649</v>
      </c>
      <c r="D1478" s="295">
        <v>2015</v>
      </c>
      <c r="E1478" s="274" t="s">
        <v>650</v>
      </c>
      <c r="F1478" s="291">
        <v>1</v>
      </c>
      <c r="G1478" s="285">
        <v>0</v>
      </c>
      <c r="H1478" s="291">
        <v>0</v>
      </c>
      <c r="I1478" s="291">
        <v>0</v>
      </c>
      <c r="J1478" s="291">
        <v>1</v>
      </c>
      <c r="K1478" s="284">
        <v>0</v>
      </c>
      <c r="L1478" s="291">
        <v>0</v>
      </c>
      <c r="M1478" s="291">
        <v>0</v>
      </c>
      <c r="N1478" s="291">
        <v>0</v>
      </c>
      <c r="O1478" s="291">
        <v>0</v>
      </c>
      <c r="P1478" s="291">
        <v>0</v>
      </c>
      <c r="Q1478" s="274">
        <v>81</v>
      </c>
      <c r="R1478" s="274">
        <v>2</v>
      </c>
      <c r="S1478" s="274">
        <v>81</v>
      </c>
      <c r="T1478" s="287">
        <f t="shared" si="23"/>
        <v>2015</v>
      </c>
      <c r="U1478" s="274">
        <f>VLOOKUP(A1478,'[1]SB35 Determination Data'!$B$4:$F$542,5,FALSE)</f>
        <v>2014</v>
      </c>
    </row>
    <row r="1479" spans="1:21" s="274" customFormat="1" ht="12.75" x14ac:dyDescent="0.2">
      <c r="A1479" s="274" t="s">
        <v>738</v>
      </c>
      <c r="B1479" s="274" t="s">
        <v>436</v>
      </c>
      <c r="C1479" s="274" t="s">
        <v>649</v>
      </c>
      <c r="D1479" s="295">
        <v>2016</v>
      </c>
      <c r="E1479" s="274" t="s">
        <v>650</v>
      </c>
      <c r="F1479" s="291">
        <v>1</v>
      </c>
      <c r="G1479" s="285">
        <v>0</v>
      </c>
      <c r="H1479" s="291">
        <v>0</v>
      </c>
      <c r="I1479" s="291">
        <v>0</v>
      </c>
      <c r="J1479" s="291">
        <v>1</v>
      </c>
      <c r="K1479" s="284">
        <v>0</v>
      </c>
      <c r="L1479" s="291">
        <v>0</v>
      </c>
      <c r="M1479" s="291">
        <v>0</v>
      </c>
      <c r="N1479" s="291">
        <v>0</v>
      </c>
      <c r="O1479" s="291">
        <v>0</v>
      </c>
      <c r="P1479" s="291">
        <v>0</v>
      </c>
      <c r="Q1479" s="274">
        <v>9</v>
      </c>
      <c r="R1479" s="274">
        <v>2</v>
      </c>
      <c r="S1479" s="274">
        <v>9</v>
      </c>
      <c r="T1479" s="287">
        <f t="shared" si="23"/>
        <v>2016</v>
      </c>
      <c r="U1479" s="274">
        <f>VLOOKUP(A1479,'[1]SB35 Determination Data'!$B$4:$F$542,5,FALSE)</f>
        <v>2014</v>
      </c>
    </row>
    <row r="1480" spans="1:21" s="274" customFormat="1" ht="12.75" x14ac:dyDescent="0.2">
      <c r="A1480" s="274" t="s">
        <v>738</v>
      </c>
      <c r="B1480" s="274" t="s">
        <v>436</v>
      </c>
      <c r="C1480" s="274" t="s">
        <v>649</v>
      </c>
      <c r="D1480" s="295">
        <v>2017</v>
      </c>
      <c r="E1480" s="274" t="s">
        <v>650</v>
      </c>
      <c r="F1480" s="291">
        <v>1</v>
      </c>
      <c r="G1480" s="285">
        <v>0</v>
      </c>
      <c r="H1480" s="291">
        <v>0</v>
      </c>
      <c r="I1480" s="291">
        <v>0</v>
      </c>
      <c r="J1480" s="291">
        <v>1</v>
      </c>
      <c r="K1480" s="284">
        <v>0</v>
      </c>
      <c r="L1480" s="291">
        <v>0</v>
      </c>
      <c r="M1480" s="291">
        <v>0</v>
      </c>
      <c r="N1480" s="274">
        <v>0</v>
      </c>
      <c r="O1480" s="291">
        <v>0</v>
      </c>
      <c r="P1480" s="291">
        <v>0</v>
      </c>
      <c r="Q1480" s="274">
        <v>80</v>
      </c>
      <c r="R1480" s="274">
        <v>2</v>
      </c>
      <c r="S1480" s="274">
        <v>80</v>
      </c>
      <c r="T1480" s="287">
        <f t="shared" si="23"/>
        <v>2017</v>
      </c>
      <c r="U1480" s="274">
        <f>VLOOKUP(A1480,'[1]SB35 Determination Data'!$B$4:$F$542,5,FALSE)</f>
        <v>2014</v>
      </c>
    </row>
    <row r="1481" spans="1:21" s="274" customFormat="1" ht="12.75" x14ac:dyDescent="0.2">
      <c r="A1481" s="274" t="s">
        <v>423</v>
      </c>
      <c r="B1481" s="274" t="s">
        <v>189</v>
      </c>
      <c r="C1481" s="274" t="s">
        <v>649</v>
      </c>
      <c r="D1481" s="295">
        <v>2014</v>
      </c>
      <c r="E1481" s="274" t="s">
        <v>650</v>
      </c>
      <c r="F1481" s="291">
        <v>57</v>
      </c>
      <c r="G1481" s="285">
        <v>0</v>
      </c>
      <c r="H1481" s="291">
        <v>0</v>
      </c>
      <c r="I1481" s="291">
        <v>0</v>
      </c>
      <c r="J1481" s="291">
        <v>35</v>
      </c>
      <c r="K1481" s="284">
        <v>0</v>
      </c>
      <c r="L1481" s="291">
        <v>0</v>
      </c>
      <c r="M1481" s="291">
        <v>0</v>
      </c>
      <c r="N1481" s="291">
        <v>36</v>
      </c>
      <c r="O1481" s="291">
        <v>0</v>
      </c>
      <c r="P1481" s="291">
        <v>105</v>
      </c>
      <c r="Q1481" s="274">
        <v>0</v>
      </c>
      <c r="R1481" s="274">
        <v>233</v>
      </c>
      <c r="S1481" s="274">
        <v>0</v>
      </c>
      <c r="T1481" s="287">
        <f t="shared" si="23"/>
        <v>2014</v>
      </c>
      <c r="U1481" s="274">
        <f>VLOOKUP(A1481,'[1]SB35 Determination Data'!$B$4:$F$542,5,FALSE)</f>
        <v>2014</v>
      </c>
    </row>
    <row r="1482" spans="1:21" s="274" customFormat="1" ht="12.75" x14ac:dyDescent="0.2">
      <c r="A1482" s="274" t="s">
        <v>423</v>
      </c>
      <c r="B1482" s="274" t="s">
        <v>189</v>
      </c>
      <c r="C1482" s="274" t="s">
        <v>649</v>
      </c>
      <c r="D1482" s="295">
        <v>2015</v>
      </c>
      <c r="E1482" s="274" t="s">
        <v>650</v>
      </c>
      <c r="F1482" s="291">
        <v>57</v>
      </c>
      <c r="G1482" s="285">
        <v>0</v>
      </c>
      <c r="H1482" s="291">
        <v>0</v>
      </c>
      <c r="I1482" s="291">
        <v>0</v>
      </c>
      <c r="J1482" s="291">
        <v>35</v>
      </c>
      <c r="K1482" s="284">
        <v>0</v>
      </c>
      <c r="L1482" s="291">
        <v>0</v>
      </c>
      <c r="M1482" s="291">
        <v>0</v>
      </c>
      <c r="N1482" s="291">
        <v>36</v>
      </c>
      <c r="O1482" s="291">
        <v>0</v>
      </c>
      <c r="P1482" s="291">
        <v>105</v>
      </c>
      <c r="Q1482" s="274">
        <v>0</v>
      </c>
      <c r="R1482" s="274">
        <v>233</v>
      </c>
      <c r="S1482" s="274">
        <v>0</v>
      </c>
      <c r="T1482" s="287">
        <f t="shared" si="23"/>
        <v>2015</v>
      </c>
      <c r="U1482" s="274">
        <f>VLOOKUP(A1482,'[1]SB35 Determination Data'!$B$4:$F$542,5,FALSE)</f>
        <v>2014</v>
      </c>
    </row>
    <row r="1483" spans="1:21" s="274" customFormat="1" ht="12.75" x14ac:dyDescent="0.2">
      <c r="A1483" s="274" t="s">
        <v>423</v>
      </c>
      <c r="B1483" s="274" t="s">
        <v>189</v>
      </c>
      <c r="C1483" s="274" t="s">
        <v>649</v>
      </c>
      <c r="D1483" s="295">
        <v>2016</v>
      </c>
      <c r="E1483" s="274" t="s">
        <v>650</v>
      </c>
      <c r="F1483" s="291">
        <v>57</v>
      </c>
      <c r="G1483" s="285">
        <v>0</v>
      </c>
      <c r="H1483" s="291">
        <v>0</v>
      </c>
      <c r="I1483" s="291">
        <v>0</v>
      </c>
      <c r="J1483" s="291">
        <v>35</v>
      </c>
      <c r="K1483" s="284">
        <v>0</v>
      </c>
      <c r="L1483" s="291">
        <v>0</v>
      </c>
      <c r="M1483" s="291">
        <v>0</v>
      </c>
      <c r="N1483" s="291">
        <v>36</v>
      </c>
      <c r="O1483" s="291">
        <v>0</v>
      </c>
      <c r="P1483" s="291">
        <v>105</v>
      </c>
      <c r="Q1483" s="274">
        <v>0</v>
      </c>
      <c r="R1483" s="274">
        <v>233</v>
      </c>
      <c r="S1483" s="274">
        <v>0</v>
      </c>
      <c r="T1483" s="287">
        <f t="shared" si="23"/>
        <v>2016</v>
      </c>
      <c r="U1483" s="274">
        <f>VLOOKUP(A1483,'[1]SB35 Determination Data'!$B$4:$F$542,5,FALSE)</f>
        <v>2014</v>
      </c>
    </row>
    <row r="1484" spans="1:21" s="274" customFormat="1" ht="12.75" x14ac:dyDescent="0.2">
      <c r="A1484" s="274" t="s">
        <v>423</v>
      </c>
      <c r="B1484" s="274" t="s">
        <v>189</v>
      </c>
      <c r="C1484" s="274" t="s">
        <v>649</v>
      </c>
      <c r="D1484" s="295">
        <v>2017</v>
      </c>
      <c r="E1484" s="274" t="s">
        <v>650</v>
      </c>
      <c r="F1484" s="291">
        <v>57</v>
      </c>
      <c r="G1484" s="285">
        <v>0</v>
      </c>
      <c r="H1484" s="291">
        <v>0</v>
      </c>
      <c r="I1484" s="291">
        <v>0</v>
      </c>
      <c r="J1484" s="291">
        <v>35</v>
      </c>
      <c r="K1484" s="284">
        <v>0</v>
      </c>
      <c r="L1484" s="291">
        <v>0</v>
      </c>
      <c r="M1484" s="291">
        <v>0</v>
      </c>
      <c r="N1484" s="274">
        <v>36</v>
      </c>
      <c r="O1484" s="291">
        <v>0</v>
      </c>
      <c r="P1484" s="291">
        <v>105</v>
      </c>
      <c r="Q1484" s="274">
        <v>0</v>
      </c>
      <c r="R1484" s="274">
        <v>233</v>
      </c>
      <c r="S1484" s="274">
        <v>0</v>
      </c>
      <c r="T1484" s="287">
        <f t="shared" si="23"/>
        <v>2017</v>
      </c>
      <c r="U1484" s="274">
        <f>VLOOKUP(A1484,'[1]SB35 Determination Data'!$B$4:$F$542,5,FALSE)</f>
        <v>2014</v>
      </c>
    </row>
    <row r="1485" spans="1:21" s="274" customFormat="1" ht="12.75" x14ac:dyDescent="0.2">
      <c r="A1485" s="274" t="s">
        <v>739</v>
      </c>
      <c r="B1485" s="274" t="s">
        <v>759</v>
      </c>
      <c r="C1485" s="274" t="s">
        <v>685</v>
      </c>
      <c r="D1485" s="295">
        <v>2017</v>
      </c>
      <c r="E1485" s="274" t="s">
        <v>650</v>
      </c>
      <c r="F1485" s="291">
        <v>109</v>
      </c>
      <c r="G1485" s="285">
        <v>0</v>
      </c>
      <c r="H1485" s="291">
        <v>0</v>
      </c>
      <c r="I1485" s="291">
        <v>0</v>
      </c>
      <c r="J1485" s="291">
        <v>76</v>
      </c>
      <c r="K1485" s="284">
        <v>0</v>
      </c>
      <c r="L1485" s="291">
        <v>0</v>
      </c>
      <c r="M1485" s="291">
        <v>0</v>
      </c>
      <c r="N1485" s="274">
        <v>90</v>
      </c>
      <c r="O1485" s="291">
        <v>0</v>
      </c>
      <c r="P1485" s="291">
        <v>208</v>
      </c>
      <c r="Q1485" s="274">
        <v>0</v>
      </c>
      <c r="R1485" s="274">
        <v>483</v>
      </c>
      <c r="S1485" s="274">
        <v>0</v>
      </c>
      <c r="T1485" s="287">
        <f t="shared" si="23"/>
        <v>2017</v>
      </c>
      <c r="U1485" s="274">
        <f>VLOOKUP(A1485,'[1]SB35 Determination Data'!$B$4:$F$542,5,FALSE)</f>
        <v>2014</v>
      </c>
    </row>
    <row r="1486" spans="1:21" s="274" customFormat="1" ht="12.75" x14ac:dyDescent="0.2">
      <c r="A1486" s="274" t="s">
        <v>522</v>
      </c>
      <c r="B1486" s="274" t="s">
        <v>262</v>
      </c>
      <c r="C1486" s="274" t="s">
        <v>649</v>
      </c>
      <c r="D1486" s="295">
        <v>2014</v>
      </c>
      <c r="E1486" s="274" t="s">
        <v>650</v>
      </c>
      <c r="F1486" s="291">
        <v>228</v>
      </c>
      <c r="G1486" s="285">
        <v>0</v>
      </c>
      <c r="H1486" s="291">
        <v>0</v>
      </c>
      <c r="I1486" s="291">
        <v>0</v>
      </c>
      <c r="J1486" s="291">
        <v>135</v>
      </c>
      <c r="K1486" s="284">
        <v>0</v>
      </c>
      <c r="L1486" s="291">
        <v>0</v>
      </c>
      <c r="M1486" s="291">
        <v>0</v>
      </c>
      <c r="N1486" s="291">
        <v>146</v>
      </c>
      <c r="O1486" s="291">
        <v>71</v>
      </c>
      <c r="P1486" s="291">
        <v>369</v>
      </c>
      <c r="Q1486" s="274">
        <v>0</v>
      </c>
      <c r="R1486" s="274">
        <v>878</v>
      </c>
      <c r="S1486" s="274">
        <v>71</v>
      </c>
      <c r="T1486" s="287">
        <f t="shared" si="23"/>
        <v>2014</v>
      </c>
      <c r="U1486" s="274">
        <f>VLOOKUP(A1486,'[1]SB35 Determination Data'!$B$4:$F$542,5,FALSE)</f>
        <v>2014</v>
      </c>
    </row>
    <row r="1487" spans="1:21" s="274" customFormat="1" ht="12.75" x14ac:dyDescent="0.2">
      <c r="A1487" s="274" t="s">
        <v>522</v>
      </c>
      <c r="B1487" s="274" t="s">
        <v>262</v>
      </c>
      <c r="C1487" s="274" t="s">
        <v>649</v>
      </c>
      <c r="D1487" s="295">
        <v>2015</v>
      </c>
      <c r="E1487" s="274" t="s">
        <v>650</v>
      </c>
      <c r="F1487" s="291">
        <v>228</v>
      </c>
      <c r="G1487" s="285">
        <v>0</v>
      </c>
      <c r="H1487" s="291">
        <v>0</v>
      </c>
      <c r="I1487" s="291">
        <v>0</v>
      </c>
      <c r="J1487" s="291">
        <v>135</v>
      </c>
      <c r="K1487" s="284">
        <v>0</v>
      </c>
      <c r="L1487" s="291">
        <v>0</v>
      </c>
      <c r="M1487" s="291">
        <v>0</v>
      </c>
      <c r="N1487" s="291">
        <v>146</v>
      </c>
      <c r="O1487" s="291">
        <v>78</v>
      </c>
      <c r="P1487" s="291">
        <v>369</v>
      </c>
      <c r="Q1487" s="274">
        <v>0</v>
      </c>
      <c r="R1487" s="274">
        <v>878</v>
      </c>
      <c r="S1487" s="274">
        <v>78</v>
      </c>
      <c r="T1487" s="287">
        <f t="shared" si="23"/>
        <v>2015</v>
      </c>
      <c r="U1487" s="274">
        <f>VLOOKUP(A1487,'[1]SB35 Determination Data'!$B$4:$F$542,5,FALSE)</f>
        <v>2014</v>
      </c>
    </row>
    <row r="1488" spans="1:21" s="274" customFormat="1" ht="12.75" x14ac:dyDescent="0.2">
      <c r="A1488" s="274" t="s">
        <v>522</v>
      </c>
      <c r="B1488" s="274" t="s">
        <v>262</v>
      </c>
      <c r="C1488" s="274" t="s">
        <v>649</v>
      </c>
      <c r="D1488" s="295">
        <v>2016</v>
      </c>
      <c r="E1488" s="274" t="s">
        <v>650</v>
      </c>
      <c r="F1488" s="291">
        <v>228</v>
      </c>
      <c r="G1488" s="285">
        <v>0</v>
      </c>
      <c r="H1488" s="291">
        <v>0</v>
      </c>
      <c r="I1488" s="291">
        <v>0</v>
      </c>
      <c r="J1488" s="291">
        <v>135</v>
      </c>
      <c r="K1488" s="284">
        <v>0</v>
      </c>
      <c r="L1488" s="291">
        <v>0</v>
      </c>
      <c r="M1488" s="291">
        <v>0</v>
      </c>
      <c r="N1488" s="291">
        <v>146</v>
      </c>
      <c r="O1488" s="291">
        <v>13</v>
      </c>
      <c r="P1488" s="291">
        <v>369</v>
      </c>
      <c r="Q1488" s="274">
        <v>38</v>
      </c>
      <c r="R1488" s="274">
        <v>878</v>
      </c>
      <c r="S1488" s="274">
        <v>51</v>
      </c>
      <c r="T1488" s="287">
        <f t="shared" si="23"/>
        <v>2016</v>
      </c>
      <c r="U1488" s="274">
        <f>VLOOKUP(A1488,'[1]SB35 Determination Data'!$B$4:$F$542,5,FALSE)</f>
        <v>2014</v>
      </c>
    </row>
    <row r="1489" spans="1:21" s="274" customFormat="1" ht="12.75" x14ac:dyDescent="0.2">
      <c r="A1489" s="274" t="s">
        <v>522</v>
      </c>
      <c r="B1489" s="274" t="s">
        <v>262</v>
      </c>
      <c r="C1489" s="274" t="s">
        <v>649</v>
      </c>
      <c r="D1489" s="295">
        <v>2017</v>
      </c>
      <c r="E1489" s="274" t="s">
        <v>650</v>
      </c>
      <c r="F1489" s="291">
        <v>228</v>
      </c>
      <c r="G1489" s="285">
        <v>0</v>
      </c>
      <c r="H1489" s="291">
        <v>0</v>
      </c>
      <c r="I1489" s="291">
        <v>0</v>
      </c>
      <c r="J1489" s="291">
        <v>135</v>
      </c>
      <c r="K1489" s="284">
        <v>0</v>
      </c>
      <c r="L1489" s="291">
        <v>0</v>
      </c>
      <c r="M1489" s="291">
        <v>0</v>
      </c>
      <c r="N1489" s="291">
        <v>146</v>
      </c>
      <c r="O1489" s="291">
        <v>52</v>
      </c>
      <c r="P1489" s="291">
        <v>369</v>
      </c>
      <c r="Q1489" s="274">
        <v>3</v>
      </c>
      <c r="R1489" s="274">
        <v>878</v>
      </c>
      <c r="S1489" s="274">
        <v>55</v>
      </c>
      <c r="T1489" s="287">
        <f t="shared" si="23"/>
        <v>2017</v>
      </c>
      <c r="U1489" s="274">
        <f>VLOOKUP(A1489,'[1]SB35 Determination Data'!$B$4:$F$542,5,FALSE)</f>
        <v>2014</v>
      </c>
    </row>
    <row r="1490" spans="1:21" s="274" customFormat="1" ht="12.75" x14ac:dyDescent="0.2">
      <c r="A1490" s="274" t="s">
        <v>740</v>
      </c>
      <c r="B1490" s="274" t="s">
        <v>481</v>
      </c>
      <c r="C1490" s="274" t="s">
        <v>649</v>
      </c>
      <c r="D1490" s="295">
        <v>2014</v>
      </c>
      <c r="E1490" s="274" t="s">
        <v>650</v>
      </c>
      <c r="F1490" s="291">
        <v>621</v>
      </c>
      <c r="G1490" s="285">
        <v>0</v>
      </c>
      <c r="H1490" s="291">
        <v>0</v>
      </c>
      <c r="I1490" s="291">
        <v>0</v>
      </c>
      <c r="J1490" s="291">
        <v>415</v>
      </c>
      <c r="K1490" s="284">
        <v>0</v>
      </c>
      <c r="L1490" s="291">
        <v>0</v>
      </c>
      <c r="M1490" s="291">
        <v>0</v>
      </c>
      <c r="N1490" s="291">
        <v>461</v>
      </c>
      <c r="O1490" s="291">
        <v>4</v>
      </c>
      <c r="P1490" s="291">
        <v>1038</v>
      </c>
      <c r="Q1490" s="274">
        <v>307</v>
      </c>
      <c r="R1490" s="274">
        <v>2535</v>
      </c>
      <c r="S1490" s="274">
        <v>311</v>
      </c>
      <c r="T1490" s="287">
        <f t="shared" si="23"/>
        <v>2014</v>
      </c>
      <c r="U1490" s="274">
        <f>VLOOKUP(A1490,'[1]SB35 Determination Data'!$B$4:$F$542,5,FALSE)</f>
        <v>2014</v>
      </c>
    </row>
    <row r="1491" spans="1:21" s="274" customFormat="1" ht="12.75" x14ac:dyDescent="0.2">
      <c r="A1491" s="274" t="s">
        <v>740</v>
      </c>
      <c r="B1491" s="274" t="s">
        <v>481</v>
      </c>
      <c r="C1491" s="274" t="s">
        <v>649</v>
      </c>
      <c r="D1491" s="295">
        <v>2015</v>
      </c>
      <c r="E1491" s="274" t="s">
        <v>650</v>
      </c>
      <c r="F1491" s="291">
        <v>621</v>
      </c>
      <c r="G1491" s="285">
        <v>0</v>
      </c>
      <c r="H1491" s="291">
        <v>0</v>
      </c>
      <c r="I1491" s="291">
        <v>0</v>
      </c>
      <c r="J1491" s="291">
        <v>415</v>
      </c>
      <c r="K1491" s="284">
        <v>0</v>
      </c>
      <c r="L1491" s="291">
        <v>0</v>
      </c>
      <c r="M1491" s="291">
        <v>0</v>
      </c>
      <c r="N1491" s="291">
        <v>461</v>
      </c>
      <c r="O1491" s="291">
        <v>2</v>
      </c>
      <c r="P1491" s="291">
        <v>1038</v>
      </c>
      <c r="Q1491" s="274">
        <v>12</v>
      </c>
      <c r="R1491" s="274">
        <v>2535</v>
      </c>
      <c r="S1491" s="274">
        <v>14</v>
      </c>
      <c r="T1491" s="287">
        <f t="shared" si="23"/>
        <v>2015</v>
      </c>
      <c r="U1491" s="274">
        <f>VLOOKUP(A1491,'[1]SB35 Determination Data'!$B$4:$F$542,5,FALSE)</f>
        <v>2014</v>
      </c>
    </row>
    <row r="1492" spans="1:21" s="274" customFormat="1" ht="12.75" x14ac:dyDescent="0.2">
      <c r="A1492" s="274" t="s">
        <v>740</v>
      </c>
      <c r="B1492" s="274" t="s">
        <v>481</v>
      </c>
      <c r="C1492" s="274" t="s">
        <v>649</v>
      </c>
      <c r="D1492" s="295">
        <v>2016</v>
      </c>
      <c r="E1492" s="274" t="s">
        <v>650</v>
      </c>
      <c r="F1492" s="291">
        <v>621</v>
      </c>
      <c r="G1492" s="285">
        <v>0</v>
      </c>
      <c r="H1492" s="291">
        <v>0</v>
      </c>
      <c r="I1492" s="291">
        <v>0</v>
      </c>
      <c r="J1492" s="291">
        <v>415</v>
      </c>
      <c r="K1492" s="284">
        <v>0</v>
      </c>
      <c r="L1492" s="291">
        <v>0</v>
      </c>
      <c r="M1492" s="291">
        <v>0</v>
      </c>
      <c r="N1492" s="291">
        <v>461</v>
      </c>
      <c r="O1492" s="291">
        <v>9</v>
      </c>
      <c r="P1492" s="291">
        <v>1038</v>
      </c>
      <c r="Q1492" s="274">
        <v>141</v>
      </c>
      <c r="R1492" s="274">
        <v>2535</v>
      </c>
      <c r="S1492" s="274">
        <v>150</v>
      </c>
      <c r="T1492" s="287">
        <f t="shared" si="23"/>
        <v>2016</v>
      </c>
      <c r="U1492" s="274">
        <f>VLOOKUP(A1492,'[1]SB35 Determination Data'!$B$4:$F$542,5,FALSE)</f>
        <v>2014</v>
      </c>
    </row>
    <row r="1493" spans="1:21" s="274" customFormat="1" ht="12.75" x14ac:dyDescent="0.2">
      <c r="A1493" s="274" t="s">
        <v>740</v>
      </c>
      <c r="B1493" s="274" t="s">
        <v>481</v>
      </c>
      <c r="C1493" s="274" t="s">
        <v>649</v>
      </c>
      <c r="D1493" s="295">
        <v>2017</v>
      </c>
      <c r="E1493" s="274" t="s">
        <v>650</v>
      </c>
      <c r="F1493" s="291">
        <v>621</v>
      </c>
      <c r="G1493" s="285">
        <v>0</v>
      </c>
      <c r="H1493" s="291">
        <v>0</v>
      </c>
      <c r="I1493" s="291">
        <v>0</v>
      </c>
      <c r="J1493" s="291">
        <v>415</v>
      </c>
      <c r="K1493" s="284">
        <v>0</v>
      </c>
      <c r="L1493" s="291">
        <v>0</v>
      </c>
      <c r="M1493" s="291">
        <v>0</v>
      </c>
      <c r="N1493" s="291">
        <v>461</v>
      </c>
      <c r="O1493" s="291">
        <v>10</v>
      </c>
      <c r="P1493" s="291">
        <v>1038</v>
      </c>
      <c r="Q1493" s="274">
        <v>110</v>
      </c>
      <c r="R1493" s="274">
        <v>2535</v>
      </c>
      <c r="S1493" s="274">
        <v>120</v>
      </c>
      <c r="T1493" s="287">
        <f t="shared" si="23"/>
        <v>2017</v>
      </c>
      <c r="U1493" s="274">
        <f>VLOOKUP(A1493,'[1]SB35 Determination Data'!$B$4:$F$542,5,FALSE)</f>
        <v>2014</v>
      </c>
    </row>
    <row r="1494" spans="1:21" s="274" customFormat="1" ht="12.75" x14ac:dyDescent="0.2">
      <c r="A1494" s="274" t="s">
        <v>393</v>
      </c>
      <c r="B1494" s="274" t="s">
        <v>143</v>
      </c>
      <c r="C1494" s="274" t="s">
        <v>660</v>
      </c>
      <c r="D1494" s="295">
        <v>2014</v>
      </c>
      <c r="E1494" s="274" t="s">
        <v>650</v>
      </c>
      <c r="F1494" s="291">
        <v>15</v>
      </c>
      <c r="G1494" s="285">
        <v>0</v>
      </c>
      <c r="H1494" s="291">
        <v>0</v>
      </c>
      <c r="I1494" s="291">
        <v>0</v>
      </c>
      <c r="J1494" s="291">
        <v>11</v>
      </c>
      <c r="K1494" s="284">
        <v>0</v>
      </c>
      <c r="L1494" s="291">
        <v>0</v>
      </c>
      <c r="M1494" s="291">
        <v>0</v>
      </c>
      <c r="N1494" s="274">
        <v>11</v>
      </c>
      <c r="O1494" s="291">
        <v>0</v>
      </c>
      <c r="P1494" s="291">
        <v>26</v>
      </c>
      <c r="Q1494" s="274">
        <v>0</v>
      </c>
      <c r="R1494" s="274">
        <v>63</v>
      </c>
      <c r="S1494" s="274">
        <v>0</v>
      </c>
      <c r="T1494" s="287">
        <f t="shared" si="23"/>
        <v>2014</v>
      </c>
      <c r="U1494" s="274">
        <f>VLOOKUP(A1494,'[1]SB35 Determination Data'!$B$4:$F$542,5,FALSE)</f>
        <v>2014</v>
      </c>
    </row>
    <row r="1495" spans="1:21" s="274" customFormat="1" ht="12.75" x14ac:dyDescent="0.2">
      <c r="A1495" s="274" t="s">
        <v>393</v>
      </c>
      <c r="B1495" s="274" t="s">
        <v>143</v>
      </c>
      <c r="C1495" s="274" t="s">
        <v>660</v>
      </c>
      <c r="D1495" s="295">
        <v>2015</v>
      </c>
      <c r="E1495" s="274" t="s">
        <v>650</v>
      </c>
      <c r="F1495" s="291">
        <v>15</v>
      </c>
      <c r="G1495" s="285">
        <v>49</v>
      </c>
      <c r="H1495" s="291">
        <v>49</v>
      </c>
      <c r="I1495" s="291">
        <v>0</v>
      </c>
      <c r="J1495" s="291">
        <v>11</v>
      </c>
      <c r="K1495" s="284">
        <v>0</v>
      </c>
      <c r="L1495" s="291">
        <v>0</v>
      </c>
      <c r="M1495" s="291">
        <v>0</v>
      </c>
      <c r="N1495" s="291">
        <v>11</v>
      </c>
      <c r="O1495" s="291">
        <v>0</v>
      </c>
      <c r="P1495" s="291">
        <v>26</v>
      </c>
      <c r="Q1495" s="274">
        <v>0</v>
      </c>
      <c r="R1495" s="274">
        <v>63</v>
      </c>
      <c r="S1495" s="274">
        <v>49</v>
      </c>
      <c r="T1495" s="287">
        <f t="shared" si="23"/>
        <v>2015</v>
      </c>
      <c r="U1495" s="274">
        <f>VLOOKUP(A1495,'[1]SB35 Determination Data'!$B$4:$F$542,5,FALSE)</f>
        <v>2014</v>
      </c>
    </row>
    <row r="1496" spans="1:21" s="274" customFormat="1" ht="12.75" x14ac:dyDescent="0.2">
      <c r="A1496" s="274" t="s">
        <v>393</v>
      </c>
      <c r="B1496" s="274" t="s">
        <v>143</v>
      </c>
      <c r="C1496" s="274" t="s">
        <v>660</v>
      </c>
      <c r="D1496" s="295">
        <v>2016</v>
      </c>
      <c r="E1496" s="274" t="s">
        <v>650</v>
      </c>
      <c r="F1496" s="291">
        <v>15</v>
      </c>
      <c r="G1496" s="285">
        <v>0</v>
      </c>
      <c r="H1496" s="291">
        <v>0</v>
      </c>
      <c r="I1496" s="291">
        <v>0</v>
      </c>
      <c r="J1496" s="291">
        <v>11</v>
      </c>
      <c r="K1496" s="284">
        <v>2</v>
      </c>
      <c r="L1496" s="291">
        <v>2</v>
      </c>
      <c r="M1496" s="291">
        <v>0</v>
      </c>
      <c r="N1496" s="274">
        <v>11</v>
      </c>
      <c r="O1496" s="291">
        <v>1</v>
      </c>
      <c r="P1496" s="291">
        <v>26</v>
      </c>
      <c r="Q1496" s="274">
        <v>0</v>
      </c>
      <c r="R1496" s="274">
        <v>63</v>
      </c>
      <c r="S1496" s="274">
        <v>3</v>
      </c>
      <c r="T1496" s="287">
        <f t="shared" si="23"/>
        <v>2016</v>
      </c>
      <c r="U1496" s="274">
        <f>VLOOKUP(A1496,'[1]SB35 Determination Data'!$B$4:$F$542,5,FALSE)</f>
        <v>2014</v>
      </c>
    </row>
    <row r="1497" spans="1:21" s="274" customFormat="1" ht="12.75" x14ac:dyDescent="0.2">
      <c r="A1497" s="274" t="s">
        <v>393</v>
      </c>
      <c r="B1497" s="274" t="s">
        <v>143</v>
      </c>
      <c r="C1497" s="274" t="s">
        <v>660</v>
      </c>
      <c r="D1497" s="295">
        <v>2017</v>
      </c>
      <c r="E1497" s="274" t="s">
        <v>650</v>
      </c>
      <c r="F1497" s="291">
        <v>15</v>
      </c>
      <c r="G1497" s="285">
        <v>0</v>
      </c>
      <c r="H1497" s="291">
        <v>0</v>
      </c>
      <c r="I1497" s="291">
        <v>0</v>
      </c>
      <c r="J1497" s="291">
        <v>11</v>
      </c>
      <c r="K1497" s="284">
        <v>0</v>
      </c>
      <c r="L1497" s="291">
        <v>0</v>
      </c>
      <c r="M1497" s="291">
        <v>0</v>
      </c>
      <c r="N1497" s="291">
        <v>11</v>
      </c>
      <c r="O1497" s="291">
        <v>0</v>
      </c>
      <c r="P1497" s="291">
        <v>26</v>
      </c>
      <c r="Q1497" s="274">
        <v>2</v>
      </c>
      <c r="R1497" s="274">
        <v>63</v>
      </c>
      <c r="S1497" s="274">
        <v>2</v>
      </c>
      <c r="T1497" s="287">
        <f t="shared" si="23"/>
        <v>2017</v>
      </c>
      <c r="U1497" s="274">
        <f>VLOOKUP(A1497,'[1]SB35 Determination Data'!$B$4:$F$542,5,FALSE)</f>
        <v>2014</v>
      </c>
    </row>
    <row r="1498" spans="1:21" s="274" customFormat="1" ht="12.75" x14ac:dyDescent="0.2">
      <c r="A1498" s="274" t="s">
        <v>744</v>
      </c>
      <c r="B1498" s="274" t="s">
        <v>669</v>
      </c>
      <c r="C1498" s="274" t="s">
        <v>654</v>
      </c>
      <c r="D1498" s="295">
        <v>2014</v>
      </c>
      <c r="E1498" s="274" t="s">
        <v>650</v>
      </c>
      <c r="F1498" s="291">
        <v>120</v>
      </c>
      <c r="G1498" s="285">
        <v>0</v>
      </c>
      <c r="H1498" s="291">
        <v>0</v>
      </c>
      <c r="I1498" s="291">
        <v>0</v>
      </c>
      <c r="J1498" s="291">
        <v>65</v>
      </c>
      <c r="K1498" s="284">
        <v>0</v>
      </c>
      <c r="L1498" s="291">
        <v>0</v>
      </c>
      <c r="M1498" s="291">
        <v>0</v>
      </c>
      <c r="N1498" s="291">
        <v>67</v>
      </c>
      <c r="O1498" s="291">
        <v>1</v>
      </c>
      <c r="P1498" s="291">
        <v>188</v>
      </c>
      <c r="Q1498" s="274">
        <v>9</v>
      </c>
      <c r="R1498" s="274">
        <v>440</v>
      </c>
      <c r="S1498" s="274">
        <v>10</v>
      </c>
      <c r="T1498" s="287">
        <f t="shared" si="23"/>
        <v>2015</v>
      </c>
      <c r="U1498" s="274">
        <f>VLOOKUP(A1498,'[1]SB35 Determination Data'!$B$4:$F$542,5,FALSE)</f>
        <v>2015</v>
      </c>
    </row>
    <row r="1499" spans="1:21" s="274" customFormat="1" ht="12.75" x14ac:dyDescent="0.2">
      <c r="A1499" s="274" t="s">
        <v>744</v>
      </c>
      <c r="B1499" s="274" t="s">
        <v>669</v>
      </c>
      <c r="C1499" s="274" t="s">
        <v>654</v>
      </c>
      <c r="D1499" s="295">
        <v>2015</v>
      </c>
      <c r="E1499" s="274" t="s">
        <v>650</v>
      </c>
      <c r="F1499" s="291">
        <v>120</v>
      </c>
      <c r="G1499" s="285">
        <v>0</v>
      </c>
      <c r="H1499" s="291">
        <v>0</v>
      </c>
      <c r="I1499" s="291">
        <v>0</v>
      </c>
      <c r="J1499" s="291">
        <v>65</v>
      </c>
      <c r="K1499" s="284">
        <v>0</v>
      </c>
      <c r="L1499" s="291">
        <v>0</v>
      </c>
      <c r="M1499" s="291">
        <v>0</v>
      </c>
      <c r="N1499" s="291">
        <v>67</v>
      </c>
      <c r="O1499" s="291">
        <v>0</v>
      </c>
      <c r="P1499" s="291">
        <v>188</v>
      </c>
      <c r="Q1499" s="274">
        <v>55</v>
      </c>
      <c r="R1499" s="274">
        <v>440</v>
      </c>
      <c r="S1499" s="274">
        <v>55</v>
      </c>
      <c r="T1499" s="287">
        <f t="shared" si="23"/>
        <v>2015</v>
      </c>
      <c r="U1499" s="274">
        <f>VLOOKUP(A1499,'[1]SB35 Determination Data'!$B$4:$F$542,5,FALSE)</f>
        <v>2015</v>
      </c>
    </row>
    <row r="1500" spans="1:21" s="274" customFormat="1" ht="12.75" x14ac:dyDescent="0.2">
      <c r="A1500" s="274" t="s">
        <v>744</v>
      </c>
      <c r="B1500" s="274" t="s">
        <v>669</v>
      </c>
      <c r="C1500" s="274" t="s">
        <v>654</v>
      </c>
      <c r="D1500" s="295">
        <v>2016</v>
      </c>
      <c r="E1500" s="274" t="s">
        <v>650</v>
      </c>
      <c r="F1500" s="291">
        <v>120</v>
      </c>
      <c r="G1500" s="285">
        <v>0</v>
      </c>
      <c r="H1500" s="291">
        <v>0</v>
      </c>
      <c r="I1500" s="291">
        <v>0</v>
      </c>
      <c r="J1500" s="291">
        <v>65</v>
      </c>
      <c r="K1500" s="284">
        <v>0</v>
      </c>
      <c r="L1500" s="291">
        <v>0</v>
      </c>
      <c r="M1500" s="291">
        <v>0</v>
      </c>
      <c r="N1500" s="291">
        <v>67</v>
      </c>
      <c r="O1500" s="291">
        <v>0</v>
      </c>
      <c r="P1500" s="291">
        <v>188</v>
      </c>
      <c r="Q1500" s="274">
        <v>3</v>
      </c>
      <c r="R1500" s="274">
        <v>440</v>
      </c>
      <c r="S1500" s="274">
        <v>3</v>
      </c>
      <c r="T1500" s="287">
        <f t="shared" si="23"/>
        <v>2016</v>
      </c>
      <c r="U1500" s="274">
        <f>VLOOKUP(A1500,'[1]SB35 Determination Data'!$B$4:$F$542,5,FALSE)</f>
        <v>2015</v>
      </c>
    </row>
    <row r="1501" spans="1:21" s="274" customFormat="1" ht="12.75" x14ac:dyDescent="0.2">
      <c r="A1501" s="274" t="s">
        <v>744</v>
      </c>
      <c r="B1501" s="274" t="s">
        <v>669</v>
      </c>
      <c r="C1501" s="274" t="s">
        <v>654</v>
      </c>
      <c r="D1501" s="295">
        <v>2017</v>
      </c>
      <c r="E1501" s="274" t="s">
        <v>650</v>
      </c>
      <c r="F1501" s="291">
        <v>120</v>
      </c>
      <c r="G1501" s="285">
        <v>0</v>
      </c>
      <c r="H1501" s="291">
        <v>0</v>
      </c>
      <c r="I1501" s="291">
        <v>0</v>
      </c>
      <c r="J1501" s="291">
        <v>65</v>
      </c>
      <c r="K1501" s="284">
        <v>0</v>
      </c>
      <c r="L1501" s="291">
        <v>0</v>
      </c>
      <c r="M1501" s="291">
        <v>0</v>
      </c>
      <c r="N1501" s="274">
        <v>67</v>
      </c>
      <c r="O1501" s="291">
        <v>0</v>
      </c>
      <c r="P1501" s="291">
        <v>188</v>
      </c>
      <c r="Q1501" s="274">
        <v>5</v>
      </c>
      <c r="R1501" s="274">
        <v>440</v>
      </c>
      <c r="S1501" s="274">
        <v>5</v>
      </c>
      <c r="T1501" s="287">
        <f t="shared" si="23"/>
        <v>2017</v>
      </c>
      <c r="U1501" s="274">
        <f>VLOOKUP(A1501,'[1]SB35 Determination Data'!$B$4:$F$542,5,FALSE)</f>
        <v>2015</v>
      </c>
    </row>
    <row r="1502" spans="1:21" s="274" customFormat="1" ht="12.75" x14ac:dyDescent="0.2">
      <c r="A1502" s="274" t="s">
        <v>745</v>
      </c>
      <c r="B1502" s="274" t="s">
        <v>757</v>
      </c>
      <c r="C1502" s="274" t="s">
        <v>685</v>
      </c>
      <c r="D1502" s="295">
        <v>2013</v>
      </c>
      <c r="E1502" s="274" t="s">
        <v>650</v>
      </c>
      <c r="F1502" s="291">
        <v>76</v>
      </c>
      <c r="G1502" s="285">
        <v>0</v>
      </c>
      <c r="H1502" s="291">
        <v>0</v>
      </c>
      <c r="I1502" s="291">
        <v>0</v>
      </c>
      <c r="J1502" s="291">
        <v>54</v>
      </c>
      <c r="K1502" s="284">
        <v>0</v>
      </c>
      <c r="L1502" s="291">
        <v>0</v>
      </c>
      <c r="M1502" s="291">
        <v>0</v>
      </c>
      <c r="N1502" s="291">
        <v>59</v>
      </c>
      <c r="O1502" s="291">
        <v>1</v>
      </c>
      <c r="P1502" s="291">
        <v>130</v>
      </c>
      <c r="Q1502" s="274">
        <v>0</v>
      </c>
      <c r="R1502" s="274">
        <v>319</v>
      </c>
      <c r="S1502" s="274">
        <v>1</v>
      </c>
      <c r="T1502" s="287">
        <f t="shared" si="23"/>
        <v>2014</v>
      </c>
      <c r="U1502" s="274">
        <f>VLOOKUP(A1502,'[1]SB35 Determination Data'!$B$4:$F$542,5,FALSE)</f>
        <v>2014</v>
      </c>
    </row>
    <row r="1503" spans="1:21" s="274" customFormat="1" ht="12.75" x14ac:dyDescent="0.2">
      <c r="A1503" s="274" t="s">
        <v>745</v>
      </c>
      <c r="B1503" s="274" t="s">
        <v>757</v>
      </c>
      <c r="C1503" s="274" t="s">
        <v>685</v>
      </c>
      <c r="D1503" s="295">
        <v>2014</v>
      </c>
      <c r="E1503" s="274" t="s">
        <v>650</v>
      </c>
      <c r="F1503" s="291">
        <v>76</v>
      </c>
      <c r="G1503" s="285">
        <v>0</v>
      </c>
      <c r="H1503" s="291">
        <v>0</v>
      </c>
      <c r="I1503" s="291">
        <v>0</v>
      </c>
      <c r="J1503" s="291">
        <v>54</v>
      </c>
      <c r="K1503" s="284">
        <v>0</v>
      </c>
      <c r="L1503" s="291">
        <v>0</v>
      </c>
      <c r="M1503" s="291">
        <v>0</v>
      </c>
      <c r="N1503" s="291">
        <v>59</v>
      </c>
      <c r="O1503" s="291">
        <v>0</v>
      </c>
      <c r="P1503" s="291">
        <v>130</v>
      </c>
      <c r="Q1503" s="274">
        <v>0</v>
      </c>
      <c r="R1503" s="274">
        <v>319</v>
      </c>
      <c r="S1503" s="274">
        <v>0</v>
      </c>
      <c r="T1503" s="287">
        <f t="shared" si="23"/>
        <v>2014</v>
      </c>
      <c r="U1503" s="274">
        <f>VLOOKUP(A1503,'[1]SB35 Determination Data'!$B$4:$F$542,5,FALSE)</f>
        <v>2014</v>
      </c>
    </row>
    <row r="1504" spans="1:21" s="274" customFormat="1" ht="12.75" x14ac:dyDescent="0.2">
      <c r="A1504" s="274" t="s">
        <v>745</v>
      </c>
      <c r="B1504" s="274" t="s">
        <v>757</v>
      </c>
      <c r="C1504" s="274" t="s">
        <v>685</v>
      </c>
      <c r="D1504" s="295">
        <v>2015</v>
      </c>
      <c r="E1504" s="274" t="s">
        <v>650</v>
      </c>
      <c r="F1504" s="291">
        <v>76</v>
      </c>
      <c r="G1504" s="285">
        <v>0</v>
      </c>
      <c r="H1504" s="291">
        <v>0</v>
      </c>
      <c r="I1504" s="291">
        <v>0</v>
      </c>
      <c r="J1504" s="291">
        <v>54</v>
      </c>
      <c r="K1504" s="284">
        <v>0</v>
      </c>
      <c r="L1504" s="291">
        <v>0</v>
      </c>
      <c r="M1504" s="291">
        <v>0</v>
      </c>
      <c r="N1504" s="291">
        <v>59</v>
      </c>
      <c r="O1504" s="291">
        <v>0</v>
      </c>
      <c r="P1504" s="291">
        <v>130</v>
      </c>
      <c r="Q1504" s="274">
        <v>32</v>
      </c>
      <c r="R1504" s="274">
        <v>319</v>
      </c>
      <c r="S1504" s="274">
        <v>32</v>
      </c>
      <c r="T1504" s="287">
        <f t="shared" si="23"/>
        <v>2015</v>
      </c>
      <c r="U1504" s="274">
        <f>VLOOKUP(A1504,'[1]SB35 Determination Data'!$B$4:$F$542,5,FALSE)</f>
        <v>2014</v>
      </c>
    </row>
    <row r="1505" spans="1:21" s="274" customFormat="1" ht="12.75" x14ac:dyDescent="0.2">
      <c r="A1505" s="274" t="s">
        <v>745</v>
      </c>
      <c r="B1505" s="274" t="s">
        <v>757</v>
      </c>
      <c r="C1505" s="274" t="s">
        <v>685</v>
      </c>
      <c r="D1505" s="295">
        <v>2016</v>
      </c>
      <c r="E1505" s="274" t="s">
        <v>650</v>
      </c>
      <c r="F1505" s="291">
        <v>76</v>
      </c>
      <c r="G1505" s="285">
        <v>0</v>
      </c>
      <c r="H1505" s="291">
        <v>0</v>
      </c>
      <c r="I1505" s="291">
        <v>0</v>
      </c>
      <c r="J1505" s="291">
        <v>54</v>
      </c>
      <c r="K1505" s="284">
        <v>0</v>
      </c>
      <c r="L1505" s="291">
        <v>0</v>
      </c>
      <c r="M1505" s="291">
        <v>0</v>
      </c>
      <c r="N1505" s="274">
        <v>59</v>
      </c>
      <c r="O1505" s="291">
        <v>7</v>
      </c>
      <c r="P1505" s="291">
        <v>130</v>
      </c>
      <c r="Q1505" s="274">
        <v>26</v>
      </c>
      <c r="R1505" s="274">
        <v>319</v>
      </c>
      <c r="S1505" s="274">
        <v>33</v>
      </c>
      <c r="T1505" s="287">
        <f t="shared" si="23"/>
        <v>2016</v>
      </c>
      <c r="U1505" s="274">
        <f>VLOOKUP(A1505,'[1]SB35 Determination Data'!$B$4:$F$542,5,FALSE)</f>
        <v>2014</v>
      </c>
    </row>
    <row r="1506" spans="1:21" s="274" customFormat="1" ht="12.75" x14ac:dyDescent="0.2">
      <c r="A1506" s="274" t="s">
        <v>745</v>
      </c>
      <c r="B1506" s="274" t="s">
        <v>757</v>
      </c>
      <c r="C1506" s="274" t="s">
        <v>685</v>
      </c>
      <c r="D1506" s="295">
        <v>2017</v>
      </c>
      <c r="E1506" s="274" t="s">
        <v>650</v>
      </c>
      <c r="F1506" s="291">
        <v>76</v>
      </c>
      <c r="G1506" s="285">
        <v>0</v>
      </c>
      <c r="H1506" s="291">
        <v>0</v>
      </c>
      <c r="I1506" s="291">
        <v>0</v>
      </c>
      <c r="J1506" s="291">
        <v>54</v>
      </c>
      <c r="K1506" s="284">
        <v>0</v>
      </c>
      <c r="L1506" s="291">
        <v>0</v>
      </c>
      <c r="M1506" s="291">
        <v>0</v>
      </c>
      <c r="N1506" s="291">
        <v>59</v>
      </c>
      <c r="O1506" s="291">
        <v>0</v>
      </c>
      <c r="P1506" s="291">
        <v>130</v>
      </c>
      <c r="Q1506" s="274">
        <v>11</v>
      </c>
      <c r="R1506" s="274">
        <v>319</v>
      </c>
      <c r="S1506" s="274">
        <v>11</v>
      </c>
      <c r="T1506" s="287">
        <f t="shared" si="23"/>
        <v>2017</v>
      </c>
      <c r="U1506" s="274">
        <f>VLOOKUP(A1506,'[1]SB35 Determination Data'!$B$4:$F$542,5,FALSE)</f>
        <v>2014</v>
      </c>
    </row>
    <row r="1507" spans="1:21" s="274" customFormat="1" ht="12.75" x14ac:dyDescent="0.2">
      <c r="A1507" s="274" t="s">
        <v>746</v>
      </c>
      <c r="B1507" s="274" t="s">
        <v>714</v>
      </c>
      <c r="C1507" s="274" t="s">
        <v>531</v>
      </c>
      <c r="D1507" s="295">
        <v>2015</v>
      </c>
      <c r="E1507" s="274" t="s">
        <v>650</v>
      </c>
      <c r="F1507" s="291">
        <v>71</v>
      </c>
      <c r="G1507" s="285">
        <v>0</v>
      </c>
      <c r="H1507" s="291">
        <v>0</v>
      </c>
      <c r="I1507" s="291">
        <v>0</v>
      </c>
      <c r="J1507" s="291">
        <v>41</v>
      </c>
      <c r="K1507" s="284">
        <v>0</v>
      </c>
      <c r="L1507" s="291">
        <v>0</v>
      </c>
      <c r="M1507" s="291">
        <v>0</v>
      </c>
      <c r="N1507" s="291">
        <v>69</v>
      </c>
      <c r="O1507" s="291">
        <v>6</v>
      </c>
      <c r="P1507" s="291">
        <v>191</v>
      </c>
      <c r="Q1507" s="274">
        <v>0</v>
      </c>
      <c r="R1507" s="274">
        <v>372</v>
      </c>
      <c r="S1507" s="274">
        <v>6</v>
      </c>
      <c r="T1507" s="287">
        <f t="shared" si="23"/>
        <v>2016</v>
      </c>
      <c r="U1507" s="274">
        <f>VLOOKUP(A1507,'[1]SB35 Determination Data'!$B$4:$F$542,5,FALSE)</f>
        <v>2016</v>
      </c>
    </row>
    <row r="1508" spans="1:21" s="274" customFormat="1" ht="12.75" x14ac:dyDescent="0.2">
      <c r="A1508" s="274" t="s">
        <v>746</v>
      </c>
      <c r="B1508" s="274" t="s">
        <v>714</v>
      </c>
      <c r="C1508" s="274" t="s">
        <v>531</v>
      </c>
      <c r="D1508" s="295">
        <v>2016</v>
      </c>
      <c r="E1508" s="274" t="s">
        <v>650</v>
      </c>
      <c r="F1508" s="291">
        <v>71</v>
      </c>
      <c r="G1508" s="285">
        <v>3</v>
      </c>
      <c r="H1508" s="291">
        <v>0</v>
      </c>
      <c r="I1508" s="291">
        <v>3</v>
      </c>
      <c r="J1508" s="291">
        <v>41</v>
      </c>
      <c r="K1508" s="284">
        <v>3</v>
      </c>
      <c r="L1508" s="291">
        <v>0</v>
      </c>
      <c r="M1508" s="291">
        <v>3</v>
      </c>
      <c r="N1508" s="291">
        <v>69</v>
      </c>
      <c r="O1508" s="291">
        <v>1</v>
      </c>
      <c r="P1508" s="291">
        <v>191</v>
      </c>
      <c r="Q1508" s="274">
        <v>0</v>
      </c>
      <c r="R1508" s="274">
        <v>372</v>
      </c>
      <c r="S1508" s="274">
        <v>7</v>
      </c>
      <c r="T1508" s="287">
        <f t="shared" si="23"/>
        <v>2016</v>
      </c>
      <c r="U1508" s="274">
        <f>VLOOKUP(A1508,'[1]SB35 Determination Data'!$B$4:$F$542,5,FALSE)</f>
        <v>2016</v>
      </c>
    </row>
    <row r="1509" spans="1:21" s="274" customFormat="1" ht="12.75" x14ac:dyDescent="0.2">
      <c r="A1509" s="274" t="s">
        <v>746</v>
      </c>
      <c r="B1509" s="274" t="s">
        <v>714</v>
      </c>
      <c r="C1509" s="274" t="s">
        <v>531</v>
      </c>
      <c r="D1509" s="295">
        <v>2017</v>
      </c>
      <c r="E1509" s="274" t="s">
        <v>650</v>
      </c>
      <c r="F1509" s="291">
        <v>71</v>
      </c>
      <c r="G1509" s="285">
        <v>2</v>
      </c>
      <c r="H1509" s="291">
        <v>0</v>
      </c>
      <c r="I1509" s="291">
        <v>2</v>
      </c>
      <c r="J1509" s="291">
        <v>41</v>
      </c>
      <c r="K1509" s="284">
        <v>1</v>
      </c>
      <c r="L1509" s="291">
        <v>0</v>
      </c>
      <c r="M1509" s="291">
        <v>1</v>
      </c>
      <c r="N1509" s="291">
        <v>69</v>
      </c>
      <c r="O1509" s="291">
        <v>0</v>
      </c>
      <c r="P1509" s="291">
        <v>191</v>
      </c>
      <c r="Q1509" s="274">
        <v>1</v>
      </c>
      <c r="R1509" s="274">
        <v>372</v>
      </c>
      <c r="S1509" s="274">
        <v>4</v>
      </c>
      <c r="T1509" s="287">
        <f t="shared" si="23"/>
        <v>2017</v>
      </c>
      <c r="U1509" s="274">
        <f>VLOOKUP(A1509,'[1]SB35 Determination Data'!$B$4:$F$542,5,FALSE)</f>
        <v>2016</v>
      </c>
    </row>
    <row r="1510" spans="1:21" s="274" customFormat="1" ht="12.75" x14ac:dyDescent="0.2">
      <c r="A1510" s="274" t="s">
        <v>747</v>
      </c>
      <c r="B1510" s="274" t="s">
        <v>757</v>
      </c>
      <c r="C1510" s="274" t="s">
        <v>685</v>
      </c>
      <c r="D1510" s="295">
        <v>2013</v>
      </c>
      <c r="E1510" s="274" t="s">
        <v>650</v>
      </c>
      <c r="F1510" s="291">
        <v>390</v>
      </c>
      <c r="G1510" s="285">
        <v>46</v>
      </c>
      <c r="H1510" s="291">
        <v>46</v>
      </c>
      <c r="I1510" s="291">
        <v>0</v>
      </c>
      <c r="J1510" s="291">
        <v>274</v>
      </c>
      <c r="K1510" s="284">
        <v>16</v>
      </c>
      <c r="L1510" s="291">
        <v>16</v>
      </c>
      <c r="M1510" s="291">
        <v>0</v>
      </c>
      <c r="N1510" s="291">
        <v>349</v>
      </c>
      <c r="O1510" s="291">
        <v>1</v>
      </c>
      <c r="P1510" s="291">
        <v>864</v>
      </c>
      <c r="Q1510" s="274">
        <v>97</v>
      </c>
      <c r="R1510" s="274">
        <v>1877</v>
      </c>
      <c r="S1510" s="274">
        <v>160</v>
      </c>
      <c r="T1510" s="287">
        <f t="shared" si="23"/>
        <v>2014</v>
      </c>
      <c r="U1510" s="274">
        <f>VLOOKUP(A1510,'[1]SB35 Determination Data'!$B$4:$F$542,5,FALSE)</f>
        <v>2014</v>
      </c>
    </row>
    <row r="1511" spans="1:21" s="274" customFormat="1" ht="12.75" x14ac:dyDescent="0.2">
      <c r="A1511" s="274" t="s">
        <v>747</v>
      </c>
      <c r="B1511" s="274" t="s">
        <v>757</v>
      </c>
      <c r="C1511" s="274" t="s">
        <v>685</v>
      </c>
      <c r="D1511" s="295">
        <v>2014</v>
      </c>
      <c r="E1511" s="274" t="s">
        <v>650</v>
      </c>
      <c r="F1511" s="291">
        <v>390</v>
      </c>
      <c r="G1511" s="285">
        <v>0</v>
      </c>
      <c r="H1511" s="291">
        <v>0</v>
      </c>
      <c r="I1511" s="291">
        <v>0</v>
      </c>
      <c r="J1511" s="291">
        <v>274</v>
      </c>
      <c r="K1511" s="284">
        <v>0</v>
      </c>
      <c r="L1511" s="291">
        <v>0</v>
      </c>
      <c r="M1511" s="291">
        <v>0</v>
      </c>
      <c r="N1511" s="291">
        <v>349</v>
      </c>
      <c r="O1511" s="291">
        <v>32</v>
      </c>
      <c r="P1511" s="291">
        <v>864</v>
      </c>
      <c r="Q1511" s="274">
        <v>96</v>
      </c>
      <c r="R1511" s="274">
        <v>1877</v>
      </c>
      <c r="S1511" s="274">
        <v>128</v>
      </c>
      <c r="T1511" s="287">
        <f t="shared" si="23"/>
        <v>2014</v>
      </c>
      <c r="U1511" s="274">
        <f>VLOOKUP(A1511,'[1]SB35 Determination Data'!$B$4:$F$542,5,FALSE)</f>
        <v>2014</v>
      </c>
    </row>
    <row r="1512" spans="1:21" s="274" customFormat="1" ht="12.75" x14ac:dyDescent="0.2">
      <c r="A1512" s="274" t="s">
        <v>747</v>
      </c>
      <c r="B1512" s="274" t="s">
        <v>757</v>
      </c>
      <c r="C1512" s="274" t="s">
        <v>685</v>
      </c>
      <c r="D1512" s="295">
        <v>2015</v>
      </c>
      <c r="E1512" s="274" t="s">
        <v>650</v>
      </c>
      <c r="F1512" s="291">
        <v>390</v>
      </c>
      <c r="G1512" s="285">
        <v>0</v>
      </c>
      <c r="H1512" s="291">
        <v>0</v>
      </c>
      <c r="I1512" s="291">
        <v>0</v>
      </c>
      <c r="J1512" s="291">
        <v>274</v>
      </c>
      <c r="K1512" s="284">
        <v>1</v>
      </c>
      <c r="L1512" s="291">
        <v>1</v>
      </c>
      <c r="M1512" s="291">
        <v>0</v>
      </c>
      <c r="N1512" s="291">
        <v>349</v>
      </c>
      <c r="O1512" s="291">
        <v>37</v>
      </c>
      <c r="P1512" s="291">
        <v>864</v>
      </c>
      <c r="Q1512" s="274">
        <v>114</v>
      </c>
      <c r="R1512" s="274">
        <v>1877</v>
      </c>
      <c r="S1512" s="274">
        <v>152</v>
      </c>
      <c r="T1512" s="287">
        <f t="shared" si="23"/>
        <v>2015</v>
      </c>
      <c r="U1512" s="274">
        <f>VLOOKUP(A1512,'[1]SB35 Determination Data'!$B$4:$F$542,5,FALSE)</f>
        <v>2014</v>
      </c>
    </row>
    <row r="1513" spans="1:21" s="274" customFormat="1" ht="12.75" x14ac:dyDescent="0.2">
      <c r="A1513" s="274" t="s">
        <v>747</v>
      </c>
      <c r="B1513" s="274" t="s">
        <v>757</v>
      </c>
      <c r="C1513" s="274" t="s">
        <v>685</v>
      </c>
      <c r="D1513" s="295">
        <v>2016</v>
      </c>
      <c r="E1513" s="274" t="s">
        <v>650</v>
      </c>
      <c r="F1513" s="291">
        <v>390</v>
      </c>
      <c r="G1513" s="285">
        <v>0</v>
      </c>
      <c r="H1513" s="291">
        <v>0</v>
      </c>
      <c r="I1513" s="291">
        <v>0</v>
      </c>
      <c r="J1513" s="291">
        <v>274</v>
      </c>
      <c r="K1513" s="284">
        <v>1</v>
      </c>
      <c r="L1513" s="291">
        <v>1</v>
      </c>
      <c r="M1513" s="291">
        <v>0</v>
      </c>
      <c r="N1513" s="291">
        <v>349</v>
      </c>
      <c r="O1513" s="291">
        <v>67</v>
      </c>
      <c r="P1513" s="291">
        <v>864</v>
      </c>
      <c r="Q1513" s="274">
        <v>199</v>
      </c>
      <c r="R1513" s="274">
        <v>1877</v>
      </c>
      <c r="S1513" s="274">
        <v>267</v>
      </c>
      <c r="T1513" s="287">
        <f t="shared" si="23"/>
        <v>2016</v>
      </c>
      <c r="U1513" s="274">
        <f>VLOOKUP(A1513,'[1]SB35 Determination Data'!$B$4:$F$542,5,FALSE)</f>
        <v>2014</v>
      </c>
    </row>
    <row r="1514" spans="1:21" s="274" customFormat="1" ht="12.75" x14ac:dyDescent="0.2">
      <c r="A1514" s="274" t="s">
        <v>747</v>
      </c>
      <c r="B1514" s="274" t="s">
        <v>757</v>
      </c>
      <c r="C1514" s="274" t="s">
        <v>685</v>
      </c>
      <c r="D1514" s="295">
        <v>2017</v>
      </c>
      <c r="E1514" s="274" t="s">
        <v>650</v>
      </c>
      <c r="F1514" s="291">
        <v>390</v>
      </c>
      <c r="G1514" s="285">
        <v>79</v>
      </c>
      <c r="H1514" s="291">
        <v>79</v>
      </c>
      <c r="I1514" s="291">
        <v>0</v>
      </c>
      <c r="J1514" s="291">
        <v>274</v>
      </c>
      <c r="K1514" s="284">
        <v>0</v>
      </c>
      <c r="L1514" s="291">
        <v>0</v>
      </c>
      <c r="M1514" s="291">
        <v>0</v>
      </c>
      <c r="N1514" s="291">
        <v>349</v>
      </c>
      <c r="O1514" s="291">
        <v>32</v>
      </c>
      <c r="P1514" s="291">
        <v>864</v>
      </c>
      <c r="Q1514" s="274">
        <v>99</v>
      </c>
      <c r="R1514" s="274">
        <v>1877</v>
      </c>
      <c r="S1514" s="274">
        <v>210</v>
      </c>
      <c r="T1514" s="287">
        <f t="shared" si="23"/>
        <v>2017</v>
      </c>
      <c r="U1514" s="274">
        <f>VLOOKUP(A1514,'[1]SB35 Determination Data'!$B$4:$F$542,5,FALSE)</f>
        <v>2014</v>
      </c>
    </row>
    <row r="1515" spans="1:21" s="274" customFormat="1" ht="12.75" x14ac:dyDescent="0.2">
      <c r="A1515" s="274" t="s">
        <v>748</v>
      </c>
      <c r="B1515" s="274" t="s">
        <v>595</v>
      </c>
      <c r="C1515" s="274" t="s">
        <v>654</v>
      </c>
      <c r="D1515" s="295">
        <v>2015</v>
      </c>
      <c r="E1515" s="274" t="s">
        <v>650</v>
      </c>
      <c r="F1515" s="291">
        <v>23</v>
      </c>
      <c r="G1515" s="285">
        <v>1</v>
      </c>
      <c r="H1515" s="291">
        <v>0</v>
      </c>
      <c r="I1515" s="291">
        <v>1</v>
      </c>
      <c r="J1515" s="291">
        <v>13</v>
      </c>
      <c r="K1515" s="284">
        <v>0</v>
      </c>
      <c r="L1515" s="291">
        <v>0</v>
      </c>
      <c r="M1515" s="291">
        <v>0</v>
      </c>
      <c r="N1515" s="291">
        <v>15</v>
      </c>
      <c r="O1515" s="291">
        <v>0</v>
      </c>
      <c r="P1515" s="291">
        <v>11</v>
      </c>
      <c r="Q1515" s="274">
        <v>4</v>
      </c>
      <c r="R1515" s="274">
        <v>62</v>
      </c>
      <c r="S1515" s="274">
        <v>5</v>
      </c>
      <c r="T1515" s="287">
        <f t="shared" si="23"/>
        <v>2015</v>
      </c>
      <c r="U1515" s="274">
        <f>VLOOKUP(A1515,'[1]SB35 Determination Data'!$B$4:$F$542,5,FALSE)</f>
        <v>2015</v>
      </c>
    </row>
    <row r="1516" spans="1:21" s="274" customFormat="1" ht="12.75" x14ac:dyDescent="0.2">
      <c r="A1516" s="274" t="s">
        <v>748</v>
      </c>
      <c r="B1516" s="274" t="s">
        <v>595</v>
      </c>
      <c r="C1516" s="274" t="s">
        <v>654</v>
      </c>
      <c r="D1516" s="295">
        <v>2016</v>
      </c>
      <c r="E1516" s="274" t="s">
        <v>650</v>
      </c>
      <c r="F1516" s="291">
        <v>23</v>
      </c>
      <c r="G1516" s="285">
        <v>5</v>
      </c>
      <c r="H1516" s="291">
        <v>0</v>
      </c>
      <c r="I1516" s="291">
        <v>5</v>
      </c>
      <c r="J1516" s="291">
        <v>13</v>
      </c>
      <c r="K1516" s="284">
        <v>1</v>
      </c>
      <c r="L1516" s="291">
        <v>0</v>
      </c>
      <c r="M1516" s="291">
        <v>1</v>
      </c>
      <c r="N1516" s="291">
        <v>15</v>
      </c>
      <c r="O1516" s="291">
        <v>1</v>
      </c>
      <c r="P1516" s="291">
        <v>11</v>
      </c>
      <c r="Q1516" s="274">
        <v>8</v>
      </c>
      <c r="R1516" s="274">
        <v>62</v>
      </c>
      <c r="S1516" s="274">
        <v>15</v>
      </c>
      <c r="T1516" s="287">
        <f t="shared" si="23"/>
        <v>2016</v>
      </c>
      <c r="U1516" s="274">
        <f>VLOOKUP(A1516,'[1]SB35 Determination Data'!$B$4:$F$542,5,FALSE)</f>
        <v>2015</v>
      </c>
    </row>
    <row r="1517" spans="1:21" s="274" customFormat="1" ht="12.75" x14ac:dyDescent="0.2">
      <c r="A1517" s="274" t="s">
        <v>748</v>
      </c>
      <c r="B1517" s="274" t="s">
        <v>595</v>
      </c>
      <c r="C1517" s="274" t="s">
        <v>654</v>
      </c>
      <c r="D1517" s="295">
        <v>2017</v>
      </c>
      <c r="E1517" s="274" t="s">
        <v>650</v>
      </c>
      <c r="F1517" s="291">
        <v>23</v>
      </c>
      <c r="G1517" s="285">
        <v>6</v>
      </c>
      <c r="H1517" s="291">
        <v>0</v>
      </c>
      <c r="I1517" s="291">
        <v>6</v>
      </c>
      <c r="J1517" s="291">
        <v>13</v>
      </c>
      <c r="K1517" s="284">
        <v>1</v>
      </c>
      <c r="L1517" s="291">
        <v>0</v>
      </c>
      <c r="M1517" s="291">
        <v>1</v>
      </c>
      <c r="N1517" s="291">
        <v>15</v>
      </c>
      <c r="O1517" s="291">
        <v>1</v>
      </c>
      <c r="P1517" s="291">
        <v>11</v>
      </c>
      <c r="Q1517" s="274">
        <v>5</v>
      </c>
      <c r="R1517" s="274">
        <v>62</v>
      </c>
      <c r="S1517" s="274">
        <v>13</v>
      </c>
      <c r="T1517" s="287">
        <f t="shared" si="23"/>
        <v>2017</v>
      </c>
      <c r="U1517" s="274">
        <f>VLOOKUP(A1517,'[1]SB35 Determination Data'!$B$4:$F$542,5,FALSE)</f>
        <v>2015</v>
      </c>
    </row>
    <row r="1518" spans="1:21" s="274" customFormat="1" ht="12.75" x14ac:dyDescent="0.2">
      <c r="A1518" s="274" t="s">
        <v>749</v>
      </c>
      <c r="B1518" s="274" t="s">
        <v>757</v>
      </c>
      <c r="C1518" s="274" t="s">
        <v>685</v>
      </c>
      <c r="D1518" s="295">
        <v>2014</v>
      </c>
      <c r="E1518" s="274" t="s">
        <v>650</v>
      </c>
      <c r="F1518" s="291">
        <v>427</v>
      </c>
      <c r="G1518" s="285">
        <v>6</v>
      </c>
      <c r="H1518" s="291">
        <v>6</v>
      </c>
      <c r="I1518" s="291">
        <v>0</v>
      </c>
      <c r="J1518" s="291">
        <v>299</v>
      </c>
      <c r="K1518" s="284">
        <v>3</v>
      </c>
      <c r="L1518" s="291">
        <v>3</v>
      </c>
      <c r="M1518" s="291">
        <v>0</v>
      </c>
      <c r="N1518" s="291">
        <v>351</v>
      </c>
      <c r="O1518" s="291">
        <v>4</v>
      </c>
      <c r="P1518" s="291">
        <v>813</v>
      </c>
      <c r="Q1518" s="274">
        <v>10</v>
      </c>
      <c r="R1518" s="274">
        <v>1890</v>
      </c>
      <c r="S1518" s="274">
        <v>23</v>
      </c>
      <c r="T1518" s="287">
        <f t="shared" si="23"/>
        <v>2014</v>
      </c>
      <c r="U1518" s="274">
        <f>VLOOKUP(A1518,'[1]SB35 Determination Data'!$B$4:$F$542,5,FALSE)</f>
        <v>2014</v>
      </c>
    </row>
    <row r="1519" spans="1:21" s="274" customFormat="1" ht="12.75" x14ac:dyDescent="0.2">
      <c r="A1519" s="274" t="s">
        <v>749</v>
      </c>
      <c r="B1519" s="274" t="s">
        <v>757</v>
      </c>
      <c r="C1519" s="274" t="s">
        <v>685</v>
      </c>
      <c r="D1519" s="295">
        <v>2015</v>
      </c>
      <c r="E1519" s="274" t="s">
        <v>650</v>
      </c>
      <c r="F1519" s="291">
        <v>427</v>
      </c>
      <c r="G1519" s="285">
        <v>0</v>
      </c>
      <c r="H1519" s="291">
        <v>0</v>
      </c>
      <c r="I1519" s="291">
        <v>0</v>
      </c>
      <c r="J1519" s="291">
        <v>299</v>
      </c>
      <c r="K1519" s="284">
        <v>1</v>
      </c>
      <c r="L1519" s="291">
        <v>0</v>
      </c>
      <c r="M1519" s="291">
        <v>1</v>
      </c>
      <c r="N1519" s="291">
        <v>351</v>
      </c>
      <c r="O1519" s="291">
        <v>2</v>
      </c>
      <c r="P1519" s="291">
        <v>813</v>
      </c>
      <c r="Q1519" s="274">
        <v>8</v>
      </c>
      <c r="R1519" s="274">
        <v>1890</v>
      </c>
      <c r="S1519" s="274">
        <v>11</v>
      </c>
      <c r="T1519" s="287">
        <f t="shared" si="23"/>
        <v>2015</v>
      </c>
      <c r="U1519" s="274">
        <f>VLOOKUP(A1519,'[1]SB35 Determination Data'!$B$4:$F$542,5,FALSE)</f>
        <v>2014</v>
      </c>
    </row>
    <row r="1520" spans="1:21" s="274" customFormat="1" ht="12.75" x14ac:dyDescent="0.2">
      <c r="A1520" s="274" t="s">
        <v>749</v>
      </c>
      <c r="B1520" s="274" t="s">
        <v>757</v>
      </c>
      <c r="C1520" s="274" t="s">
        <v>685</v>
      </c>
      <c r="D1520" s="295">
        <v>2016</v>
      </c>
      <c r="E1520" s="274" t="s">
        <v>650</v>
      </c>
      <c r="F1520" s="291">
        <v>427</v>
      </c>
      <c r="G1520" s="285">
        <v>40</v>
      </c>
      <c r="H1520" s="291">
        <v>40</v>
      </c>
      <c r="I1520" s="291">
        <v>0</v>
      </c>
      <c r="J1520" s="291">
        <v>299</v>
      </c>
      <c r="K1520" s="284">
        <v>4</v>
      </c>
      <c r="L1520" s="291">
        <v>0</v>
      </c>
      <c r="M1520" s="291">
        <v>4</v>
      </c>
      <c r="N1520" s="291">
        <v>351</v>
      </c>
      <c r="O1520" s="291">
        <v>7</v>
      </c>
      <c r="P1520" s="291">
        <v>813</v>
      </c>
      <c r="Q1520" s="274">
        <v>3</v>
      </c>
      <c r="R1520" s="274">
        <v>1890</v>
      </c>
      <c r="S1520" s="274">
        <v>54</v>
      </c>
      <c r="T1520" s="287">
        <f t="shared" si="23"/>
        <v>2016</v>
      </c>
      <c r="U1520" s="274">
        <f>VLOOKUP(A1520,'[1]SB35 Determination Data'!$B$4:$F$542,5,FALSE)</f>
        <v>2014</v>
      </c>
    </row>
    <row r="1521" spans="1:21" s="274" customFormat="1" ht="12.75" x14ac:dyDescent="0.2">
      <c r="A1521" s="274" t="s">
        <v>749</v>
      </c>
      <c r="B1521" s="274" t="s">
        <v>757</v>
      </c>
      <c r="C1521" s="274" t="s">
        <v>685</v>
      </c>
      <c r="D1521" s="295">
        <v>2017</v>
      </c>
      <c r="E1521" s="274" t="s">
        <v>650</v>
      </c>
      <c r="F1521" s="291">
        <v>427</v>
      </c>
      <c r="G1521" s="285">
        <v>3</v>
      </c>
      <c r="H1521" s="291">
        <v>0</v>
      </c>
      <c r="I1521" s="291">
        <v>3</v>
      </c>
      <c r="J1521" s="291">
        <v>299</v>
      </c>
      <c r="K1521" s="284">
        <v>4</v>
      </c>
      <c r="L1521" s="291">
        <v>0</v>
      </c>
      <c r="M1521" s="291">
        <v>4</v>
      </c>
      <c r="N1521" s="274">
        <v>351</v>
      </c>
      <c r="O1521" s="291">
        <v>3</v>
      </c>
      <c r="P1521" s="291">
        <v>813</v>
      </c>
      <c r="Q1521" s="274">
        <v>0</v>
      </c>
      <c r="R1521" s="274">
        <v>1890</v>
      </c>
      <c r="S1521" s="274">
        <v>10</v>
      </c>
      <c r="T1521" s="287">
        <f t="shared" si="23"/>
        <v>2017</v>
      </c>
      <c r="U1521" s="274">
        <f>VLOOKUP(A1521,'[1]SB35 Determination Data'!$B$4:$F$542,5,FALSE)</f>
        <v>2014</v>
      </c>
    </row>
    <row r="1522" spans="1:21" s="274" customFormat="1" ht="12.75" x14ac:dyDescent="0.2">
      <c r="A1522" s="274" t="s">
        <v>750</v>
      </c>
      <c r="B1522" s="274" t="s">
        <v>436</v>
      </c>
      <c r="C1522" s="274" t="s">
        <v>649</v>
      </c>
      <c r="D1522" s="295">
        <v>2014</v>
      </c>
      <c r="E1522" s="274" t="s">
        <v>650</v>
      </c>
      <c r="F1522" s="291">
        <v>160</v>
      </c>
      <c r="G1522" s="285">
        <v>4</v>
      </c>
      <c r="H1522" s="291">
        <v>0</v>
      </c>
      <c r="I1522" s="291">
        <v>4</v>
      </c>
      <c r="J1522" s="291">
        <v>113</v>
      </c>
      <c r="K1522" s="284">
        <v>0</v>
      </c>
      <c r="L1522" s="291">
        <v>0</v>
      </c>
      <c r="M1522" s="291">
        <v>0</v>
      </c>
      <c r="N1522" s="291">
        <v>126</v>
      </c>
      <c r="O1522" s="291">
        <v>1</v>
      </c>
      <c r="P1522" s="291">
        <v>270</v>
      </c>
      <c r="Q1522" s="274">
        <v>89</v>
      </c>
      <c r="R1522" s="274">
        <v>669</v>
      </c>
      <c r="S1522" s="274">
        <v>94</v>
      </c>
      <c r="T1522" s="287">
        <f t="shared" si="23"/>
        <v>2014</v>
      </c>
      <c r="U1522" s="274">
        <f>VLOOKUP(A1522,'[1]SB35 Determination Data'!$B$4:$F$542,5,FALSE)</f>
        <v>2014</v>
      </c>
    </row>
    <row r="1523" spans="1:21" s="274" customFormat="1" ht="12.75" x14ac:dyDescent="0.2">
      <c r="A1523" s="274" t="s">
        <v>750</v>
      </c>
      <c r="B1523" s="274" t="s">
        <v>436</v>
      </c>
      <c r="C1523" s="274" t="s">
        <v>649</v>
      </c>
      <c r="D1523" s="295">
        <v>2015</v>
      </c>
      <c r="E1523" s="274" t="s">
        <v>650</v>
      </c>
      <c r="F1523" s="291">
        <v>160</v>
      </c>
      <c r="G1523" s="285">
        <v>57</v>
      </c>
      <c r="H1523" s="291">
        <v>54</v>
      </c>
      <c r="I1523" s="291">
        <v>3</v>
      </c>
      <c r="J1523" s="291">
        <v>113</v>
      </c>
      <c r="K1523" s="284">
        <v>14</v>
      </c>
      <c r="L1523" s="291">
        <v>14</v>
      </c>
      <c r="M1523" s="291">
        <v>0</v>
      </c>
      <c r="N1523" s="291">
        <v>126</v>
      </c>
      <c r="O1523" s="291">
        <v>14</v>
      </c>
      <c r="P1523" s="291">
        <v>270</v>
      </c>
      <c r="Q1523" s="274">
        <v>285</v>
      </c>
      <c r="R1523" s="274">
        <v>669</v>
      </c>
      <c r="S1523" s="274">
        <v>370</v>
      </c>
      <c r="T1523" s="287">
        <f t="shared" si="23"/>
        <v>2015</v>
      </c>
      <c r="U1523" s="274">
        <f>VLOOKUP(A1523,'[1]SB35 Determination Data'!$B$4:$F$542,5,FALSE)</f>
        <v>2014</v>
      </c>
    </row>
    <row r="1524" spans="1:21" s="274" customFormat="1" ht="12.75" x14ac:dyDescent="0.2">
      <c r="A1524" s="274" t="s">
        <v>750</v>
      </c>
      <c r="B1524" s="274" t="s">
        <v>436</v>
      </c>
      <c r="C1524" s="274" t="s">
        <v>649</v>
      </c>
      <c r="D1524" s="295">
        <v>2016</v>
      </c>
      <c r="E1524" s="274" t="s">
        <v>650</v>
      </c>
      <c r="F1524" s="291">
        <v>160</v>
      </c>
      <c r="G1524" s="285">
        <v>24</v>
      </c>
      <c r="H1524" s="291">
        <v>20</v>
      </c>
      <c r="I1524" s="291">
        <v>4</v>
      </c>
      <c r="J1524" s="291">
        <v>113</v>
      </c>
      <c r="K1524" s="284">
        <v>4</v>
      </c>
      <c r="L1524" s="291">
        <v>4</v>
      </c>
      <c r="M1524" s="291">
        <v>0</v>
      </c>
      <c r="N1524" s="291">
        <v>126</v>
      </c>
      <c r="O1524" s="291">
        <v>0</v>
      </c>
      <c r="P1524" s="291">
        <v>270</v>
      </c>
      <c r="Q1524" s="274">
        <v>130</v>
      </c>
      <c r="R1524" s="274">
        <v>669</v>
      </c>
      <c r="S1524" s="274">
        <v>158</v>
      </c>
      <c r="T1524" s="287">
        <f t="shared" si="23"/>
        <v>2016</v>
      </c>
      <c r="U1524" s="274">
        <f>VLOOKUP(A1524,'[1]SB35 Determination Data'!$B$4:$F$542,5,FALSE)</f>
        <v>2014</v>
      </c>
    </row>
    <row r="1525" spans="1:21" s="274" customFormat="1" ht="12.75" x14ac:dyDescent="0.2">
      <c r="A1525" s="274" t="s">
        <v>750</v>
      </c>
      <c r="B1525" s="274" t="s">
        <v>436</v>
      </c>
      <c r="C1525" s="274" t="s">
        <v>649</v>
      </c>
      <c r="D1525" s="295">
        <v>2017</v>
      </c>
      <c r="E1525" s="274" t="s">
        <v>650</v>
      </c>
      <c r="F1525" s="291">
        <v>160</v>
      </c>
      <c r="G1525" s="285">
        <v>26</v>
      </c>
      <c r="H1525" s="291">
        <v>25</v>
      </c>
      <c r="I1525" s="291">
        <v>1</v>
      </c>
      <c r="J1525" s="291">
        <v>113</v>
      </c>
      <c r="K1525" s="284">
        <v>4</v>
      </c>
      <c r="L1525" s="291">
        <v>4</v>
      </c>
      <c r="M1525" s="291">
        <v>0</v>
      </c>
      <c r="N1525" s="274">
        <v>126</v>
      </c>
      <c r="O1525" s="291">
        <v>7</v>
      </c>
      <c r="P1525" s="291">
        <v>270</v>
      </c>
      <c r="Q1525" s="274">
        <v>64</v>
      </c>
      <c r="R1525" s="274">
        <v>669</v>
      </c>
      <c r="S1525" s="274">
        <v>101</v>
      </c>
      <c r="T1525" s="287">
        <f t="shared" si="23"/>
        <v>2017</v>
      </c>
      <c r="U1525" s="274">
        <f>VLOOKUP(A1525,'[1]SB35 Determination Data'!$B$4:$F$542,5,FALSE)</f>
        <v>2014</v>
      </c>
    </row>
    <row r="1526" spans="1:21" s="274" customFormat="1" ht="12.75" x14ac:dyDescent="0.2">
      <c r="A1526" s="274" t="s">
        <v>751</v>
      </c>
      <c r="B1526" s="274" t="s">
        <v>411</v>
      </c>
      <c r="C1526" s="274" t="s">
        <v>654</v>
      </c>
      <c r="D1526" s="295">
        <v>2015</v>
      </c>
      <c r="E1526" s="274" t="s">
        <v>650</v>
      </c>
      <c r="F1526" s="291">
        <v>4</v>
      </c>
      <c r="G1526" s="285">
        <v>1</v>
      </c>
      <c r="H1526" s="291">
        <v>1</v>
      </c>
      <c r="I1526" s="291">
        <v>0</v>
      </c>
      <c r="J1526" s="291">
        <v>2</v>
      </c>
      <c r="K1526" s="284">
        <v>1</v>
      </c>
      <c r="L1526" s="291">
        <v>1</v>
      </c>
      <c r="M1526" s="291">
        <v>0</v>
      </c>
      <c r="N1526" s="291">
        <v>3</v>
      </c>
      <c r="O1526" s="291">
        <v>6</v>
      </c>
      <c r="P1526" s="291">
        <v>8</v>
      </c>
      <c r="Q1526" s="274">
        <v>11</v>
      </c>
      <c r="R1526" s="274">
        <v>17</v>
      </c>
      <c r="S1526" s="274">
        <v>19</v>
      </c>
      <c r="T1526" s="287">
        <f t="shared" si="23"/>
        <v>2015</v>
      </c>
      <c r="U1526" s="274">
        <f>VLOOKUP(A1526,'[1]SB35 Determination Data'!$B$4:$F$542,5,FALSE)</f>
        <v>2015</v>
      </c>
    </row>
    <row r="1527" spans="1:21" s="274" customFormat="1" ht="12.75" x14ac:dyDescent="0.2">
      <c r="A1527" s="274" t="s">
        <v>751</v>
      </c>
      <c r="B1527" s="274" t="s">
        <v>411</v>
      </c>
      <c r="C1527" s="274" t="s">
        <v>654</v>
      </c>
      <c r="D1527" s="295">
        <v>2016</v>
      </c>
      <c r="E1527" s="274" t="s">
        <v>650</v>
      </c>
      <c r="F1527" s="291">
        <v>4</v>
      </c>
      <c r="G1527" s="285">
        <v>0</v>
      </c>
      <c r="H1527" s="291">
        <v>0</v>
      </c>
      <c r="I1527" s="291">
        <v>0</v>
      </c>
      <c r="J1527" s="291">
        <v>2</v>
      </c>
      <c r="K1527" s="284">
        <v>0</v>
      </c>
      <c r="L1527" s="291">
        <v>0</v>
      </c>
      <c r="M1527" s="291">
        <v>0</v>
      </c>
      <c r="N1527" s="291">
        <v>3</v>
      </c>
      <c r="O1527" s="291">
        <v>1</v>
      </c>
      <c r="P1527" s="291">
        <v>8</v>
      </c>
      <c r="Q1527" s="274">
        <v>0</v>
      </c>
      <c r="R1527" s="274">
        <v>17</v>
      </c>
      <c r="S1527" s="274">
        <v>1</v>
      </c>
      <c r="T1527" s="287">
        <f t="shared" si="23"/>
        <v>2016</v>
      </c>
      <c r="U1527" s="274">
        <f>VLOOKUP(A1527,'[1]SB35 Determination Data'!$B$4:$F$542,5,FALSE)</f>
        <v>2015</v>
      </c>
    </row>
    <row r="1528" spans="1:21" s="274" customFormat="1" ht="12.75" x14ac:dyDescent="0.2">
      <c r="A1528" s="274" t="s">
        <v>751</v>
      </c>
      <c r="B1528" s="274" t="s">
        <v>411</v>
      </c>
      <c r="C1528" s="274" t="s">
        <v>654</v>
      </c>
      <c r="D1528" s="295">
        <v>2017</v>
      </c>
      <c r="E1528" s="274" t="s">
        <v>650</v>
      </c>
      <c r="F1528" s="291">
        <v>4</v>
      </c>
      <c r="G1528" s="285">
        <v>0</v>
      </c>
      <c r="H1528" s="291">
        <v>0</v>
      </c>
      <c r="I1528" s="291">
        <v>0</v>
      </c>
      <c r="J1528" s="291">
        <v>2</v>
      </c>
      <c r="K1528" s="284">
        <v>0</v>
      </c>
      <c r="L1528" s="291">
        <v>0</v>
      </c>
      <c r="M1528" s="291">
        <v>0</v>
      </c>
      <c r="N1528" s="291">
        <v>3</v>
      </c>
      <c r="O1528" s="291">
        <v>2</v>
      </c>
      <c r="P1528" s="291">
        <v>8</v>
      </c>
      <c r="Q1528" s="274">
        <v>3</v>
      </c>
      <c r="R1528" s="274">
        <v>17</v>
      </c>
      <c r="S1528" s="274">
        <v>5</v>
      </c>
      <c r="T1528" s="287">
        <f t="shared" si="23"/>
        <v>2017</v>
      </c>
      <c r="U1528" s="274">
        <f>VLOOKUP(A1528,'[1]SB35 Determination Data'!$B$4:$F$542,5,FALSE)</f>
        <v>2015</v>
      </c>
    </row>
    <row r="1529" spans="1:21" s="274" customFormat="1" ht="12.75" x14ac:dyDescent="0.2">
      <c r="A1529" s="274" t="s">
        <v>752</v>
      </c>
      <c r="B1529" s="274" t="s">
        <v>651</v>
      </c>
      <c r="C1529" s="274" t="s">
        <v>660</v>
      </c>
      <c r="D1529" s="295">
        <v>2015</v>
      </c>
      <c r="E1529" s="274" t="s">
        <v>650</v>
      </c>
      <c r="F1529" s="291">
        <v>25</v>
      </c>
      <c r="G1529" s="285">
        <v>0</v>
      </c>
      <c r="H1529" s="291">
        <v>0</v>
      </c>
      <c r="I1529" s="291">
        <v>0</v>
      </c>
      <c r="J1529" s="291">
        <v>17</v>
      </c>
      <c r="K1529" s="284">
        <v>0</v>
      </c>
      <c r="L1529" s="291">
        <v>0</v>
      </c>
      <c r="M1529" s="291">
        <v>0</v>
      </c>
      <c r="N1529" s="274">
        <v>18</v>
      </c>
      <c r="O1529" s="291">
        <v>2</v>
      </c>
      <c r="P1529" s="291">
        <v>43</v>
      </c>
      <c r="Q1529" s="274">
        <v>0</v>
      </c>
      <c r="R1529" s="274">
        <v>103</v>
      </c>
      <c r="S1529" s="274">
        <v>2</v>
      </c>
      <c r="T1529" s="287">
        <f t="shared" si="23"/>
        <v>2015</v>
      </c>
      <c r="U1529" s="274">
        <f>VLOOKUP(A1529,'[1]SB35 Determination Data'!$B$4:$F$542,5,FALSE)</f>
        <v>2014</v>
      </c>
    </row>
    <row r="1530" spans="1:21" s="274" customFormat="1" ht="12.75" x14ac:dyDescent="0.2">
      <c r="A1530" s="274" t="s">
        <v>752</v>
      </c>
      <c r="B1530" s="274" t="s">
        <v>651</v>
      </c>
      <c r="C1530" s="274" t="s">
        <v>660</v>
      </c>
      <c r="D1530" s="295">
        <v>2016</v>
      </c>
      <c r="E1530" s="274" t="s">
        <v>650</v>
      </c>
      <c r="F1530" s="291">
        <v>25</v>
      </c>
      <c r="G1530" s="285">
        <v>0</v>
      </c>
      <c r="H1530" s="291">
        <v>0</v>
      </c>
      <c r="I1530" s="291">
        <v>0</v>
      </c>
      <c r="J1530" s="291">
        <v>17</v>
      </c>
      <c r="K1530" s="284">
        <v>0</v>
      </c>
      <c r="L1530" s="291">
        <v>0</v>
      </c>
      <c r="M1530" s="291">
        <v>0</v>
      </c>
      <c r="N1530" s="291">
        <v>18</v>
      </c>
      <c r="O1530" s="291">
        <v>0</v>
      </c>
      <c r="P1530" s="291">
        <v>43</v>
      </c>
      <c r="Q1530" s="274">
        <v>0</v>
      </c>
      <c r="R1530" s="274">
        <v>103</v>
      </c>
      <c r="S1530" s="274">
        <v>0</v>
      </c>
      <c r="T1530" s="287">
        <f t="shared" si="23"/>
        <v>2016</v>
      </c>
      <c r="U1530" s="274">
        <f>VLOOKUP(A1530,'[1]SB35 Determination Data'!$B$4:$F$542,5,FALSE)</f>
        <v>2014</v>
      </c>
    </row>
    <row r="1531" spans="1:21" s="274" customFormat="1" ht="12.75" x14ac:dyDescent="0.2">
      <c r="A1531" s="274" t="s">
        <v>752</v>
      </c>
      <c r="B1531" s="274" t="s">
        <v>651</v>
      </c>
      <c r="C1531" s="274" t="s">
        <v>660</v>
      </c>
      <c r="D1531" s="295">
        <v>2017</v>
      </c>
      <c r="E1531" s="274" t="s">
        <v>650</v>
      </c>
      <c r="F1531" s="291">
        <v>25</v>
      </c>
      <c r="G1531" s="285">
        <v>0</v>
      </c>
      <c r="H1531" s="291">
        <v>0</v>
      </c>
      <c r="I1531" s="291">
        <v>0</v>
      </c>
      <c r="J1531" s="291">
        <v>17</v>
      </c>
      <c r="K1531" s="284">
        <v>0</v>
      </c>
      <c r="L1531" s="291">
        <v>0</v>
      </c>
      <c r="M1531" s="291">
        <v>0</v>
      </c>
      <c r="N1531" s="291">
        <v>18</v>
      </c>
      <c r="O1531" s="291">
        <v>3</v>
      </c>
      <c r="P1531" s="291">
        <v>43</v>
      </c>
      <c r="Q1531" s="274">
        <v>0</v>
      </c>
      <c r="R1531" s="274">
        <v>103</v>
      </c>
      <c r="S1531" s="274">
        <v>3</v>
      </c>
      <c r="T1531" s="287">
        <f t="shared" si="23"/>
        <v>2017</v>
      </c>
      <c r="U1531" s="274">
        <f>VLOOKUP(A1531,'[1]SB35 Determination Data'!$B$4:$F$542,5,FALSE)</f>
        <v>2014</v>
      </c>
    </row>
    <row r="1532" spans="1:21" s="274" customFormat="1" ht="12.75" x14ac:dyDescent="0.2">
      <c r="A1532" s="274" t="s">
        <v>753</v>
      </c>
      <c r="B1532" s="274" t="s">
        <v>691</v>
      </c>
      <c r="C1532" s="274" t="s">
        <v>685</v>
      </c>
      <c r="D1532" s="295">
        <v>2013</v>
      </c>
      <c r="E1532" s="274" t="s">
        <v>650</v>
      </c>
      <c r="F1532" s="291">
        <v>624</v>
      </c>
      <c r="G1532" s="285">
        <v>0</v>
      </c>
      <c r="H1532" s="291">
        <v>0</v>
      </c>
      <c r="I1532" s="291">
        <v>0</v>
      </c>
      <c r="J1532" s="291">
        <v>437</v>
      </c>
      <c r="K1532" s="284">
        <v>0</v>
      </c>
      <c r="L1532" s="291">
        <v>0</v>
      </c>
      <c r="M1532" s="291">
        <v>0</v>
      </c>
      <c r="N1532" s="291">
        <v>498</v>
      </c>
      <c r="O1532" s="291">
        <v>0</v>
      </c>
      <c r="P1532" s="291">
        <v>1120</v>
      </c>
      <c r="Q1532" s="274">
        <v>50</v>
      </c>
      <c r="R1532" s="274">
        <v>2679</v>
      </c>
      <c r="S1532" s="274">
        <v>50</v>
      </c>
      <c r="T1532" s="287">
        <f t="shared" si="23"/>
        <v>2014</v>
      </c>
      <c r="U1532" s="274">
        <f>VLOOKUP(A1532,'[1]SB35 Determination Data'!$B$4:$F$542,5,FALSE)</f>
        <v>2014</v>
      </c>
    </row>
    <row r="1533" spans="1:21" s="274" customFormat="1" ht="12.75" x14ac:dyDescent="0.2">
      <c r="A1533" s="274" t="s">
        <v>753</v>
      </c>
      <c r="B1533" s="274" t="s">
        <v>691</v>
      </c>
      <c r="C1533" s="274" t="s">
        <v>685</v>
      </c>
      <c r="D1533" s="295">
        <v>2014</v>
      </c>
      <c r="E1533" s="274" t="s">
        <v>650</v>
      </c>
      <c r="F1533" s="291">
        <v>624</v>
      </c>
      <c r="G1533" s="285">
        <v>0</v>
      </c>
      <c r="H1533" s="291">
        <v>0</v>
      </c>
      <c r="I1533" s="291">
        <v>0</v>
      </c>
      <c r="J1533" s="291">
        <v>437</v>
      </c>
      <c r="K1533" s="284">
        <v>0</v>
      </c>
      <c r="L1533" s="291">
        <v>0</v>
      </c>
      <c r="M1533" s="291">
        <v>0</v>
      </c>
      <c r="N1533" s="291">
        <v>498</v>
      </c>
      <c r="O1533" s="291">
        <v>5</v>
      </c>
      <c r="P1533" s="291">
        <v>1120</v>
      </c>
      <c r="Q1533" s="274">
        <v>50</v>
      </c>
      <c r="R1533" s="274">
        <v>2679</v>
      </c>
      <c r="S1533" s="274">
        <v>55</v>
      </c>
      <c r="T1533" s="287">
        <f t="shared" si="23"/>
        <v>2014</v>
      </c>
      <c r="U1533" s="274">
        <f>VLOOKUP(A1533,'[1]SB35 Determination Data'!$B$4:$F$542,5,FALSE)</f>
        <v>2014</v>
      </c>
    </row>
    <row r="1534" spans="1:21" s="274" customFormat="1" ht="12.75" x14ac:dyDescent="0.2">
      <c r="A1534" s="274" t="s">
        <v>753</v>
      </c>
      <c r="B1534" s="274" t="s">
        <v>691</v>
      </c>
      <c r="C1534" s="274" t="s">
        <v>685</v>
      </c>
      <c r="D1534" s="295">
        <v>2015</v>
      </c>
      <c r="E1534" s="274" t="s">
        <v>650</v>
      </c>
      <c r="F1534" s="291">
        <v>624</v>
      </c>
      <c r="G1534" s="285">
        <v>0</v>
      </c>
      <c r="H1534" s="291">
        <v>0</v>
      </c>
      <c r="I1534" s="291">
        <v>0</v>
      </c>
      <c r="J1534" s="291">
        <v>437</v>
      </c>
      <c r="K1534" s="284">
        <v>2</v>
      </c>
      <c r="L1534" s="291">
        <v>2</v>
      </c>
      <c r="M1534" s="291">
        <v>0</v>
      </c>
      <c r="N1534" s="274">
        <v>498</v>
      </c>
      <c r="O1534" s="291">
        <v>45</v>
      </c>
      <c r="P1534" s="291">
        <v>1120</v>
      </c>
      <c r="Q1534" s="274">
        <v>0</v>
      </c>
      <c r="R1534" s="274">
        <v>2679</v>
      </c>
      <c r="S1534" s="274">
        <v>47</v>
      </c>
      <c r="T1534" s="287">
        <f t="shared" si="23"/>
        <v>2015</v>
      </c>
      <c r="U1534" s="274">
        <f>VLOOKUP(A1534,'[1]SB35 Determination Data'!$B$4:$F$542,5,FALSE)</f>
        <v>2014</v>
      </c>
    </row>
    <row r="1535" spans="1:21" s="274" customFormat="1" ht="12.75" x14ac:dyDescent="0.2">
      <c r="A1535" s="274" t="s">
        <v>753</v>
      </c>
      <c r="B1535" s="274" t="s">
        <v>691</v>
      </c>
      <c r="C1535" s="274" t="s">
        <v>685</v>
      </c>
      <c r="D1535" s="295">
        <v>2016</v>
      </c>
      <c r="E1535" s="274" t="s">
        <v>650</v>
      </c>
      <c r="F1535" s="291">
        <v>624</v>
      </c>
      <c r="G1535" s="285">
        <v>1</v>
      </c>
      <c r="H1535" s="291">
        <v>1</v>
      </c>
      <c r="I1535" s="291">
        <v>0</v>
      </c>
      <c r="J1535" s="291">
        <v>437</v>
      </c>
      <c r="K1535" s="284">
        <v>5</v>
      </c>
      <c r="L1535" s="291">
        <v>5</v>
      </c>
      <c r="M1535" s="291">
        <v>0</v>
      </c>
      <c r="N1535" s="291">
        <v>498</v>
      </c>
      <c r="O1535" s="291">
        <v>47</v>
      </c>
      <c r="P1535" s="291">
        <v>1120</v>
      </c>
      <c r="Q1535" s="274">
        <v>0</v>
      </c>
      <c r="R1535" s="274">
        <v>2679</v>
      </c>
      <c r="S1535" s="274">
        <v>53</v>
      </c>
      <c r="T1535" s="287">
        <f t="shared" si="23"/>
        <v>2016</v>
      </c>
      <c r="U1535" s="274">
        <f>VLOOKUP(A1535,'[1]SB35 Determination Data'!$B$4:$F$542,5,FALSE)</f>
        <v>2014</v>
      </c>
    </row>
    <row r="1536" spans="1:21" s="274" customFormat="1" ht="12.75" x14ac:dyDescent="0.2">
      <c r="A1536" s="274" t="s">
        <v>753</v>
      </c>
      <c r="B1536" s="274" t="s">
        <v>691</v>
      </c>
      <c r="C1536" s="274" t="s">
        <v>685</v>
      </c>
      <c r="D1536" s="295">
        <v>2017</v>
      </c>
      <c r="E1536" s="274" t="s">
        <v>650</v>
      </c>
      <c r="F1536" s="291">
        <v>624</v>
      </c>
      <c r="G1536" s="285">
        <v>2</v>
      </c>
      <c r="H1536" s="291">
        <v>2</v>
      </c>
      <c r="I1536" s="291">
        <v>0</v>
      </c>
      <c r="J1536" s="291">
        <v>437</v>
      </c>
      <c r="K1536" s="284">
        <v>4</v>
      </c>
      <c r="L1536" s="291">
        <v>4</v>
      </c>
      <c r="M1536" s="291">
        <v>0</v>
      </c>
      <c r="N1536" s="291">
        <v>498</v>
      </c>
      <c r="O1536" s="291">
        <v>38</v>
      </c>
      <c r="P1536" s="291">
        <v>1120</v>
      </c>
      <c r="Q1536" s="274">
        <v>0</v>
      </c>
      <c r="R1536" s="274">
        <v>2679</v>
      </c>
      <c r="S1536" s="274">
        <v>44</v>
      </c>
      <c r="T1536" s="287">
        <f t="shared" si="23"/>
        <v>2017</v>
      </c>
      <c r="U1536" s="274">
        <f>VLOOKUP(A1536,'[1]SB35 Determination Data'!$B$4:$F$542,5,FALSE)</f>
        <v>2014</v>
      </c>
    </row>
    <row r="1537" spans="1:21" s="274" customFormat="1" ht="12.75" x14ac:dyDescent="0.2">
      <c r="A1537" s="274" t="s">
        <v>754</v>
      </c>
      <c r="B1537" s="274" t="s">
        <v>759</v>
      </c>
      <c r="C1537" s="274" t="s">
        <v>685</v>
      </c>
      <c r="D1537" s="295">
        <v>2013</v>
      </c>
      <c r="E1537" s="274" t="s">
        <v>650</v>
      </c>
      <c r="F1537" s="291">
        <v>1036</v>
      </c>
      <c r="G1537" s="285">
        <v>0</v>
      </c>
      <c r="H1537" s="291">
        <v>0</v>
      </c>
      <c r="I1537" s="291">
        <v>0</v>
      </c>
      <c r="J1537" s="291">
        <v>727</v>
      </c>
      <c r="K1537" s="284">
        <v>0</v>
      </c>
      <c r="L1537" s="291">
        <v>0</v>
      </c>
      <c r="M1537" s="291">
        <v>0</v>
      </c>
      <c r="N1537" s="291">
        <v>870</v>
      </c>
      <c r="O1537" s="291">
        <v>1</v>
      </c>
      <c r="P1537" s="291">
        <v>2043</v>
      </c>
      <c r="Q1537" s="274">
        <v>85</v>
      </c>
      <c r="R1537" s="274">
        <v>4676</v>
      </c>
      <c r="S1537" s="274">
        <v>86</v>
      </c>
      <c r="T1537" s="287">
        <f t="shared" si="23"/>
        <v>2014</v>
      </c>
      <c r="U1537" s="274">
        <f>VLOOKUP(A1537,'[1]SB35 Determination Data'!$B$4:$F$542,5,FALSE)</f>
        <v>2014</v>
      </c>
    </row>
    <row r="1538" spans="1:21" s="274" customFormat="1" ht="12.75" x14ac:dyDescent="0.2">
      <c r="A1538" s="274" t="s">
        <v>755</v>
      </c>
      <c r="B1538" s="274" t="s">
        <v>542</v>
      </c>
      <c r="C1538" s="274" t="s">
        <v>649</v>
      </c>
      <c r="D1538" s="295">
        <v>2014</v>
      </c>
      <c r="E1538" s="274" t="s">
        <v>650</v>
      </c>
      <c r="F1538" s="291">
        <v>376</v>
      </c>
      <c r="G1538" s="285">
        <v>0</v>
      </c>
      <c r="H1538" s="291">
        <v>0</v>
      </c>
      <c r="I1538" s="291">
        <v>0</v>
      </c>
      <c r="J1538" s="291">
        <v>261</v>
      </c>
      <c r="K1538" s="284">
        <v>34</v>
      </c>
      <c r="L1538" s="291">
        <v>34</v>
      </c>
      <c r="M1538" s="291">
        <v>0</v>
      </c>
      <c r="N1538" s="274">
        <v>299</v>
      </c>
      <c r="O1538" s="291">
        <v>0</v>
      </c>
      <c r="P1538" s="291">
        <v>669</v>
      </c>
      <c r="Q1538" s="274">
        <v>32</v>
      </c>
      <c r="R1538" s="274">
        <v>1605</v>
      </c>
      <c r="S1538" s="274">
        <v>66</v>
      </c>
      <c r="T1538" s="287">
        <f t="shared" si="23"/>
        <v>2014</v>
      </c>
      <c r="U1538" s="274">
        <f>VLOOKUP(A1538,'[1]SB35 Determination Data'!$B$4:$F$542,5,FALSE)</f>
        <v>2014</v>
      </c>
    </row>
    <row r="1539" spans="1:21" s="274" customFormat="1" ht="12.75" x14ac:dyDescent="0.2">
      <c r="A1539" s="274" t="s">
        <v>755</v>
      </c>
      <c r="B1539" s="274" t="s">
        <v>542</v>
      </c>
      <c r="C1539" s="274" t="s">
        <v>649</v>
      </c>
      <c r="D1539" s="295">
        <v>2015</v>
      </c>
      <c r="E1539" s="274" t="s">
        <v>650</v>
      </c>
      <c r="F1539" s="291">
        <v>376</v>
      </c>
      <c r="G1539" s="285">
        <v>42</v>
      </c>
      <c r="H1539" s="291">
        <v>42</v>
      </c>
      <c r="I1539" s="291">
        <v>0</v>
      </c>
      <c r="J1539" s="291">
        <v>261</v>
      </c>
      <c r="K1539" s="284">
        <v>38</v>
      </c>
      <c r="L1539" s="291">
        <v>7</v>
      </c>
      <c r="M1539" s="291">
        <v>31</v>
      </c>
      <c r="N1539" s="291">
        <v>299</v>
      </c>
      <c r="O1539" s="291">
        <v>0</v>
      </c>
      <c r="P1539" s="291">
        <v>669</v>
      </c>
      <c r="Q1539" s="274">
        <v>111</v>
      </c>
      <c r="R1539" s="274">
        <v>1605</v>
      </c>
      <c r="S1539" s="274">
        <v>191</v>
      </c>
      <c r="T1539" s="287">
        <f t="shared" si="23"/>
        <v>2015</v>
      </c>
      <c r="U1539" s="274">
        <f>VLOOKUP(A1539,'[1]SB35 Determination Data'!$B$4:$F$542,5,FALSE)</f>
        <v>2014</v>
      </c>
    </row>
    <row r="1540" spans="1:21" s="274" customFormat="1" ht="12.75" x14ac:dyDescent="0.2">
      <c r="A1540" s="274" t="s">
        <v>755</v>
      </c>
      <c r="B1540" s="274" t="s">
        <v>542</v>
      </c>
      <c r="C1540" s="274" t="s">
        <v>649</v>
      </c>
      <c r="D1540" s="295">
        <v>2016</v>
      </c>
      <c r="E1540" s="274" t="s">
        <v>650</v>
      </c>
      <c r="F1540" s="291">
        <v>376</v>
      </c>
      <c r="G1540" s="285">
        <v>0</v>
      </c>
      <c r="H1540" s="291">
        <v>0</v>
      </c>
      <c r="I1540" s="291">
        <v>0</v>
      </c>
      <c r="J1540" s="291">
        <v>261</v>
      </c>
      <c r="K1540" s="284">
        <v>30</v>
      </c>
      <c r="L1540" s="291">
        <v>30</v>
      </c>
      <c r="M1540" s="291">
        <v>0</v>
      </c>
      <c r="N1540" s="291">
        <v>299</v>
      </c>
      <c r="O1540" s="291">
        <v>17</v>
      </c>
      <c r="P1540" s="291">
        <v>669</v>
      </c>
      <c r="Q1540" s="274">
        <v>102</v>
      </c>
      <c r="R1540" s="274">
        <v>1605</v>
      </c>
      <c r="S1540" s="274">
        <v>149</v>
      </c>
      <c r="T1540" s="287">
        <f t="shared" ref="T1540:T1603" si="24">IF(D1540&gt;U1540,D1540,U1540)</f>
        <v>2016</v>
      </c>
      <c r="U1540" s="274">
        <f>VLOOKUP(A1540,'[1]SB35 Determination Data'!$B$4:$F$542,5,FALSE)</f>
        <v>2014</v>
      </c>
    </row>
    <row r="1541" spans="1:21" s="274" customFormat="1" ht="12.75" x14ac:dyDescent="0.2">
      <c r="A1541" s="274" t="s">
        <v>755</v>
      </c>
      <c r="B1541" s="274" t="s">
        <v>542</v>
      </c>
      <c r="C1541" s="274" t="s">
        <v>649</v>
      </c>
      <c r="D1541" s="295">
        <v>2017</v>
      </c>
      <c r="E1541" s="274" t="s">
        <v>650</v>
      </c>
      <c r="F1541" s="291">
        <v>376</v>
      </c>
      <c r="G1541" s="285">
        <v>0</v>
      </c>
      <c r="H1541" s="291">
        <v>0</v>
      </c>
      <c r="I1541" s="291">
        <v>0</v>
      </c>
      <c r="J1541" s="291">
        <v>261</v>
      </c>
      <c r="K1541" s="284">
        <v>30</v>
      </c>
      <c r="L1541" s="291">
        <v>30</v>
      </c>
      <c r="M1541" s="291">
        <v>0</v>
      </c>
      <c r="N1541" s="291">
        <v>299</v>
      </c>
      <c r="O1541" s="291">
        <v>18</v>
      </c>
      <c r="P1541" s="291">
        <v>669</v>
      </c>
      <c r="Q1541" s="274">
        <v>9</v>
      </c>
      <c r="R1541" s="274">
        <v>1605</v>
      </c>
      <c r="S1541" s="274">
        <v>57</v>
      </c>
      <c r="T1541" s="287">
        <f t="shared" si="24"/>
        <v>2017</v>
      </c>
      <c r="U1541" s="274">
        <f>VLOOKUP(A1541,'[1]SB35 Determination Data'!$B$4:$F$542,5,FALSE)</f>
        <v>2014</v>
      </c>
    </row>
    <row r="1542" spans="1:21" s="274" customFormat="1" ht="12.75" x14ac:dyDescent="0.2">
      <c r="A1542" s="274" t="s">
        <v>756</v>
      </c>
      <c r="B1542" s="274" t="s">
        <v>542</v>
      </c>
      <c r="C1542" s="274" t="s">
        <v>649</v>
      </c>
      <c r="D1542" s="295">
        <v>2014</v>
      </c>
      <c r="E1542" s="274" t="s">
        <v>650</v>
      </c>
      <c r="F1542" s="291">
        <v>209</v>
      </c>
      <c r="G1542" s="285">
        <v>0</v>
      </c>
      <c r="H1542" s="291">
        <v>0</v>
      </c>
      <c r="I1542" s="291">
        <v>0</v>
      </c>
      <c r="J1542" s="291">
        <v>149</v>
      </c>
      <c r="K1542" s="284">
        <v>0</v>
      </c>
      <c r="L1542" s="291">
        <v>0</v>
      </c>
      <c r="M1542" s="291">
        <v>0</v>
      </c>
      <c r="N1542" s="291">
        <v>172</v>
      </c>
      <c r="O1542" s="291">
        <v>0</v>
      </c>
      <c r="P1542" s="291">
        <v>400</v>
      </c>
      <c r="Q1542" s="274">
        <v>18</v>
      </c>
      <c r="R1542" s="274">
        <v>930</v>
      </c>
      <c r="S1542" s="274">
        <v>18</v>
      </c>
      <c r="T1542" s="287">
        <f t="shared" si="24"/>
        <v>2014</v>
      </c>
      <c r="U1542" s="274">
        <f>VLOOKUP(A1542,'[1]SB35 Determination Data'!$B$4:$F$542,5,FALSE)</f>
        <v>2014</v>
      </c>
    </row>
    <row r="1543" spans="1:21" s="274" customFormat="1" ht="12.75" x14ac:dyDescent="0.2">
      <c r="A1543" s="274" t="s">
        <v>756</v>
      </c>
      <c r="B1543" s="274" t="s">
        <v>542</v>
      </c>
      <c r="C1543" s="274" t="s">
        <v>649</v>
      </c>
      <c r="D1543" s="295">
        <v>2015</v>
      </c>
      <c r="E1543" s="274" t="s">
        <v>650</v>
      </c>
      <c r="F1543" s="291">
        <v>209</v>
      </c>
      <c r="G1543" s="285">
        <v>0</v>
      </c>
      <c r="H1543" s="291">
        <v>0</v>
      </c>
      <c r="I1543" s="291">
        <v>0</v>
      </c>
      <c r="J1543" s="291">
        <v>149</v>
      </c>
      <c r="K1543" s="284">
        <v>0</v>
      </c>
      <c r="L1543" s="291">
        <v>0</v>
      </c>
      <c r="M1543" s="291">
        <v>0</v>
      </c>
      <c r="N1543" s="274">
        <v>172</v>
      </c>
      <c r="O1543" s="291">
        <v>0</v>
      </c>
      <c r="P1543" s="291">
        <v>400</v>
      </c>
      <c r="Q1543" s="274">
        <v>17</v>
      </c>
      <c r="R1543" s="274">
        <v>930</v>
      </c>
      <c r="S1543" s="274">
        <v>17</v>
      </c>
      <c r="T1543" s="287">
        <f t="shared" si="24"/>
        <v>2015</v>
      </c>
      <c r="U1543" s="274">
        <f>VLOOKUP(A1543,'[1]SB35 Determination Data'!$B$4:$F$542,5,FALSE)</f>
        <v>2014</v>
      </c>
    </row>
    <row r="1544" spans="1:21" s="274" customFormat="1" ht="12.75" x14ac:dyDescent="0.2">
      <c r="A1544" s="274" t="s">
        <v>756</v>
      </c>
      <c r="B1544" s="274" t="s">
        <v>542</v>
      </c>
      <c r="C1544" s="274" t="s">
        <v>649</v>
      </c>
      <c r="D1544" s="295">
        <v>2016</v>
      </c>
      <c r="E1544" s="274" t="s">
        <v>650</v>
      </c>
      <c r="F1544" s="291">
        <v>209</v>
      </c>
      <c r="G1544" s="285">
        <v>0</v>
      </c>
      <c r="H1544" s="291">
        <v>0</v>
      </c>
      <c r="I1544" s="291">
        <v>0</v>
      </c>
      <c r="J1544" s="291">
        <v>149</v>
      </c>
      <c r="K1544" s="284">
        <v>0</v>
      </c>
      <c r="L1544" s="291">
        <v>0</v>
      </c>
      <c r="M1544" s="291">
        <v>0</v>
      </c>
      <c r="N1544" s="291">
        <v>172</v>
      </c>
      <c r="O1544" s="291">
        <v>0</v>
      </c>
      <c r="P1544" s="291">
        <v>400</v>
      </c>
      <c r="Q1544" s="274">
        <v>17</v>
      </c>
      <c r="R1544" s="274">
        <v>930</v>
      </c>
      <c r="S1544" s="274">
        <v>17</v>
      </c>
      <c r="T1544" s="287">
        <f t="shared" si="24"/>
        <v>2016</v>
      </c>
      <c r="U1544" s="274">
        <f>VLOOKUP(A1544,'[1]SB35 Determination Data'!$B$4:$F$542,5,FALSE)</f>
        <v>2014</v>
      </c>
    </row>
    <row r="1545" spans="1:21" s="274" customFormat="1" ht="12.75" x14ac:dyDescent="0.2">
      <c r="A1545" s="274" t="s">
        <v>756</v>
      </c>
      <c r="B1545" s="274" t="s">
        <v>542</v>
      </c>
      <c r="C1545" s="274" t="s">
        <v>649</v>
      </c>
      <c r="D1545" s="295">
        <v>2017</v>
      </c>
      <c r="E1545" s="274" t="s">
        <v>650</v>
      </c>
      <c r="F1545" s="291">
        <v>209</v>
      </c>
      <c r="G1545" s="285">
        <v>0</v>
      </c>
      <c r="H1545" s="291">
        <v>0</v>
      </c>
      <c r="I1545" s="291">
        <v>0</v>
      </c>
      <c r="J1545" s="291">
        <v>149</v>
      </c>
      <c r="K1545" s="284">
        <v>0</v>
      </c>
      <c r="L1545" s="291">
        <v>0</v>
      </c>
      <c r="M1545" s="291">
        <v>0</v>
      </c>
      <c r="N1545" s="291">
        <v>172</v>
      </c>
      <c r="O1545" s="291">
        <v>0</v>
      </c>
      <c r="P1545" s="291">
        <v>400</v>
      </c>
      <c r="Q1545" s="274">
        <v>37</v>
      </c>
      <c r="R1545" s="274">
        <v>930</v>
      </c>
      <c r="S1545" s="274">
        <v>37</v>
      </c>
      <c r="T1545" s="287">
        <f t="shared" si="24"/>
        <v>2017</v>
      </c>
      <c r="U1545" s="274">
        <f>VLOOKUP(A1545,'[1]SB35 Determination Data'!$B$4:$F$542,5,FALSE)</f>
        <v>2014</v>
      </c>
    </row>
    <row r="1546" spans="1:21" s="274" customFormat="1" ht="12.75" x14ac:dyDescent="0.2">
      <c r="A1546" s="274" t="s">
        <v>184</v>
      </c>
      <c r="B1546" s="274" t="s">
        <v>262</v>
      </c>
      <c r="C1546" s="274" t="s">
        <v>649</v>
      </c>
      <c r="D1546" s="295">
        <v>2018</v>
      </c>
      <c r="E1546" s="274" t="s">
        <v>650</v>
      </c>
      <c r="F1546" s="291">
        <v>31</v>
      </c>
      <c r="G1546" s="285">
        <v>0</v>
      </c>
      <c r="H1546" s="291">
        <v>0</v>
      </c>
      <c r="I1546" s="291">
        <v>0</v>
      </c>
      <c r="J1546" s="291">
        <v>19</v>
      </c>
      <c r="K1546" s="284">
        <v>0</v>
      </c>
      <c r="L1546" s="291">
        <v>0</v>
      </c>
      <c r="M1546" s="291">
        <v>0</v>
      </c>
      <c r="N1546" s="291">
        <v>20</v>
      </c>
      <c r="O1546" s="291">
        <v>0</v>
      </c>
      <c r="P1546" s="274">
        <v>45</v>
      </c>
      <c r="Q1546" s="274">
        <v>4</v>
      </c>
      <c r="R1546" s="274">
        <v>115</v>
      </c>
      <c r="S1546" s="274">
        <v>4</v>
      </c>
      <c r="T1546" s="287">
        <f t="shared" si="24"/>
        <v>2018</v>
      </c>
      <c r="U1546" s="274">
        <f>VLOOKUP(A1546,'[1]SB35 Determination Data'!$B$4:$F$542,5,FALSE)</f>
        <v>2014</v>
      </c>
    </row>
    <row r="1547" spans="1:21" s="274" customFormat="1" ht="12.75" x14ac:dyDescent="0.2">
      <c r="A1547" s="274" t="s">
        <v>40</v>
      </c>
      <c r="B1547" s="274" t="s">
        <v>40</v>
      </c>
      <c r="C1547" s="274" t="s">
        <v>654</v>
      </c>
      <c r="D1547" s="295">
        <v>2018</v>
      </c>
      <c r="E1547" s="274" t="s">
        <v>650</v>
      </c>
      <c r="F1547" s="291">
        <v>444</v>
      </c>
      <c r="G1547" s="285">
        <v>1</v>
      </c>
      <c r="H1547" s="291">
        <v>1</v>
      </c>
      <c r="I1547" s="291">
        <v>0</v>
      </c>
      <c r="J1547" s="291">
        <v>248</v>
      </c>
      <c r="K1547" s="284">
        <v>0</v>
      </c>
      <c r="L1547" s="291">
        <v>0</v>
      </c>
      <c r="M1547" s="291">
        <v>0</v>
      </c>
      <c r="N1547" s="291">
        <v>283</v>
      </c>
      <c r="O1547" s="291">
        <v>0</v>
      </c>
      <c r="P1547" s="274">
        <v>748</v>
      </c>
      <c r="Q1547" s="274">
        <v>180</v>
      </c>
      <c r="R1547" s="274">
        <v>1723</v>
      </c>
      <c r="S1547" s="274">
        <v>181</v>
      </c>
      <c r="T1547" s="287">
        <f t="shared" si="24"/>
        <v>2018</v>
      </c>
      <c r="U1547" s="274">
        <f>VLOOKUP(A1547,'[1]SB35 Determination Data'!$B$4:$F$542,5,FALSE)</f>
        <v>2015</v>
      </c>
    </row>
    <row r="1548" spans="1:21" s="274" customFormat="1" ht="12.75" x14ac:dyDescent="0.2">
      <c r="A1548" s="274" t="s">
        <v>144</v>
      </c>
      <c r="B1548" s="274" t="s">
        <v>40</v>
      </c>
      <c r="C1548" s="274" t="s">
        <v>654</v>
      </c>
      <c r="D1548" s="295">
        <v>2018</v>
      </c>
      <c r="E1548" s="274" t="s">
        <v>650</v>
      </c>
      <c r="F1548" s="291">
        <v>430</v>
      </c>
      <c r="G1548" s="285">
        <v>0</v>
      </c>
      <c r="H1548" s="291">
        <v>0</v>
      </c>
      <c r="I1548" s="291">
        <v>0</v>
      </c>
      <c r="J1548" s="291">
        <v>227</v>
      </c>
      <c r="K1548" s="284">
        <v>11</v>
      </c>
      <c r="L1548" s="291">
        <v>0</v>
      </c>
      <c r="M1548" s="291">
        <v>11</v>
      </c>
      <c r="N1548" s="291">
        <v>295</v>
      </c>
      <c r="O1548" s="291">
        <v>0</v>
      </c>
      <c r="P1548" s="274">
        <v>817</v>
      </c>
      <c r="Q1548" s="274">
        <v>108</v>
      </c>
      <c r="R1548" s="274">
        <v>1769</v>
      </c>
      <c r="S1548" s="274">
        <v>119</v>
      </c>
      <c r="T1548" s="287">
        <f t="shared" si="24"/>
        <v>2018</v>
      </c>
      <c r="U1548" s="274">
        <f>VLOOKUP(A1548,'[1]SB35 Determination Data'!$B$4:$F$542,5,FALSE)</f>
        <v>2015</v>
      </c>
    </row>
    <row r="1549" spans="1:21" s="274" customFormat="1" ht="12.75" x14ac:dyDescent="0.2">
      <c r="A1549" s="274" t="s">
        <v>145</v>
      </c>
      <c r="B1549" s="274" t="s">
        <v>40</v>
      </c>
      <c r="C1549" s="274" t="s">
        <v>654</v>
      </c>
      <c r="D1549" s="295">
        <v>2018</v>
      </c>
      <c r="E1549" s="274" t="s">
        <v>650</v>
      </c>
      <c r="F1549" s="291">
        <v>80</v>
      </c>
      <c r="G1549" s="285">
        <v>0</v>
      </c>
      <c r="H1549" s="291">
        <v>0</v>
      </c>
      <c r="I1549" s="291">
        <v>0</v>
      </c>
      <c r="J1549" s="291">
        <v>53</v>
      </c>
      <c r="K1549" s="284">
        <v>0</v>
      </c>
      <c r="L1549" s="291">
        <v>0</v>
      </c>
      <c r="M1549" s="291">
        <v>0</v>
      </c>
      <c r="N1549" s="274">
        <v>57</v>
      </c>
      <c r="O1549" s="291">
        <v>17</v>
      </c>
      <c r="P1549" s="274">
        <v>145</v>
      </c>
      <c r="Q1549" s="274">
        <v>0</v>
      </c>
      <c r="R1549" s="274">
        <v>335</v>
      </c>
      <c r="S1549" s="274">
        <v>17</v>
      </c>
      <c r="T1549" s="287">
        <f t="shared" si="24"/>
        <v>2018</v>
      </c>
      <c r="U1549" s="274">
        <f>VLOOKUP(A1549,'[1]SB35 Determination Data'!$B$4:$F$542,5,FALSE)</f>
        <v>2015</v>
      </c>
    </row>
    <row r="1550" spans="1:21" s="274" customFormat="1" ht="12.75" x14ac:dyDescent="0.2">
      <c r="A1550" s="274" t="s">
        <v>188</v>
      </c>
      <c r="B1550" s="274" t="s">
        <v>262</v>
      </c>
      <c r="C1550" s="274" t="s">
        <v>649</v>
      </c>
      <c r="D1550" s="295">
        <v>2018</v>
      </c>
      <c r="E1550" s="274" t="s">
        <v>650</v>
      </c>
      <c r="F1550" s="291">
        <v>380</v>
      </c>
      <c r="G1550" s="285">
        <v>0</v>
      </c>
      <c r="H1550" s="291">
        <v>0</v>
      </c>
      <c r="I1550" s="291">
        <v>0</v>
      </c>
      <c r="J1550" s="291">
        <v>224</v>
      </c>
      <c r="K1550" s="284">
        <v>2</v>
      </c>
      <c r="L1550" s="291">
        <v>2</v>
      </c>
      <c r="M1550" s="291">
        <v>0</v>
      </c>
      <c r="N1550" s="291">
        <v>246</v>
      </c>
      <c r="O1550" s="291">
        <v>0</v>
      </c>
      <c r="P1550" s="274">
        <v>642</v>
      </c>
      <c r="Q1550" s="274">
        <v>11</v>
      </c>
      <c r="R1550" s="274">
        <v>1492</v>
      </c>
      <c r="S1550" s="274">
        <v>13</v>
      </c>
      <c r="T1550" s="287">
        <f t="shared" si="24"/>
        <v>2018</v>
      </c>
      <c r="U1550" s="274">
        <f>VLOOKUP(A1550,'[1]SB35 Determination Data'!$B$4:$F$542,5,FALSE)</f>
        <v>2014</v>
      </c>
    </row>
    <row r="1551" spans="1:21" s="274" customFormat="1" ht="12.75" x14ac:dyDescent="0.2">
      <c r="A1551" s="274" t="s">
        <v>191</v>
      </c>
      <c r="B1551" s="274" t="s">
        <v>436</v>
      </c>
      <c r="C1551" s="274" t="s">
        <v>649</v>
      </c>
      <c r="D1551" s="295">
        <v>2018</v>
      </c>
      <c r="E1551" s="274" t="s">
        <v>650</v>
      </c>
      <c r="F1551" s="291">
        <v>9</v>
      </c>
      <c r="G1551" s="285"/>
      <c r="H1551" s="291"/>
      <c r="I1551" s="291"/>
      <c r="J1551" s="291">
        <v>7</v>
      </c>
      <c r="K1551" s="284"/>
      <c r="L1551" s="291"/>
      <c r="M1551" s="291"/>
      <c r="N1551" s="291">
        <v>7</v>
      </c>
      <c r="O1551" s="291"/>
      <c r="P1551" s="274">
        <v>16</v>
      </c>
      <c r="R1551" s="274">
        <v>39</v>
      </c>
      <c r="T1551" s="287">
        <f t="shared" si="24"/>
        <v>2018</v>
      </c>
      <c r="U1551" s="274">
        <f>VLOOKUP(A1551,'[1]SB35 Determination Data'!$B$4:$F$542,5,FALSE)</f>
        <v>2014</v>
      </c>
    </row>
    <row r="1552" spans="1:21" s="274" customFormat="1" ht="12.75" x14ac:dyDescent="0.2">
      <c r="A1552" s="274" t="s">
        <v>192</v>
      </c>
      <c r="B1552" s="274" t="s">
        <v>68</v>
      </c>
      <c r="C1552" s="274" t="s">
        <v>660</v>
      </c>
      <c r="D1552" s="295">
        <v>2018</v>
      </c>
      <c r="E1552" s="274" t="s">
        <v>650</v>
      </c>
      <c r="F1552" s="291">
        <v>7</v>
      </c>
      <c r="G1552" s="285">
        <v>0</v>
      </c>
      <c r="H1552" s="291">
        <v>0</v>
      </c>
      <c r="I1552" s="291">
        <v>0</v>
      </c>
      <c r="J1552" s="291">
        <v>6</v>
      </c>
      <c r="K1552" s="284">
        <v>1</v>
      </c>
      <c r="L1552" s="291">
        <v>0</v>
      </c>
      <c r="M1552" s="291">
        <v>1</v>
      </c>
      <c r="N1552" s="291">
        <v>6</v>
      </c>
      <c r="O1552" s="291">
        <v>0</v>
      </c>
      <c r="P1552" s="274">
        <v>11</v>
      </c>
      <c r="Q1552" s="274">
        <v>0</v>
      </c>
      <c r="R1552" s="274">
        <v>30</v>
      </c>
      <c r="S1552" s="274">
        <v>1</v>
      </c>
      <c r="T1552" s="287">
        <f t="shared" si="24"/>
        <v>2018</v>
      </c>
      <c r="U1552" s="274">
        <f>VLOOKUP(A1552,'[1]SB35 Determination Data'!$B$4:$F$542,5,FALSE)</f>
        <v>2014</v>
      </c>
    </row>
    <row r="1553" spans="1:21" s="274" customFormat="1" ht="12.75" x14ac:dyDescent="0.2">
      <c r="A1553" s="274" t="s">
        <v>198</v>
      </c>
      <c r="B1553" s="274" t="s">
        <v>90</v>
      </c>
      <c r="C1553" s="274" t="s">
        <v>660</v>
      </c>
      <c r="D1553" s="295">
        <v>2018</v>
      </c>
      <c r="E1553" s="274" t="s">
        <v>650</v>
      </c>
      <c r="F1553" s="291">
        <v>10</v>
      </c>
      <c r="G1553" s="285">
        <v>1</v>
      </c>
      <c r="H1553" s="291">
        <v>0</v>
      </c>
      <c r="I1553" s="291">
        <v>1</v>
      </c>
      <c r="J1553" s="291">
        <v>7</v>
      </c>
      <c r="K1553" s="284">
        <v>4</v>
      </c>
      <c r="L1553" s="291">
        <v>0</v>
      </c>
      <c r="M1553" s="291">
        <v>4</v>
      </c>
      <c r="N1553" s="291">
        <v>9</v>
      </c>
      <c r="O1553" s="291">
        <v>21</v>
      </c>
      <c r="P1553" s="274">
        <v>23</v>
      </c>
      <c r="Q1553" s="274">
        <v>7</v>
      </c>
      <c r="R1553" s="274">
        <v>49</v>
      </c>
      <c r="S1553" s="274">
        <v>33</v>
      </c>
      <c r="T1553" s="287">
        <f t="shared" si="24"/>
        <v>2018</v>
      </c>
      <c r="U1553" s="274">
        <f>VLOOKUP(A1553,'[1]SB35 Determination Data'!$B$4:$F$542,5,FALSE)</f>
        <v>2014</v>
      </c>
    </row>
    <row r="1554" spans="1:21" s="274" customFormat="1" ht="12.75" x14ac:dyDescent="0.2">
      <c r="A1554" s="274" t="s">
        <v>199</v>
      </c>
      <c r="B1554" s="274" t="s">
        <v>411</v>
      </c>
      <c r="C1554" s="274" t="s">
        <v>654</v>
      </c>
      <c r="D1554" s="295">
        <v>2018</v>
      </c>
      <c r="E1554" s="274" t="s">
        <v>650</v>
      </c>
      <c r="F1554" s="291">
        <v>116</v>
      </c>
      <c r="G1554" s="285">
        <v>8</v>
      </c>
      <c r="H1554" s="291">
        <v>8</v>
      </c>
      <c r="I1554" s="291">
        <v>0</v>
      </c>
      <c r="J1554" s="291">
        <v>54</v>
      </c>
      <c r="K1554" s="284">
        <v>11</v>
      </c>
      <c r="L1554" s="291">
        <v>8</v>
      </c>
      <c r="M1554" s="291">
        <v>3</v>
      </c>
      <c r="N1554" s="291">
        <v>58</v>
      </c>
      <c r="O1554" s="291">
        <v>0</v>
      </c>
      <c r="P1554" s="274">
        <v>164</v>
      </c>
      <c r="Q1554" s="274">
        <v>143</v>
      </c>
      <c r="R1554" s="274">
        <v>392</v>
      </c>
      <c r="S1554" s="274">
        <v>162</v>
      </c>
      <c r="T1554" s="287">
        <f t="shared" si="24"/>
        <v>2018</v>
      </c>
      <c r="U1554" s="274">
        <f>VLOOKUP(A1554,'[1]SB35 Determination Data'!$B$4:$F$542,5,FALSE)</f>
        <v>2015</v>
      </c>
    </row>
    <row r="1555" spans="1:21" s="274" customFormat="1" ht="12.75" x14ac:dyDescent="0.2">
      <c r="A1555" s="274" t="s">
        <v>200</v>
      </c>
      <c r="B1555" s="274" t="s">
        <v>436</v>
      </c>
      <c r="C1555" s="274" t="s">
        <v>649</v>
      </c>
      <c r="D1555" s="295">
        <v>2018</v>
      </c>
      <c r="E1555" s="274" t="s">
        <v>650</v>
      </c>
      <c r="F1555" s="291">
        <v>1256</v>
      </c>
      <c r="G1555" s="285">
        <v>0</v>
      </c>
      <c r="H1555" s="291">
        <v>0</v>
      </c>
      <c r="I1555" s="291">
        <v>0</v>
      </c>
      <c r="J1555" s="291">
        <v>907</v>
      </c>
      <c r="K1555" s="284">
        <v>0</v>
      </c>
      <c r="L1555" s="291">
        <v>0</v>
      </c>
      <c r="M1555" s="291">
        <v>0</v>
      </c>
      <c r="N1555" s="274">
        <v>1038</v>
      </c>
      <c r="O1555" s="291">
        <v>5</v>
      </c>
      <c r="P1555" s="274">
        <v>2501</v>
      </c>
      <c r="Q1555" s="274">
        <v>944</v>
      </c>
      <c r="R1555" s="274">
        <v>5702</v>
      </c>
      <c r="S1555" s="274">
        <v>949</v>
      </c>
      <c r="T1555" s="287">
        <f t="shared" si="24"/>
        <v>2018</v>
      </c>
      <c r="U1555" s="274">
        <f>VLOOKUP(A1555,'[1]SB35 Determination Data'!$B$4:$F$542,5,FALSE)</f>
        <v>2014</v>
      </c>
    </row>
    <row r="1556" spans="1:21" s="274" customFormat="1" ht="12.75" x14ac:dyDescent="0.2">
      <c r="A1556" s="274" t="s">
        <v>201</v>
      </c>
      <c r="B1556" s="274" t="s">
        <v>631</v>
      </c>
      <c r="C1556" s="274" t="s">
        <v>660</v>
      </c>
      <c r="D1556" s="295">
        <v>2018</v>
      </c>
      <c r="E1556" s="274" t="s">
        <v>650</v>
      </c>
      <c r="F1556" s="291">
        <v>32</v>
      </c>
      <c r="G1556" s="285">
        <v>0</v>
      </c>
      <c r="H1556" s="291">
        <v>0</v>
      </c>
      <c r="I1556" s="291">
        <v>0</v>
      </c>
      <c r="J1556" s="291">
        <v>21</v>
      </c>
      <c r="K1556" s="284">
        <v>1</v>
      </c>
      <c r="L1556" s="291">
        <v>0</v>
      </c>
      <c r="M1556" s="291">
        <v>1</v>
      </c>
      <c r="N1556" s="291">
        <v>24</v>
      </c>
      <c r="O1556" s="291">
        <v>1</v>
      </c>
      <c r="P1556" s="274">
        <v>59</v>
      </c>
      <c r="Q1556" s="274">
        <v>27</v>
      </c>
      <c r="R1556" s="274">
        <v>136</v>
      </c>
      <c r="S1556" s="274">
        <v>29</v>
      </c>
      <c r="T1556" s="287">
        <f t="shared" si="24"/>
        <v>2018</v>
      </c>
      <c r="U1556" s="274">
        <f>VLOOKUP(A1556,'[1]SB35 Determination Data'!$B$4:$F$542,5,FALSE)</f>
        <v>2014</v>
      </c>
    </row>
    <row r="1557" spans="1:21" s="274" customFormat="1" ht="12.75" x14ac:dyDescent="0.2">
      <c r="A1557" s="274" t="s">
        <v>202</v>
      </c>
      <c r="B1557" s="274" t="s">
        <v>118</v>
      </c>
      <c r="C1557" s="274" t="s">
        <v>660</v>
      </c>
      <c r="D1557" s="295">
        <v>2018</v>
      </c>
      <c r="E1557" s="274" t="s">
        <v>650</v>
      </c>
      <c r="F1557" s="291">
        <v>39</v>
      </c>
      <c r="G1557" s="285">
        <v>1</v>
      </c>
      <c r="H1557" s="291">
        <v>0</v>
      </c>
      <c r="I1557" s="291">
        <v>1</v>
      </c>
      <c r="J1557" s="291">
        <v>25</v>
      </c>
      <c r="K1557" s="284">
        <v>0</v>
      </c>
      <c r="L1557" s="291">
        <v>0</v>
      </c>
      <c r="M1557" s="291">
        <v>0</v>
      </c>
      <c r="N1557" s="291">
        <v>28</v>
      </c>
      <c r="O1557" s="291">
        <v>1</v>
      </c>
      <c r="P1557" s="274">
        <v>69</v>
      </c>
      <c r="Q1557" s="274">
        <v>19</v>
      </c>
      <c r="R1557" s="274">
        <v>161</v>
      </c>
      <c r="S1557" s="274">
        <v>21</v>
      </c>
      <c r="T1557" s="287">
        <f t="shared" si="24"/>
        <v>2018</v>
      </c>
      <c r="U1557" s="274">
        <f>VLOOKUP(A1557,'[1]SB35 Determination Data'!$B$4:$F$542,5,FALSE)</f>
        <v>2014</v>
      </c>
    </row>
    <row r="1558" spans="1:21" s="274" customFormat="1" ht="12.75" x14ac:dyDescent="0.2">
      <c r="A1558" s="274" t="s">
        <v>203</v>
      </c>
      <c r="B1558" s="274" t="s">
        <v>120</v>
      </c>
      <c r="C1558" s="274" t="s">
        <v>654</v>
      </c>
      <c r="D1558" s="295">
        <v>2018</v>
      </c>
      <c r="E1558" s="274" t="s">
        <v>650</v>
      </c>
      <c r="F1558" s="291">
        <v>349</v>
      </c>
      <c r="G1558" s="285">
        <v>1</v>
      </c>
      <c r="H1558" s="291">
        <v>0</v>
      </c>
      <c r="I1558" s="291">
        <v>1</v>
      </c>
      <c r="J1558" s="291">
        <v>205</v>
      </c>
      <c r="K1558" s="284">
        <v>1</v>
      </c>
      <c r="L1558" s="291">
        <v>0</v>
      </c>
      <c r="M1558" s="291">
        <v>1</v>
      </c>
      <c r="N1558" s="291">
        <v>214</v>
      </c>
      <c r="O1558" s="291">
        <v>0</v>
      </c>
      <c r="P1558" s="274">
        <v>680</v>
      </c>
      <c r="Q1558" s="274">
        <v>119</v>
      </c>
      <c r="R1558" s="274">
        <v>1448</v>
      </c>
      <c r="S1558" s="274">
        <v>121</v>
      </c>
      <c r="T1558" s="287">
        <f t="shared" si="24"/>
        <v>2018</v>
      </c>
      <c r="U1558" s="274">
        <f>VLOOKUP(A1558,'[1]SB35 Determination Data'!$B$4:$F$542,5,FALSE)</f>
        <v>2015</v>
      </c>
    </row>
    <row r="1559" spans="1:21" s="274" customFormat="1" ht="12.75" x14ac:dyDescent="0.2">
      <c r="A1559" s="274" t="s">
        <v>206</v>
      </c>
      <c r="B1559" s="274" t="s">
        <v>262</v>
      </c>
      <c r="C1559" s="274" t="s">
        <v>649</v>
      </c>
      <c r="D1559" s="295">
        <v>2018</v>
      </c>
      <c r="E1559" s="274" t="s">
        <v>650</v>
      </c>
      <c r="F1559" s="291">
        <v>276</v>
      </c>
      <c r="G1559" s="285">
        <v>0</v>
      </c>
      <c r="H1559" s="291">
        <v>0</v>
      </c>
      <c r="I1559" s="291">
        <v>0</v>
      </c>
      <c r="J1559" s="291">
        <v>167</v>
      </c>
      <c r="K1559" s="284">
        <v>0</v>
      </c>
      <c r="L1559" s="291">
        <v>0</v>
      </c>
      <c r="M1559" s="291">
        <v>0</v>
      </c>
      <c r="N1559" s="274">
        <v>177</v>
      </c>
      <c r="O1559" s="291">
        <v>0</v>
      </c>
      <c r="P1559" s="274">
        <v>434</v>
      </c>
      <c r="Q1559" s="274">
        <v>69</v>
      </c>
      <c r="R1559" s="274">
        <v>1054</v>
      </c>
      <c r="S1559" s="274">
        <v>69</v>
      </c>
      <c r="T1559" s="287">
        <f t="shared" si="24"/>
        <v>2018</v>
      </c>
      <c r="U1559" s="274">
        <f>VLOOKUP(A1559,'[1]SB35 Determination Data'!$B$4:$F$542,5,FALSE)</f>
        <v>2014</v>
      </c>
    </row>
    <row r="1560" spans="1:21" s="274" customFormat="1" ht="12.75" x14ac:dyDescent="0.2">
      <c r="A1560" s="274" t="s">
        <v>207</v>
      </c>
      <c r="B1560" s="274" t="s">
        <v>171</v>
      </c>
      <c r="C1560" s="274" t="s">
        <v>660</v>
      </c>
      <c r="D1560" s="295">
        <v>2018</v>
      </c>
      <c r="E1560" s="274" t="s">
        <v>650</v>
      </c>
      <c r="F1560" s="291">
        <v>85</v>
      </c>
      <c r="G1560" s="285">
        <v>0</v>
      </c>
      <c r="H1560" s="291">
        <v>0</v>
      </c>
      <c r="I1560" s="291">
        <v>0</v>
      </c>
      <c r="J1560" s="291">
        <v>56</v>
      </c>
      <c r="K1560" s="284">
        <v>0</v>
      </c>
      <c r="L1560" s="291">
        <v>0</v>
      </c>
      <c r="M1560" s="291">
        <v>0</v>
      </c>
      <c r="N1560" s="291">
        <v>62</v>
      </c>
      <c r="O1560" s="291">
        <v>40</v>
      </c>
      <c r="P1560" s="274">
        <v>160</v>
      </c>
      <c r="Q1560" s="274">
        <v>32</v>
      </c>
      <c r="R1560" s="274">
        <v>363</v>
      </c>
      <c r="S1560" s="274">
        <v>72</v>
      </c>
      <c r="T1560" s="287">
        <f t="shared" si="24"/>
        <v>2018</v>
      </c>
      <c r="U1560" s="274">
        <f>VLOOKUP(A1560,'[1]SB35 Determination Data'!$B$4:$F$542,5,FALSE)</f>
        <v>2014</v>
      </c>
    </row>
    <row r="1561" spans="1:21" s="274" customFormat="1" ht="12.75" x14ac:dyDescent="0.2">
      <c r="A1561" s="274" t="s">
        <v>208</v>
      </c>
      <c r="B1561" s="274" t="s">
        <v>583</v>
      </c>
      <c r="C1561" s="274" t="s">
        <v>660</v>
      </c>
      <c r="D1561" s="295">
        <v>2018</v>
      </c>
      <c r="E1561" s="274" t="s">
        <v>650</v>
      </c>
      <c r="F1561" s="291">
        <v>60</v>
      </c>
      <c r="G1561" s="285">
        <v>0</v>
      </c>
      <c r="H1561" s="291">
        <v>0</v>
      </c>
      <c r="I1561" s="291">
        <v>0</v>
      </c>
      <c r="J1561" s="291">
        <v>38</v>
      </c>
      <c r="K1561" s="284">
        <v>13</v>
      </c>
      <c r="L1561" s="291">
        <v>0</v>
      </c>
      <c r="M1561" s="291">
        <v>13</v>
      </c>
      <c r="N1561" s="291">
        <v>43</v>
      </c>
      <c r="O1561" s="291">
        <v>0</v>
      </c>
      <c r="P1561" s="274">
        <v>101</v>
      </c>
      <c r="Q1561" s="274">
        <v>22</v>
      </c>
      <c r="R1561" s="274">
        <v>242</v>
      </c>
      <c r="S1561" s="274">
        <v>35</v>
      </c>
      <c r="T1561" s="287">
        <f t="shared" si="24"/>
        <v>2018</v>
      </c>
      <c r="U1561" s="274">
        <f>VLOOKUP(A1561,'[1]SB35 Determination Data'!$B$4:$F$542,5,FALSE)</f>
        <v>2014</v>
      </c>
    </row>
    <row r="1562" spans="1:21" s="274" customFormat="1" ht="12.75" x14ac:dyDescent="0.2">
      <c r="A1562" s="274" t="s">
        <v>209</v>
      </c>
      <c r="B1562" s="274" t="s">
        <v>262</v>
      </c>
      <c r="C1562" s="274" t="s">
        <v>649</v>
      </c>
      <c r="D1562" s="295">
        <v>2018</v>
      </c>
      <c r="E1562" s="274" t="s">
        <v>650</v>
      </c>
      <c r="F1562" s="291">
        <v>31</v>
      </c>
      <c r="G1562" s="285">
        <v>0</v>
      </c>
      <c r="H1562" s="291">
        <v>0</v>
      </c>
      <c r="I1562" s="291">
        <v>0</v>
      </c>
      <c r="J1562" s="291">
        <v>18</v>
      </c>
      <c r="K1562" s="284">
        <v>0</v>
      </c>
      <c r="L1562" s="291">
        <v>0</v>
      </c>
      <c r="M1562" s="291">
        <v>0</v>
      </c>
      <c r="N1562" s="291">
        <v>20</v>
      </c>
      <c r="O1562" s="291">
        <v>0</v>
      </c>
      <c r="P1562" s="274">
        <v>51</v>
      </c>
      <c r="Q1562" s="274">
        <v>7</v>
      </c>
      <c r="R1562" s="274">
        <v>120</v>
      </c>
      <c r="S1562" s="274">
        <v>7</v>
      </c>
      <c r="T1562" s="287">
        <f t="shared" si="24"/>
        <v>2018</v>
      </c>
      <c r="U1562" s="274">
        <f>VLOOKUP(A1562,'[1]SB35 Determination Data'!$B$4:$F$542,5,FALSE)</f>
        <v>2014</v>
      </c>
    </row>
    <row r="1563" spans="1:21" s="274" customFormat="1" ht="12.75" x14ac:dyDescent="0.2">
      <c r="A1563" s="274" t="s">
        <v>210</v>
      </c>
      <c r="B1563" s="274" t="s">
        <v>220</v>
      </c>
      <c r="C1563" s="274" t="s">
        <v>531</v>
      </c>
      <c r="D1563" s="295">
        <v>2018</v>
      </c>
      <c r="E1563" s="274" t="s">
        <v>650</v>
      </c>
      <c r="F1563" s="291">
        <v>398</v>
      </c>
      <c r="G1563" s="285">
        <v>0</v>
      </c>
      <c r="H1563" s="291">
        <v>0</v>
      </c>
      <c r="I1563" s="291">
        <v>0</v>
      </c>
      <c r="J1563" s="291">
        <v>239</v>
      </c>
      <c r="K1563" s="284">
        <v>0</v>
      </c>
      <c r="L1563" s="291">
        <v>0</v>
      </c>
      <c r="M1563" s="291">
        <v>0</v>
      </c>
      <c r="N1563" s="291">
        <v>183</v>
      </c>
      <c r="O1563" s="291">
        <v>102</v>
      </c>
      <c r="P1563" s="274">
        <v>349</v>
      </c>
      <c r="Q1563" s="274">
        <v>0</v>
      </c>
      <c r="R1563" s="274">
        <v>1169</v>
      </c>
      <c r="S1563" s="274">
        <v>102</v>
      </c>
      <c r="T1563" s="287">
        <f t="shared" si="24"/>
        <v>2018</v>
      </c>
      <c r="U1563" s="274">
        <f>VLOOKUP(A1563,'[1]SB35 Determination Data'!$B$4:$F$542,5,FALSE)</f>
        <v>2016</v>
      </c>
    </row>
    <row r="1564" spans="1:21" s="274" customFormat="1" ht="12.75" x14ac:dyDescent="0.2">
      <c r="A1564" s="274" t="s">
        <v>211</v>
      </c>
      <c r="B1564" s="274" t="s">
        <v>583</v>
      </c>
      <c r="C1564" s="274" t="s">
        <v>660</v>
      </c>
      <c r="D1564" s="295">
        <v>2018</v>
      </c>
      <c r="E1564" s="274" t="s">
        <v>650</v>
      </c>
      <c r="F1564" s="291">
        <v>98</v>
      </c>
      <c r="G1564" s="285">
        <v>0</v>
      </c>
      <c r="H1564" s="291">
        <v>0</v>
      </c>
      <c r="I1564" s="291">
        <v>0</v>
      </c>
      <c r="J1564" s="291">
        <v>62</v>
      </c>
      <c r="K1564" s="284">
        <v>0</v>
      </c>
      <c r="L1564" s="291">
        <v>0</v>
      </c>
      <c r="M1564" s="291">
        <v>0</v>
      </c>
      <c r="N1564" s="274">
        <v>69</v>
      </c>
      <c r="O1564" s="291">
        <v>7</v>
      </c>
      <c r="P1564" s="274">
        <v>164</v>
      </c>
      <c r="Q1564" s="274">
        <v>12</v>
      </c>
      <c r="R1564" s="274">
        <v>393</v>
      </c>
      <c r="S1564" s="274">
        <v>19</v>
      </c>
      <c r="T1564" s="287">
        <f t="shared" si="24"/>
        <v>2018</v>
      </c>
      <c r="U1564" s="274">
        <f>VLOOKUP(A1564,'[1]SB35 Determination Data'!$B$4:$F$542,5,FALSE)</f>
        <v>2014</v>
      </c>
    </row>
    <row r="1565" spans="1:21" s="274" customFormat="1" ht="12.75" x14ac:dyDescent="0.2">
      <c r="A1565" s="274" t="s">
        <v>212</v>
      </c>
      <c r="B1565" s="274" t="s">
        <v>595</v>
      </c>
      <c r="C1565" s="274" t="s">
        <v>654</v>
      </c>
      <c r="D1565" s="295">
        <v>2018</v>
      </c>
      <c r="E1565" s="274" t="s">
        <v>650</v>
      </c>
      <c r="F1565" s="291">
        <v>35</v>
      </c>
      <c r="G1565" s="285">
        <v>3</v>
      </c>
      <c r="H1565" s="291">
        <v>0</v>
      </c>
      <c r="I1565" s="291">
        <v>3</v>
      </c>
      <c r="J1565" s="291">
        <v>26</v>
      </c>
      <c r="K1565" s="284">
        <v>2</v>
      </c>
      <c r="L1565" s="291">
        <v>0</v>
      </c>
      <c r="M1565" s="291">
        <v>2</v>
      </c>
      <c r="N1565" s="291">
        <v>29</v>
      </c>
      <c r="O1565" s="291">
        <v>1</v>
      </c>
      <c r="P1565" s="274">
        <v>3</v>
      </c>
      <c r="Q1565" s="274">
        <v>28</v>
      </c>
      <c r="R1565" s="274">
        <v>93</v>
      </c>
      <c r="S1565" s="274">
        <v>34</v>
      </c>
      <c r="T1565" s="287">
        <f t="shared" si="24"/>
        <v>2018</v>
      </c>
      <c r="U1565" s="274">
        <f>VLOOKUP(A1565,'[1]SB35 Determination Data'!$B$4:$F$542,5,FALSE)</f>
        <v>2015</v>
      </c>
    </row>
    <row r="1566" spans="1:21" s="274" customFormat="1" ht="12.75" x14ac:dyDescent="0.2">
      <c r="A1566" s="274" t="s">
        <v>213</v>
      </c>
      <c r="B1566" s="274" t="s">
        <v>353</v>
      </c>
      <c r="C1566" s="274" t="s">
        <v>682</v>
      </c>
      <c r="D1566" s="295">
        <v>2018</v>
      </c>
      <c r="E1566" s="274" t="s">
        <v>650</v>
      </c>
      <c r="F1566" s="291">
        <v>429</v>
      </c>
      <c r="G1566" s="285">
        <v>0</v>
      </c>
      <c r="H1566" s="291">
        <v>0</v>
      </c>
      <c r="I1566" s="291">
        <v>0</v>
      </c>
      <c r="J1566" s="291">
        <v>307</v>
      </c>
      <c r="K1566" s="284">
        <v>0</v>
      </c>
      <c r="L1566" s="291">
        <v>0</v>
      </c>
      <c r="M1566" s="291">
        <v>0</v>
      </c>
      <c r="N1566" s="291">
        <v>281</v>
      </c>
      <c r="O1566" s="291">
        <v>0</v>
      </c>
      <c r="P1566" s="274">
        <v>748</v>
      </c>
      <c r="Q1566" s="274">
        <v>16</v>
      </c>
      <c r="R1566" s="274">
        <v>1765</v>
      </c>
      <c r="S1566" s="274">
        <v>16</v>
      </c>
      <c r="T1566" s="287">
        <f t="shared" si="24"/>
        <v>2018</v>
      </c>
      <c r="U1566" s="274">
        <f>VLOOKUP(A1566,'[1]SB35 Determination Data'!$B$4:$F$542,5,FALSE)</f>
        <v>2016</v>
      </c>
    </row>
    <row r="1567" spans="1:21" s="274" customFormat="1" ht="12.75" x14ac:dyDescent="0.2">
      <c r="A1567" s="274" t="s">
        <v>214</v>
      </c>
      <c r="B1567" s="274" t="s">
        <v>451</v>
      </c>
      <c r="C1567" s="274" t="s">
        <v>685</v>
      </c>
      <c r="D1567" s="295">
        <v>2018</v>
      </c>
      <c r="E1567" s="274" t="s">
        <v>650</v>
      </c>
      <c r="F1567" s="291">
        <v>74</v>
      </c>
      <c r="G1567" s="285">
        <v>0</v>
      </c>
      <c r="H1567" s="291">
        <v>0</v>
      </c>
      <c r="I1567" s="291">
        <v>0</v>
      </c>
      <c r="J1567" s="291">
        <v>52</v>
      </c>
      <c r="K1567" s="284">
        <v>1</v>
      </c>
      <c r="L1567" s="291">
        <v>0</v>
      </c>
      <c r="M1567" s="291">
        <v>1</v>
      </c>
      <c r="N1567" s="291">
        <v>57</v>
      </c>
      <c r="O1567" s="291">
        <v>6</v>
      </c>
      <c r="P1567" s="274">
        <v>125</v>
      </c>
      <c r="Q1567" s="274">
        <v>26</v>
      </c>
      <c r="R1567" s="274">
        <v>308</v>
      </c>
      <c r="S1567" s="274">
        <v>33</v>
      </c>
      <c r="T1567" s="287">
        <f t="shared" si="24"/>
        <v>2018</v>
      </c>
      <c r="U1567" s="274">
        <f>VLOOKUP(A1567,'[1]SB35 Determination Data'!$B$4:$F$542,5,FALSE)</f>
        <v>2014</v>
      </c>
    </row>
    <row r="1568" spans="1:21" s="274" customFormat="1" ht="12.75" x14ac:dyDescent="0.2">
      <c r="A1568" s="274" t="s">
        <v>215</v>
      </c>
      <c r="B1568" s="274" t="s">
        <v>262</v>
      </c>
      <c r="C1568" s="274" t="s">
        <v>649</v>
      </c>
      <c r="D1568" s="295">
        <v>2018</v>
      </c>
      <c r="E1568" s="274" t="s">
        <v>650</v>
      </c>
      <c r="F1568" s="291">
        <v>20</v>
      </c>
      <c r="G1568" s="285"/>
      <c r="H1568" s="291"/>
      <c r="I1568" s="291"/>
      <c r="J1568" s="291">
        <v>12</v>
      </c>
      <c r="K1568" s="284"/>
      <c r="L1568" s="291"/>
      <c r="M1568" s="291"/>
      <c r="N1568" s="274">
        <v>14</v>
      </c>
      <c r="O1568" s="291"/>
      <c r="P1568" s="274">
        <v>34</v>
      </c>
      <c r="R1568" s="274">
        <v>80</v>
      </c>
      <c r="T1568" s="287">
        <f t="shared" si="24"/>
        <v>2018</v>
      </c>
      <c r="U1568" s="274">
        <f>VLOOKUP(A1568,'[1]SB35 Determination Data'!$B$4:$F$542,5,FALSE)</f>
        <v>2014</v>
      </c>
    </row>
    <row r="1569" spans="1:21" s="274" customFormat="1" ht="12.75" x14ac:dyDescent="0.2">
      <c r="A1569" s="274" t="s">
        <v>216</v>
      </c>
      <c r="B1569" s="274" t="s">
        <v>229</v>
      </c>
      <c r="C1569" s="274" t="s">
        <v>693</v>
      </c>
      <c r="D1569" s="295">
        <v>2018</v>
      </c>
      <c r="E1569" s="274" t="s">
        <v>650</v>
      </c>
      <c r="F1569" s="291">
        <v>145</v>
      </c>
      <c r="G1569" s="285">
        <v>0</v>
      </c>
      <c r="H1569" s="291">
        <v>0</v>
      </c>
      <c r="I1569" s="291">
        <v>0</v>
      </c>
      <c r="J1569" s="291">
        <v>108</v>
      </c>
      <c r="K1569" s="284">
        <v>36</v>
      </c>
      <c r="L1569" s="291">
        <v>36</v>
      </c>
      <c r="M1569" s="291">
        <v>0</v>
      </c>
      <c r="N1569" s="274">
        <v>115</v>
      </c>
      <c r="O1569" s="291">
        <v>15</v>
      </c>
      <c r="P1569" s="274">
        <v>271</v>
      </c>
      <c r="Q1569" s="274">
        <v>0</v>
      </c>
      <c r="R1569" s="274">
        <v>639</v>
      </c>
      <c r="S1569" s="274">
        <v>51</v>
      </c>
      <c r="T1569" s="287">
        <f t="shared" si="24"/>
        <v>2018</v>
      </c>
      <c r="U1569" s="274">
        <f>VLOOKUP(A1569,'[1]SB35 Determination Data'!$B$4:$F$542,5,FALSE)</f>
        <v>2016</v>
      </c>
    </row>
    <row r="1570" spans="1:21" s="274" customFormat="1" ht="12.75" x14ac:dyDescent="0.2">
      <c r="A1570" s="274" t="s">
        <v>218</v>
      </c>
      <c r="B1570" s="274" t="s">
        <v>262</v>
      </c>
      <c r="C1570" s="274" t="s">
        <v>649</v>
      </c>
      <c r="D1570" s="295">
        <v>2018</v>
      </c>
      <c r="E1570" s="274" t="s">
        <v>650</v>
      </c>
      <c r="F1570" s="291">
        <v>198</v>
      </c>
      <c r="G1570" s="285">
        <v>0</v>
      </c>
      <c r="H1570" s="291">
        <v>0</v>
      </c>
      <c r="I1570" s="291">
        <v>0</v>
      </c>
      <c r="J1570" s="291">
        <v>118</v>
      </c>
      <c r="K1570" s="284">
        <v>6</v>
      </c>
      <c r="L1570" s="291">
        <v>6</v>
      </c>
      <c r="M1570" s="291">
        <v>0</v>
      </c>
      <c r="N1570" s="291">
        <v>127</v>
      </c>
      <c r="O1570" s="291">
        <v>183</v>
      </c>
      <c r="P1570" s="274">
        <v>336</v>
      </c>
      <c r="Q1570" s="274">
        <v>0</v>
      </c>
      <c r="R1570" s="274">
        <v>779</v>
      </c>
      <c r="S1570" s="274">
        <v>189</v>
      </c>
      <c r="T1570" s="287">
        <f t="shared" si="24"/>
        <v>2018</v>
      </c>
      <c r="U1570" s="274">
        <f>VLOOKUP(A1570,'[1]SB35 Determination Data'!$B$4:$F$542,5,FALSE)</f>
        <v>2014</v>
      </c>
    </row>
    <row r="1571" spans="1:21" s="274" customFormat="1" ht="12.75" x14ac:dyDescent="0.2">
      <c r="A1571" s="274" t="s">
        <v>221</v>
      </c>
      <c r="B1571" s="274" t="s">
        <v>220</v>
      </c>
      <c r="C1571" s="274" t="s">
        <v>531</v>
      </c>
      <c r="D1571" s="295">
        <v>2018</v>
      </c>
      <c r="E1571" s="274" t="s">
        <v>650</v>
      </c>
      <c r="F1571" s="291">
        <v>9706</v>
      </c>
      <c r="G1571" s="285">
        <v>0</v>
      </c>
      <c r="H1571" s="291">
        <v>0</v>
      </c>
      <c r="I1571" s="291">
        <v>0</v>
      </c>
      <c r="J1571" s="291">
        <v>5800</v>
      </c>
      <c r="K1571" s="284">
        <v>1</v>
      </c>
      <c r="L1571" s="291">
        <v>1</v>
      </c>
      <c r="M1571" s="291">
        <v>0</v>
      </c>
      <c r="N1571" s="291">
        <v>6453</v>
      </c>
      <c r="O1571" s="291">
        <v>1</v>
      </c>
      <c r="P1571" s="274">
        <v>14331</v>
      </c>
      <c r="Q1571" s="274">
        <v>1178</v>
      </c>
      <c r="R1571" s="274">
        <v>36290</v>
      </c>
      <c r="S1571" s="274">
        <v>1180</v>
      </c>
      <c r="T1571" s="287">
        <f t="shared" si="24"/>
        <v>2018</v>
      </c>
      <c r="U1571" s="274">
        <f>VLOOKUP(A1571,'[1]SB35 Determination Data'!$B$4:$F$542,5,FALSE)</f>
        <v>2016</v>
      </c>
    </row>
    <row r="1572" spans="1:21" s="274" customFormat="1" ht="12.75" x14ac:dyDescent="0.2">
      <c r="A1572" s="274" t="s">
        <v>222</v>
      </c>
      <c r="B1572" s="274" t="s">
        <v>262</v>
      </c>
      <c r="C1572" s="274" t="s">
        <v>649</v>
      </c>
      <c r="D1572" s="295">
        <v>2018</v>
      </c>
      <c r="E1572" s="274" t="s">
        <v>650</v>
      </c>
      <c r="F1572" s="291">
        <v>142</v>
      </c>
      <c r="G1572" s="285">
        <v>0</v>
      </c>
      <c r="H1572" s="291">
        <v>0</v>
      </c>
      <c r="I1572" s="291">
        <v>0</v>
      </c>
      <c r="J1572" s="291">
        <v>83</v>
      </c>
      <c r="K1572" s="284">
        <v>0</v>
      </c>
      <c r="L1572" s="291">
        <v>0</v>
      </c>
      <c r="M1572" s="291">
        <v>0</v>
      </c>
      <c r="N1572" s="291">
        <v>90</v>
      </c>
      <c r="O1572" s="291">
        <v>1</v>
      </c>
      <c r="P1572" s="274">
        <v>242</v>
      </c>
      <c r="Q1572" s="274">
        <v>86</v>
      </c>
      <c r="R1572" s="274">
        <v>557</v>
      </c>
      <c r="S1572" s="274">
        <v>87</v>
      </c>
      <c r="T1572" s="287">
        <f t="shared" si="24"/>
        <v>2018</v>
      </c>
      <c r="U1572" s="274">
        <f>VLOOKUP(A1572,'[1]SB35 Determination Data'!$B$4:$F$542,5,FALSE)</f>
        <v>2014</v>
      </c>
    </row>
    <row r="1573" spans="1:21" s="274" customFormat="1" ht="12.75" x14ac:dyDescent="0.2">
      <c r="A1573" s="274" t="s">
        <v>224</v>
      </c>
      <c r="B1573" s="274" t="s">
        <v>481</v>
      </c>
      <c r="C1573" s="274" t="s">
        <v>649</v>
      </c>
      <c r="D1573" s="295">
        <v>2018</v>
      </c>
      <c r="E1573" s="274" t="s">
        <v>650</v>
      </c>
      <c r="F1573" s="291">
        <v>872</v>
      </c>
      <c r="G1573" s="285">
        <v>0</v>
      </c>
      <c r="H1573" s="291">
        <v>0</v>
      </c>
      <c r="I1573" s="291">
        <v>0</v>
      </c>
      <c r="J1573" s="291">
        <v>593</v>
      </c>
      <c r="K1573" s="284">
        <v>0</v>
      </c>
      <c r="L1573" s="291">
        <v>0</v>
      </c>
      <c r="M1573" s="291">
        <v>0</v>
      </c>
      <c r="N1573" s="274">
        <v>685</v>
      </c>
      <c r="O1573" s="291">
        <v>0</v>
      </c>
      <c r="P1573" s="274">
        <v>1642</v>
      </c>
      <c r="Q1573" s="274">
        <v>1</v>
      </c>
      <c r="R1573" s="274">
        <v>3792</v>
      </c>
      <c r="S1573" s="274">
        <v>1</v>
      </c>
      <c r="T1573" s="287">
        <f t="shared" si="24"/>
        <v>2018</v>
      </c>
      <c r="U1573" s="274">
        <f>VLOOKUP(A1573,'[1]SB35 Determination Data'!$B$4:$F$542,5,FALSE)</f>
        <v>2014</v>
      </c>
    </row>
    <row r="1574" spans="1:21" s="274" customFormat="1" ht="12.75" x14ac:dyDescent="0.2">
      <c r="A1574" s="274" t="s">
        <v>226</v>
      </c>
      <c r="B1574" s="274" t="s">
        <v>542</v>
      </c>
      <c r="C1574" s="274" t="s">
        <v>649</v>
      </c>
      <c r="D1574" s="295">
        <v>2018</v>
      </c>
      <c r="E1574" s="274" t="s">
        <v>650</v>
      </c>
      <c r="F1574" s="291">
        <v>188</v>
      </c>
      <c r="G1574" s="285"/>
      <c r="H1574" s="291"/>
      <c r="I1574" s="291"/>
      <c r="J1574" s="291">
        <v>138</v>
      </c>
      <c r="K1574" s="284"/>
      <c r="L1574" s="291"/>
      <c r="M1574" s="291"/>
      <c r="N1574" s="291">
        <v>154</v>
      </c>
      <c r="O1574" s="291"/>
      <c r="P1574" s="274">
        <v>363</v>
      </c>
      <c r="R1574" s="274">
        <v>843</v>
      </c>
      <c r="T1574" s="287">
        <f t="shared" si="24"/>
        <v>2018</v>
      </c>
      <c r="U1574" s="274">
        <f>VLOOKUP(A1574,'[1]SB35 Determination Data'!$B$4:$F$542,5,FALSE)</f>
        <v>2014</v>
      </c>
    </row>
    <row r="1575" spans="1:21" s="274" customFormat="1" ht="12.75" x14ac:dyDescent="0.2">
      <c r="A1575" s="274" t="s">
        <v>233</v>
      </c>
      <c r="B1575" s="274" t="s">
        <v>262</v>
      </c>
      <c r="C1575" s="274" t="s">
        <v>649</v>
      </c>
      <c r="D1575" s="295">
        <v>2018</v>
      </c>
      <c r="E1575" s="274" t="s">
        <v>650</v>
      </c>
      <c r="F1575" s="291">
        <v>1</v>
      </c>
      <c r="G1575" s="285">
        <v>0</v>
      </c>
      <c r="H1575" s="291">
        <v>0</v>
      </c>
      <c r="I1575" s="291">
        <v>0</v>
      </c>
      <c r="J1575" s="291">
        <v>1</v>
      </c>
      <c r="K1575" s="284">
        <v>0</v>
      </c>
      <c r="L1575" s="291">
        <v>0</v>
      </c>
      <c r="M1575" s="291">
        <v>0</v>
      </c>
      <c r="N1575" s="291">
        <v>0</v>
      </c>
      <c r="O1575" s="291">
        <v>0</v>
      </c>
      <c r="P1575" s="274">
        <v>0</v>
      </c>
      <c r="Q1575" s="274">
        <v>49</v>
      </c>
      <c r="R1575" s="274">
        <v>2</v>
      </c>
      <c r="S1575" s="274">
        <v>49</v>
      </c>
      <c r="T1575" s="287">
        <f t="shared" si="24"/>
        <v>2018</v>
      </c>
      <c r="U1575" s="274">
        <f>VLOOKUP(A1575,'[1]SB35 Determination Data'!$B$4:$F$542,5,FALSE)</f>
        <v>2014</v>
      </c>
    </row>
    <row r="1576" spans="1:21" s="274" customFormat="1" ht="12.75" x14ac:dyDescent="0.2">
      <c r="A1576" s="274" t="s">
        <v>235</v>
      </c>
      <c r="B1576" s="274" t="s">
        <v>595</v>
      </c>
      <c r="C1576" s="274" t="s">
        <v>654</v>
      </c>
      <c r="D1576" s="295">
        <v>2018</v>
      </c>
      <c r="E1576" s="274" t="s">
        <v>650</v>
      </c>
      <c r="F1576" s="291">
        <v>116</v>
      </c>
      <c r="G1576" s="285">
        <v>0</v>
      </c>
      <c r="H1576" s="291">
        <v>0</v>
      </c>
      <c r="I1576" s="291">
        <v>0</v>
      </c>
      <c r="J1576" s="291">
        <v>63</v>
      </c>
      <c r="K1576" s="284">
        <v>0</v>
      </c>
      <c r="L1576" s="291">
        <v>0</v>
      </c>
      <c r="M1576" s="291">
        <v>0</v>
      </c>
      <c r="N1576" s="291">
        <v>67</v>
      </c>
      <c r="O1576" s="291">
        <v>9</v>
      </c>
      <c r="P1576" s="274">
        <v>222</v>
      </c>
      <c r="Q1576" s="274">
        <v>6</v>
      </c>
      <c r="R1576" s="274">
        <v>468</v>
      </c>
      <c r="S1576" s="274">
        <v>15</v>
      </c>
      <c r="T1576" s="287">
        <f t="shared" si="24"/>
        <v>2018</v>
      </c>
      <c r="U1576" s="274">
        <f>VLOOKUP(A1576,'[1]SB35 Determination Data'!$B$4:$F$542,5,FALSE)</f>
        <v>2015</v>
      </c>
    </row>
    <row r="1577" spans="1:21" s="274" customFormat="1" ht="12.75" x14ac:dyDescent="0.2">
      <c r="A1577" s="274" t="s">
        <v>237</v>
      </c>
      <c r="B1577" s="274" t="s">
        <v>301</v>
      </c>
      <c r="C1577" s="274" t="s">
        <v>654</v>
      </c>
      <c r="D1577" s="295">
        <v>2018</v>
      </c>
      <c r="E1577" s="274" t="s">
        <v>650</v>
      </c>
      <c r="F1577" s="291">
        <v>4</v>
      </c>
      <c r="G1577" s="285"/>
      <c r="H1577" s="291"/>
      <c r="I1577" s="291"/>
      <c r="J1577" s="291">
        <v>3</v>
      </c>
      <c r="K1577" s="284"/>
      <c r="L1577" s="291"/>
      <c r="M1577" s="291"/>
      <c r="N1577" s="291">
        <v>4</v>
      </c>
      <c r="O1577" s="291"/>
      <c r="P1577" s="274">
        <v>5</v>
      </c>
      <c r="R1577" s="274">
        <v>16</v>
      </c>
      <c r="T1577" s="287">
        <f t="shared" si="24"/>
        <v>2018</v>
      </c>
      <c r="U1577" s="274">
        <f>VLOOKUP(A1577,'[1]SB35 Determination Data'!$B$4:$F$542,5,FALSE)</f>
        <v>2015</v>
      </c>
    </row>
    <row r="1578" spans="1:21" s="274" customFormat="1" ht="12.75" x14ac:dyDescent="0.2">
      <c r="A1578" s="274" t="s">
        <v>238</v>
      </c>
      <c r="B1578" s="274" t="s">
        <v>663</v>
      </c>
      <c r="C1578" s="274" t="s">
        <v>654</v>
      </c>
      <c r="D1578" s="295">
        <v>2018</v>
      </c>
      <c r="E1578" s="274" t="s">
        <v>650</v>
      </c>
      <c r="F1578" s="291">
        <v>94</v>
      </c>
      <c r="G1578" s="285">
        <v>0</v>
      </c>
      <c r="H1578" s="291">
        <v>0</v>
      </c>
      <c r="I1578" s="291">
        <v>0</v>
      </c>
      <c r="J1578" s="291">
        <v>54</v>
      </c>
      <c r="K1578" s="284">
        <v>0</v>
      </c>
      <c r="L1578" s="291">
        <v>0</v>
      </c>
      <c r="M1578" s="291">
        <v>0</v>
      </c>
      <c r="N1578" s="291">
        <v>56</v>
      </c>
      <c r="O1578" s="291">
        <v>3</v>
      </c>
      <c r="P1578" s="274">
        <v>123</v>
      </c>
      <c r="Q1578" s="274">
        <v>0</v>
      </c>
      <c r="R1578" s="274">
        <v>327</v>
      </c>
      <c r="S1578" s="274">
        <v>3</v>
      </c>
      <c r="T1578" s="287">
        <f t="shared" si="24"/>
        <v>2018</v>
      </c>
      <c r="U1578" s="274">
        <f>VLOOKUP(A1578,'[1]SB35 Determination Data'!$B$4:$F$542,5,FALSE)</f>
        <v>2015</v>
      </c>
    </row>
    <row r="1579" spans="1:21" s="274" customFormat="1" ht="12.75" x14ac:dyDescent="0.2">
      <c r="A1579" s="274" t="s">
        <v>146</v>
      </c>
      <c r="B1579" s="274" t="s">
        <v>40</v>
      </c>
      <c r="C1579" s="274" t="s">
        <v>654</v>
      </c>
      <c r="D1579" s="295">
        <v>2018</v>
      </c>
      <c r="E1579" s="274" t="s">
        <v>650</v>
      </c>
      <c r="F1579" s="291">
        <v>532</v>
      </c>
      <c r="G1579" s="285">
        <v>1</v>
      </c>
      <c r="H1579" s="291">
        <v>1</v>
      </c>
      <c r="I1579" s="291">
        <v>0</v>
      </c>
      <c r="J1579" s="291">
        <v>442</v>
      </c>
      <c r="K1579" s="284">
        <v>0</v>
      </c>
      <c r="L1579" s="291">
        <v>0</v>
      </c>
      <c r="M1579" s="291">
        <v>0</v>
      </c>
      <c r="N1579" s="291">
        <v>584</v>
      </c>
      <c r="O1579" s="291">
        <v>0</v>
      </c>
      <c r="P1579" s="274">
        <v>1401</v>
      </c>
      <c r="Q1579" s="274">
        <v>332</v>
      </c>
      <c r="R1579" s="274">
        <v>2959</v>
      </c>
      <c r="S1579" s="274">
        <v>333</v>
      </c>
      <c r="T1579" s="287">
        <f t="shared" si="24"/>
        <v>2018</v>
      </c>
      <c r="U1579" s="274">
        <f>VLOOKUP(A1579,'[1]SB35 Determination Data'!$B$4:$F$542,5,FALSE)</f>
        <v>2015</v>
      </c>
    </row>
    <row r="1580" spans="1:21" s="274" customFormat="1" ht="12.75" x14ac:dyDescent="0.2">
      <c r="A1580" s="274" t="s">
        <v>241</v>
      </c>
      <c r="B1580" s="274" t="s">
        <v>262</v>
      </c>
      <c r="C1580" s="274" t="s">
        <v>649</v>
      </c>
      <c r="D1580" s="295">
        <v>2018</v>
      </c>
      <c r="E1580" s="274" t="s">
        <v>650</v>
      </c>
      <c r="F1580" s="291">
        <v>1</v>
      </c>
      <c r="G1580" s="285">
        <v>0</v>
      </c>
      <c r="H1580" s="291">
        <v>0</v>
      </c>
      <c r="I1580" s="291">
        <v>0</v>
      </c>
      <c r="J1580" s="291">
        <v>1</v>
      </c>
      <c r="K1580" s="284">
        <v>0</v>
      </c>
      <c r="L1580" s="291">
        <v>0</v>
      </c>
      <c r="M1580" s="291">
        <v>0</v>
      </c>
      <c r="N1580" s="291">
        <v>1</v>
      </c>
      <c r="O1580" s="291">
        <v>0</v>
      </c>
      <c r="P1580" s="274">
        <v>0</v>
      </c>
      <c r="Q1580" s="274">
        <v>7</v>
      </c>
      <c r="R1580" s="274">
        <v>3</v>
      </c>
      <c r="S1580" s="274">
        <v>7</v>
      </c>
      <c r="T1580" s="287">
        <f t="shared" si="24"/>
        <v>2018</v>
      </c>
      <c r="U1580" s="274">
        <f>VLOOKUP(A1580,'[1]SB35 Determination Data'!$B$4:$F$542,5,FALSE)</f>
        <v>2014</v>
      </c>
    </row>
    <row r="1581" spans="1:21" s="274" customFormat="1" ht="12.75" x14ac:dyDescent="0.2">
      <c r="A1581" s="274" t="s">
        <v>243</v>
      </c>
      <c r="B1581" s="274" t="s">
        <v>542</v>
      </c>
      <c r="C1581" s="274" t="s">
        <v>649</v>
      </c>
      <c r="D1581" s="295">
        <v>2018</v>
      </c>
      <c r="E1581" s="274" t="s">
        <v>650</v>
      </c>
      <c r="F1581" s="291">
        <v>1</v>
      </c>
      <c r="G1581" s="285">
        <v>0</v>
      </c>
      <c r="H1581" s="291">
        <v>0</v>
      </c>
      <c r="I1581" s="291">
        <v>0</v>
      </c>
      <c r="J1581" s="291">
        <v>1</v>
      </c>
      <c r="K1581" s="284">
        <v>2</v>
      </c>
      <c r="L1581" s="291">
        <v>0</v>
      </c>
      <c r="M1581" s="291">
        <v>2</v>
      </c>
      <c r="N1581" s="274">
        <v>0</v>
      </c>
      <c r="O1581" s="291">
        <v>5</v>
      </c>
      <c r="P1581" s="274">
        <v>0</v>
      </c>
      <c r="Q1581" s="274">
        <v>27</v>
      </c>
      <c r="R1581" s="274">
        <v>2</v>
      </c>
      <c r="S1581" s="274">
        <v>34</v>
      </c>
      <c r="T1581" s="287">
        <f t="shared" si="24"/>
        <v>2018</v>
      </c>
      <c r="U1581" s="274">
        <f>VLOOKUP(A1581,'[1]SB35 Determination Data'!$B$4:$F$542,5,FALSE)</f>
        <v>2014</v>
      </c>
    </row>
    <row r="1582" spans="1:21" s="274" customFormat="1" ht="12.75" x14ac:dyDescent="0.2">
      <c r="A1582" s="274" t="s">
        <v>231</v>
      </c>
      <c r="B1582" s="274" t="s">
        <v>109</v>
      </c>
      <c r="C1582" s="274" t="s">
        <v>717</v>
      </c>
      <c r="D1582" s="295">
        <v>2018</v>
      </c>
      <c r="E1582" s="274" t="s">
        <v>650</v>
      </c>
      <c r="F1582" s="291">
        <v>48</v>
      </c>
      <c r="G1582" s="285"/>
      <c r="H1582" s="291"/>
      <c r="I1582" s="291"/>
      <c r="J1582" s="291">
        <v>30</v>
      </c>
      <c r="K1582" s="284"/>
      <c r="L1582" s="291"/>
      <c r="M1582" s="291"/>
      <c r="N1582" s="291">
        <v>24</v>
      </c>
      <c r="O1582" s="291"/>
      <c r="P1582" s="274">
        <v>82</v>
      </c>
      <c r="R1582" s="274">
        <v>184</v>
      </c>
      <c r="T1582" s="287">
        <f t="shared" si="24"/>
        <v>2018</v>
      </c>
      <c r="U1582" s="274">
        <f>VLOOKUP(A1582,'[1]SB35 Determination Data'!$B$4:$F$542,5,FALSE)</f>
        <v>2014</v>
      </c>
    </row>
    <row r="1583" spans="1:21" s="274" customFormat="1" ht="12.75" x14ac:dyDescent="0.2">
      <c r="A1583" s="274" t="s">
        <v>245</v>
      </c>
      <c r="B1583" s="274" t="s">
        <v>204</v>
      </c>
      <c r="C1583" s="274" t="s">
        <v>660</v>
      </c>
      <c r="D1583" s="295">
        <v>2018</v>
      </c>
      <c r="E1583" s="274" t="s">
        <v>650</v>
      </c>
      <c r="F1583" s="291">
        <v>15</v>
      </c>
      <c r="G1583" s="285">
        <v>0</v>
      </c>
      <c r="H1583" s="291">
        <v>0</v>
      </c>
      <c r="I1583" s="291">
        <v>0</v>
      </c>
      <c r="J1583" s="291">
        <v>10</v>
      </c>
      <c r="K1583" s="284">
        <v>0</v>
      </c>
      <c r="L1583" s="291">
        <v>0</v>
      </c>
      <c r="M1583" s="291">
        <v>0</v>
      </c>
      <c r="N1583" s="274">
        <v>12</v>
      </c>
      <c r="O1583" s="291">
        <v>0</v>
      </c>
      <c r="P1583" s="274">
        <v>28</v>
      </c>
      <c r="Q1583" s="274">
        <v>1</v>
      </c>
      <c r="R1583" s="274">
        <v>65</v>
      </c>
      <c r="S1583" s="274">
        <v>1</v>
      </c>
      <c r="T1583" s="287">
        <f t="shared" si="24"/>
        <v>2018</v>
      </c>
      <c r="U1583" s="274">
        <f>VLOOKUP(A1583,'[1]SB35 Determination Data'!$B$4:$F$542,5,FALSE)</f>
        <v>2014</v>
      </c>
    </row>
    <row r="1584" spans="1:21" s="274" customFormat="1" ht="12.75" x14ac:dyDescent="0.2">
      <c r="A1584" s="274" t="s">
        <v>249</v>
      </c>
      <c r="B1584" s="274" t="s">
        <v>189</v>
      </c>
      <c r="C1584" s="274" t="s">
        <v>649</v>
      </c>
      <c r="D1584" s="295">
        <v>2018</v>
      </c>
      <c r="E1584" s="274" t="s">
        <v>650</v>
      </c>
      <c r="F1584" s="291">
        <v>760</v>
      </c>
      <c r="G1584" s="285">
        <v>21</v>
      </c>
      <c r="H1584" s="291">
        <v>21</v>
      </c>
      <c r="I1584" s="291">
        <v>0</v>
      </c>
      <c r="J1584" s="291">
        <v>470</v>
      </c>
      <c r="K1584" s="284">
        <v>27</v>
      </c>
      <c r="L1584" s="291">
        <v>25</v>
      </c>
      <c r="M1584" s="291">
        <v>2</v>
      </c>
      <c r="N1584" s="291">
        <v>466</v>
      </c>
      <c r="O1584" s="291">
        <v>15</v>
      </c>
      <c r="P1584" s="274">
        <v>1338</v>
      </c>
      <c r="Q1584" s="274">
        <v>29</v>
      </c>
      <c r="R1584" s="274">
        <v>3034</v>
      </c>
      <c r="S1584" s="274">
        <v>92</v>
      </c>
      <c r="T1584" s="287">
        <f t="shared" si="24"/>
        <v>2018</v>
      </c>
      <c r="U1584" s="274">
        <f>VLOOKUP(A1584,'[1]SB35 Determination Data'!$B$4:$F$542,5,FALSE)</f>
        <v>2014</v>
      </c>
    </row>
    <row r="1585" spans="1:21" s="274" customFormat="1" ht="12.75" x14ac:dyDescent="0.2">
      <c r="A1585" s="274" t="s">
        <v>250</v>
      </c>
      <c r="B1585" s="274" t="s">
        <v>436</v>
      </c>
      <c r="C1585" s="274" t="s">
        <v>649</v>
      </c>
      <c r="D1585" s="295">
        <v>2018</v>
      </c>
      <c r="E1585" s="274" t="s">
        <v>650</v>
      </c>
      <c r="F1585" s="291">
        <v>426</v>
      </c>
      <c r="G1585" s="285">
        <v>0</v>
      </c>
      <c r="H1585" s="291">
        <v>0</v>
      </c>
      <c r="I1585" s="291">
        <v>0</v>
      </c>
      <c r="J1585" s="291">
        <v>305</v>
      </c>
      <c r="K1585" s="284">
        <v>0</v>
      </c>
      <c r="L1585" s="291">
        <v>0</v>
      </c>
      <c r="M1585" s="291">
        <v>0</v>
      </c>
      <c r="N1585" s="291">
        <v>335</v>
      </c>
      <c r="O1585" s="291">
        <v>0</v>
      </c>
      <c r="P1585" s="274">
        <v>785</v>
      </c>
      <c r="Q1585" s="274">
        <v>7</v>
      </c>
      <c r="R1585" s="274">
        <v>1851</v>
      </c>
      <c r="S1585" s="274">
        <v>7</v>
      </c>
      <c r="T1585" s="287">
        <f t="shared" si="24"/>
        <v>2018</v>
      </c>
      <c r="U1585" s="274">
        <f>VLOOKUP(A1585,'[1]SB35 Determination Data'!$B$4:$F$542,5,FALSE)</f>
        <v>2014</v>
      </c>
    </row>
    <row r="1586" spans="1:21" s="274" customFormat="1" ht="12.75" x14ac:dyDescent="0.2">
      <c r="A1586" s="274" t="s">
        <v>254</v>
      </c>
      <c r="B1586" s="274" t="s">
        <v>595</v>
      </c>
      <c r="C1586" s="274" t="s">
        <v>654</v>
      </c>
      <c r="D1586" s="295">
        <v>2018</v>
      </c>
      <c r="E1586" s="274" t="s">
        <v>650</v>
      </c>
      <c r="F1586" s="291">
        <v>25</v>
      </c>
      <c r="G1586" s="285">
        <v>0</v>
      </c>
      <c r="H1586" s="291">
        <v>0</v>
      </c>
      <c r="I1586" s="291">
        <v>0</v>
      </c>
      <c r="J1586" s="291">
        <v>13</v>
      </c>
      <c r="K1586" s="284">
        <v>0</v>
      </c>
      <c r="L1586" s="291">
        <v>0</v>
      </c>
      <c r="M1586" s="291">
        <v>0</v>
      </c>
      <c r="N1586" s="291">
        <v>15</v>
      </c>
      <c r="O1586" s="291">
        <v>5</v>
      </c>
      <c r="P1586" s="274">
        <v>30</v>
      </c>
      <c r="Q1586" s="274">
        <v>1</v>
      </c>
      <c r="R1586" s="274">
        <v>83</v>
      </c>
      <c r="S1586" s="274">
        <v>6</v>
      </c>
      <c r="T1586" s="287">
        <f t="shared" si="24"/>
        <v>2018</v>
      </c>
      <c r="U1586" s="274">
        <f>VLOOKUP(A1586,'[1]SB35 Determination Data'!$B$4:$F$542,5,FALSE)</f>
        <v>2015</v>
      </c>
    </row>
    <row r="1587" spans="1:21" s="274" customFormat="1" ht="12.75" x14ac:dyDescent="0.2">
      <c r="A1587" s="274" t="s">
        <v>255</v>
      </c>
      <c r="B1587" s="274" t="s">
        <v>602</v>
      </c>
      <c r="C1587" s="274" t="s">
        <v>732</v>
      </c>
      <c r="D1587" s="295">
        <v>2018</v>
      </c>
      <c r="E1587" s="274" t="s">
        <v>650</v>
      </c>
      <c r="F1587" s="291">
        <v>66</v>
      </c>
      <c r="G1587" s="285">
        <v>0</v>
      </c>
      <c r="H1587" s="291">
        <v>0</v>
      </c>
      <c r="I1587" s="291">
        <v>0</v>
      </c>
      <c r="J1587" s="291">
        <v>44</v>
      </c>
      <c r="K1587" s="284">
        <v>0</v>
      </c>
      <c r="L1587" s="291">
        <v>0</v>
      </c>
      <c r="M1587" s="291">
        <v>0</v>
      </c>
      <c r="N1587" s="291">
        <v>41</v>
      </c>
      <c r="O1587" s="291">
        <v>0</v>
      </c>
      <c r="P1587" s="274">
        <v>124</v>
      </c>
      <c r="Q1587" s="274">
        <v>36</v>
      </c>
      <c r="R1587" s="274">
        <v>275</v>
      </c>
      <c r="S1587" s="274">
        <v>36</v>
      </c>
      <c r="T1587" s="287">
        <f t="shared" si="24"/>
        <v>2018</v>
      </c>
      <c r="U1587" s="274">
        <f>VLOOKUP(A1587,'[1]SB35 Determination Data'!$B$4:$F$542,5,FALSE)</f>
        <v>2015</v>
      </c>
    </row>
    <row r="1588" spans="1:21" s="274" customFormat="1" ht="12.75" x14ac:dyDescent="0.2">
      <c r="A1588" s="274" t="s">
        <v>256</v>
      </c>
      <c r="B1588" s="274" t="s">
        <v>436</v>
      </c>
      <c r="C1588" s="274" t="s">
        <v>649</v>
      </c>
      <c r="D1588" s="295">
        <v>2018</v>
      </c>
      <c r="E1588" s="274" t="s">
        <v>650</v>
      </c>
      <c r="F1588" s="291">
        <v>76</v>
      </c>
      <c r="G1588" s="285">
        <v>0</v>
      </c>
      <c r="H1588" s="291">
        <v>0</v>
      </c>
      <c r="I1588" s="291">
        <v>0</v>
      </c>
      <c r="J1588" s="291">
        <v>53</v>
      </c>
      <c r="K1588" s="284">
        <v>0</v>
      </c>
      <c r="L1588" s="291">
        <v>0</v>
      </c>
      <c r="M1588" s="291">
        <v>0</v>
      </c>
      <c r="N1588" s="291">
        <v>62</v>
      </c>
      <c r="O1588" s="291">
        <v>0</v>
      </c>
      <c r="P1588" s="274">
        <v>148</v>
      </c>
      <c r="Q1588" s="274">
        <v>7</v>
      </c>
      <c r="R1588" s="274">
        <v>339</v>
      </c>
      <c r="S1588" s="274">
        <v>7</v>
      </c>
      <c r="T1588" s="287">
        <f t="shared" si="24"/>
        <v>2018</v>
      </c>
      <c r="U1588" s="274">
        <f>VLOOKUP(A1588,'[1]SB35 Determination Data'!$B$4:$F$542,5,FALSE)</f>
        <v>2014</v>
      </c>
    </row>
    <row r="1589" spans="1:21" s="274" customFormat="1" ht="12.75" x14ac:dyDescent="0.2">
      <c r="A1589" s="274" t="s">
        <v>257</v>
      </c>
      <c r="B1589" s="274" t="s">
        <v>262</v>
      </c>
      <c r="C1589" s="274" t="s">
        <v>649</v>
      </c>
      <c r="D1589" s="295">
        <v>2018</v>
      </c>
      <c r="E1589" s="274" t="s">
        <v>650</v>
      </c>
      <c r="F1589" s="291">
        <v>694</v>
      </c>
      <c r="G1589" s="285">
        <v>0</v>
      </c>
      <c r="H1589" s="291">
        <v>0</v>
      </c>
      <c r="I1589" s="291">
        <v>0</v>
      </c>
      <c r="J1589" s="291">
        <v>413</v>
      </c>
      <c r="K1589" s="284">
        <v>20</v>
      </c>
      <c r="L1589" s="291">
        <v>0</v>
      </c>
      <c r="M1589" s="291">
        <v>20</v>
      </c>
      <c r="N1589" s="291">
        <v>443</v>
      </c>
      <c r="O1589" s="291">
        <v>6</v>
      </c>
      <c r="P1589" s="274">
        <v>1134</v>
      </c>
      <c r="Q1589" s="274">
        <v>35</v>
      </c>
      <c r="R1589" s="274">
        <v>2684</v>
      </c>
      <c r="S1589" s="274">
        <v>61</v>
      </c>
      <c r="T1589" s="287">
        <f t="shared" si="24"/>
        <v>2018</v>
      </c>
      <c r="U1589" s="274">
        <f>VLOOKUP(A1589,'[1]SB35 Determination Data'!$B$4:$F$542,5,FALSE)</f>
        <v>2014</v>
      </c>
    </row>
    <row r="1590" spans="1:21" s="274" customFormat="1" ht="12.75" x14ac:dyDescent="0.2">
      <c r="A1590" s="274" t="s">
        <v>259</v>
      </c>
      <c r="B1590" s="274" t="s">
        <v>595</v>
      </c>
      <c r="C1590" s="274" t="s">
        <v>654</v>
      </c>
      <c r="D1590" s="295">
        <v>2018</v>
      </c>
      <c r="E1590" s="274" t="s">
        <v>650</v>
      </c>
      <c r="F1590" s="291">
        <v>276</v>
      </c>
      <c r="G1590" s="285">
        <v>0</v>
      </c>
      <c r="H1590" s="291">
        <v>0</v>
      </c>
      <c r="I1590" s="291">
        <v>0</v>
      </c>
      <c r="J1590" s="291">
        <v>144</v>
      </c>
      <c r="K1590" s="284">
        <v>0</v>
      </c>
      <c r="L1590" s="291">
        <v>0</v>
      </c>
      <c r="M1590" s="291">
        <v>0</v>
      </c>
      <c r="N1590" s="291">
        <v>155</v>
      </c>
      <c r="O1590" s="291">
        <v>29</v>
      </c>
      <c r="P1590" s="274">
        <v>288</v>
      </c>
      <c r="Q1590" s="274">
        <v>271</v>
      </c>
      <c r="R1590" s="274">
        <v>863</v>
      </c>
      <c r="S1590" s="274">
        <v>300</v>
      </c>
      <c r="T1590" s="287">
        <f t="shared" si="24"/>
        <v>2018</v>
      </c>
      <c r="U1590" s="274">
        <f>VLOOKUP(A1590,'[1]SB35 Determination Data'!$B$4:$F$542,5,FALSE)</f>
        <v>2015</v>
      </c>
    </row>
    <row r="1591" spans="1:21" s="274" customFormat="1" ht="12.75" x14ac:dyDescent="0.2">
      <c r="A1591" s="274" t="s">
        <v>234</v>
      </c>
      <c r="B1591" s="274" t="s">
        <v>109</v>
      </c>
      <c r="C1591" s="274" t="s">
        <v>717</v>
      </c>
      <c r="D1591" s="295">
        <v>2018</v>
      </c>
      <c r="E1591" s="274" t="s">
        <v>650</v>
      </c>
      <c r="F1591" s="291">
        <v>682</v>
      </c>
      <c r="G1591" s="285">
        <v>0</v>
      </c>
      <c r="H1591" s="291">
        <v>0</v>
      </c>
      <c r="I1591" s="291">
        <v>0</v>
      </c>
      <c r="J1591" s="291">
        <v>545</v>
      </c>
      <c r="K1591" s="284">
        <v>9</v>
      </c>
      <c r="L1591" s="291">
        <v>0</v>
      </c>
      <c r="M1591" s="291">
        <v>9</v>
      </c>
      <c r="N1591" s="274">
        <v>480</v>
      </c>
      <c r="O1591" s="291">
        <v>72</v>
      </c>
      <c r="P1591" s="274">
        <v>1267</v>
      </c>
      <c r="Q1591" s="274">
        <v>73</v>
      </c>
      <c r="R1591" s="274">
        <v>2974</v>
      </c>
      <c r="S1591" s="274">
        <v>154</v>
      </c>
      <c r="T1591" s="287">
        <f t="shared" si="24"/>
        <v>2018</v>
      </c>
      <c r="U1591" s="274">
        <f>VLOOKUP(A1591,'[1]SB35 Determination Data'!$B$4:$F$542,5,FALSE)</f>
        <v>2014</v>
      </c>
    </row>
    <row r="1592" spans="1:21" s="274" customFormat="1" ht="12.75" x14ac:dyDescent="0.2">
      <c r="A1592" s="274" t="s">
        <v>260</v>
      </c>
      <c r="B1592" s="274" t="s">
        <v>262</v>
      </c>
      <c r="C1592" s="274" t="s">
        <v>649</v>
      </c>
      <c r="D1592" s="295">
        <v>2018</v>
      </c>
      <c r="E1592" s="274" t="s">
        <v>650</v>
      </c>
      <c r="F1592" s="291">
        <v>88</v>
      </c>
      <c r="G1592" s="285">
        <v>4</v>
      </c>
      <c r="H1592" s="291">
        <v>4</v>
      </c>
      <c r="I1592" s="291">
        <v>0</v>
      </c>
      <c r="J1592" s="291">
        <v>54</v>
      </c>
      <c r="K1592" s="284">
        <v>0</v>
      </c>
      <c r="L1592" s="291">
        <v>0</v>
      </c>
      <c r="M1592" s="291">
        <v>0</v>
      </c>
      <c r="N1592" s="291">
        <v>57</v>
      </c>
      <c r="O1592" s="291">
        <v>1</v>
      </c>
      <c r="P1592" s="274">
        <v>131</v>
      </c>
      <c r="Q1592" s="274">
        <v>78</v>
      </c>
      <c r="R1592" s="274">
        <v>330</v>
      </c>
      <c r="S1592" s="274">
        <v>83</v>
      </c>
      <c r="T1592" s="287">
        <f t="shared" si="24"/>
        <v>2018</v>
      </c>
      <c r="U1592" s="274">
        <f>VLOOKUP(A1592,'[1]SB35 Determination Data'!$B$4:$F$542,5,FALSE)</f>
        <v>2014</v>
      </c>
    </row>
    <row r="1593" spans="1:21" s="274" customFormat="1" ht="12.75" x14ac:dyDescent="0.2">
      <c r="A1593" s="274" t="s">
        <v>253</v>
      </c>
      <c r="B1593" s="274" t="s">
        <v>118</v>
      </c>
      <c r="C1593" s="274" t="s">
        <v>660</v>
      </c>
      <c r="D1593" s="295">
        <v>2018</v>
      </c>
      <c r="E1593" s="274" t="s">
        <v>650</v>
      </c>
      <c r="F1593" s="291">
        <v>241</v>
      </c>
      <c r="G1593" s="285">
        <v>1</v>
      </c>
      <c r="H1593" s="291">
        <v>0</v>
      </c>
      <c r="I1593" s="291">
        <v>1</v>
      </c>
      <c r="J1593" s="291">
        <v>175</v>
      </c>
      <c r="K1593" s="284">
        <v>0</v>
      </c>
      <c r="L1593" s="291">
        <v>0</v>
      </c>
      <c r="M1593" s="291">
        <v>0</v>
      </c>
      <c r="N1593" s="291">
        <v>192</v>
      </c>
      <c r="O1593" s="291">
        <v>23</v>
      </c>
      <c r="P1593" s="274">
        <v>471</v>
      </c>
      <c r="Q1593" s="274">
        <v>20</v>
      </c>
      <c r="R1593" s="274">
        <v>1079</v>
      </c>
      <c r="S1593" s="274">
        <v>44</v>
      </c>
      <c r="T1593" s="287">
        <f t="shared" si="24"/>
        <v>2018</v>
      </c>
      <c r="U1593" s="274">
        <f>VLOOKUP(A1593,'[1]SB35 Determination Data'!$B$4:$F$542,5,FALSE)</f>
        <v>2014</v>
      </c>
    </row>
    <row r="1594" spans="1:21" s="274" customFormat="1" ht="12.75" x14ac:dyDescent="0.2">
      <c r="A1594" s="274" t="s">
        <v>261</v>
      </c>
      <c r="B1594" s="274" t="s">
        <v>189</v>
      </c>
      <c r="C1594" s="274" t="s">
        <v>649</v>
      </c>
      <c r="D1594" s="295">
        <v>2018</v>
      </c>
      <c r="E1594" s="274" t="s">
        <v>650</v>
      </c>
      <c r="F1594" s="291">
        <v>817</v>
      </c>
      <c r="G1594" s="285"/>
      <c r="H1594" s="291"/>
      <c r="I1594" s="291"/>
      <c r="J1594" s="291">
        <v>489</v>
      </c>
      <c r="K1594" s="284"/>
      <c r="L1594" s="291"/>
      <c r="M1594" s="291"/>
      <c r="N1594" s="291">
        <v>490</v>
      </c>
      <c r="O1594" s="291"/>
      <c r="P1594" s="274">
        <v>1428</v>
      </c>
      <c r="R1594" s="274">
        <v>3224</v>
      </c>
      <c r="T1594" s="287">
        <f t="shared" si="24"/>
        <v>2018</v>
      </c>
      <c r="U1594" s="274">
        <f>VLOOKUP(A1594,'[1]SB35 Determination Data'!$B$4:$F$542,5,FALSE)</f>
        <v>2014</v>
      </c>
    </row>
    <row r="1595" spans="1:21" s="274" customFormat="1" ht="12.75" x14ac:dyDescent="0.2">
      <c r="A1595" s="274" t="s">
        <v>265</v>
      </c>
      <c r="B1595" s="274" t="s">
        <v>481</v>
      </c>
      <c r="C1595" s="274" t="s">
        <v>649</v>
      </c>
      <c r="D1595" s="295">
        <v>2018</v>
      </c>
      <c r="E1595" s="274" t="s">
        <v>650</v>
      </c>
      <c r="F1595" s="291">
        <v>543</v>
      </c>
      <c r="G1595" s="285">
        <v>0</v>
      </c>
      <c r="H1595" s="291">
        <v>0</v>
      </c>
      <c r="I1595" s="291">
        <v>0</v>
      </c>
      <c r="J1595" s="291">
        <v>383</v>
      </c>
      <c r="K1595" s="284">
        <v>0</v>
      </c>
      <c r="L1595" s="291">
        <v>0</v>
      </c>
      <c r="M1595" s="291">
        <v>0</v>
      </c>
      <c r="N1595" s="291">
        <v>433</v>
      </c>
      <c r="O1595" s="291">
        <v>0</v>
      </c>
      <c r="P1595" s="274">
        <v>982</v>
      </c>
      <c r="Q1595" s="274">
        <v>86</v>
      </c>
      <c r="R1595" s="274">
        <v>2341</v>
      </c>
      <c r="S1595" s="274">
        <v>86</v>
      </c>
      <c r="T1595" s="287">
        <f t="shared" si="24"/>
        <v>2018</v>
      </c>
      <c r="U1595" s="274">
        <f>VLOOKUP(A1595,'[1]SB35 Determination Data'!$B$4:$F$542,5,FALSE)</f>
        <v>2014</v>
      </c>
    </row>
    <row r="1596" spans="1:21" s="274" customFormat="1" ht="12.75" x14ac:dyDescent="0.2">
      <c r="A1596" s="274" t="s">
        <v>268</v>
      </c>
      <c r="B1596" s="274" t="s">
        <v>411</v>
      </c>
      <c r="C1596" s="274" t="s">
        <v>654</v>
      </c>
      <c r="D1596" s="295">
        <v>2018</v>
      </c>
      <c r="E1596" s="274" t="s">
        <v>650</v>
      </c>
      <c r="F1596" s="291">
        <v>6</v>
      </c>
      <c r="G1596" s="285">
        <v>0</v>
      </c>
      <c r="H1596" s="291">
        <v>0</v>
      </c>
      <c r="I1596" s="291">
        <v>0</v>
      </c>
      <c r="J1596" s="291">
        <v>2</v>
      </c>
      <c r="K1596" s="284">
        <v>0</v>
      </c>
      <c r="L1596" s="291">
        <v>0</v>
      </c>
      <c r="M1596" s="291">
        <v>0</v>
      </c>
      <c r="N1596" s="274">
        <v>4</v>
      </c>
      <c r="O1596" s="291">
        <v>4</v>
      </c>
      <c r="P1596" s="274">
        <v>15</v>
      </c>
      <c r="Q1596" s="274">
        <v>6</v>
      </c>
      <c r="R1596" s="274">
        <v>27</v>
      </c>
      <c r="S1596" s="274">
        <v>10</v>
      </c>
      <c r="T1596" s="287">
        <f t="shared" si="24"/>
        <v>2018</v>
      </c>
      <c r="U1596" s="274">
        <f>VLOOKUP(A1596,'[1]SB35 Determination Data'!$B$4:$F$542,5,FALSE)</f>
        <v>2015</v>
      </c>
    </row>
    <row r="1597" spans="1:21" s="274" customFormat="1" ht="12.75" x14ac:dyDescent="0.2">
      <c r="A1597" s="274" t="s">
        <v>269</v>
      </c>
      <c r="B1597" s="274" t="s">
        <v>743</v>
      </c>
      <c r="C1597" s="274" t="s">
        <v>649</v>
      </c>
      <c r="D1597" s="295">
        <v>2018</v>
      </c>
      <c r="E1597" s="274" t="s">
        <v>650</v>
      </c>
      <c r="F1597" s="291">
        <v>539</v>
      </c>
      <c r="G1597" s="285">
        <v>1</v>
      </c>
      <c r="H1597" s="291">
        <v>1</v>
      </c>
      <c r="I1597" s="291">
        <v>0</v>
      </c>
      <c r="J1597" s="291">
        <v>366</v>
      </c>
      <c r="K1597" s="284">
        <v>0</v>
      </c>
      <c r="L1597" s="291">
        <v>0</v>
      </c>
      <c r="M1597" s="291">
        <v>0</v>
      </c>
      <c r="N1597" s="291">
        <v>411</v>
      </c>
      <c r="O1597" s="291">
        <v>228</v>
      </c>
      <c r="P1597" s="274">
        <v>908</v>
      </c>
      <c r="Q1597" s="274">
        <v>238</v>
      </c>
      <c r="R1597" s="274">
        <v>2224</v>
      </c>
      <c r="S1597" s="274">
        <v>467</v>
      </c>
      <c r="T1597" s="287">
        <f t="shared" si="24"/>
        <v>2018</v>
      </c>
      <c r="U1597" s="274">
        <f>VLOOKUP(A1597,'[1]SB35 Determination Data'!$B$4:$F$542,5,FALSE)</f>
        <v>2014</v>
      </c>
    </row>
    <row r="1598" spans="1:21" s="274" customFormat="1" ht="12.75" x14ac:dyDescent="0.2">
      <c r="A1598" s="274" t="s">
        <v>271</v>
      </c>
      <c r="B1598" s="274" t="s">
        <v>614</v>
      </c>
      <c r="C1598" s="274" t="s">
        <v>654</v>
      </c>
      <c r="D1598" s="295">
        <v>2018</v>
      </c>
      <c r="E1598" s="274" t="s">
        <v>650</v>
      </c>
      <c r="F1598" s="291">
        <v>253</v>
      </c>
      <c r="G1598" s="285">
        <v>2</v>
      </c>
      <c r="H1598" s="291">
        <v>2</v>
      </c>
      <c r="I1598" s="291">
        <v>0</v>
      </c>
      <c r="J1598" s="291">
        <v>138</v>
      </c>
      <c r="K1598" s="284">
        <v>2</v>
      </c>
      <c r="L1598" s="291">
        <v>2</v>
      </c>
      <c r="M1598" s="291">
        <v>0</v>
      </c>
      <c r="N1598" s="291">
        <v>151</v>
      </c>
      <c r="O1598" s="291">
        <v>3</v>
      </c>
      <c r="P1598" s="274">
        <v>391</v>
      </c>
      <c r="Q1598" s="274">
        <v>46</v>
      </c>
      <c r="R1598" s="274">
        <v>933</v>
      </c>
      <c r="S1598" s="274">
        <v>53</v>
      </c>
      <c r="T1598" s="287">
        <f t="shared" si="24"/>
        <v>2018</v>
      </c>
      <c r="U1598" s="274">
        <f>VLOOKUP(A1598,'[1]SB35 Determination Data'!$B$4:$F$542,5,FALSE)</f>
        <v>2015</v>
      </c>
    </row>
    <row r="1599" spans="1:21" s="274" customFormat="1" ht="12.75" x14ac:dyDescent="0.2">
      <c r="A1599" s="274" t="s">
        <v>274</v>
      </c>
      <c r="B1599" s="274" t="s">
        <v>621</v>
      </c>
      <c r="C1599" s="274" t="s">
        <v>531</v>
      </c>
      <c r="D1599" s="295">
        <v>2018</v>
      </c>
      <c r="E1599" s="274" t="s">
        <v>650</v>
      </c>
      <c r="F1599" s="291">
        <v>34</v>
      </c>
      <c r="G1599" s="285">
        <v>0</v>
      </c>
      <c r="H1599" s="291">
        <v>0</v>
      </c>
      <c r="I1599" s="291">
        <v>0</v>
      </c>
      <c r="J1599" s="291">
        <v>23</v>
      </c>
      <c r="K1599" s="284">
        <v>0</v>
      </c>
      <c r="L1599" s="291">
        <v>0</v>
      </c>
      <c r="M1599" s="291">
        <v>0</v>
      </c>
      <c r="N1599" s="291">
        <v>26</v>
      </c>
      <c r="O1599" s="291">
        <v>0</v>
      </c>
      <c r="P1599" s="274">
        <v>60</v>
      </c>
      <c r="Q1599" s="274">
        <v>0</v>
      </c>
      <c r="R1599" s="274">
        <v>143</v>
      </c>
      <c r="S1599" s="274">
        <v>0</v>
      </c>
      <c r="T1599" s="287">
        <f t="shared" si="24"/>
        <v>2018</v>
      </c>
      <c r="U1599" s="274">
        <f>VLOOKUP(A1599,'[1]SB35 Determination Data'!$B$4:$F$542,5,FALSE)</f>
        <v>2016</v>
      </c>
    </row>
    <row r="1600" spans="1:21" s="274" customFormat="1" ht="12.75" x14ac:dyDescent="0.2">
      <c r="A1600" s="274" t="s">
        <v>275</v>
      </c>
      <c r="B1600" s="274" t="s">
        <v>557</v>
      </c>
      <c r="C1600" s="274" t="s">
        <v>758</v>
      </c>
      <c r="D1600" s="295">
        <v>2018</v>
      </c>
      <c r="E1600" s="274" t="s">
        <v>650</v>
      </c>
      <c r="F1600" s="291">
        <v>912</v>
      </c>
      <c r="G1600" s="285">
        <v>0</v>
      </c>
      <c r="H1600" s="291">
        <v>0</v>
      </c>
      <c r="I1600" s="291">
        <v>0</v>
      </c>
      <c r="J1600" s="291">
        <v>693</v>
      </c>
      <c r="K1600" s="284">
        <v>5</v>
      </c>
      <c r="L1600" s="291">
        <v>4</v>
      </c>
      <c r="M1600" s="291">
        <v>1</v>
      </c>
      <c r="N1600" s="291">
        <v>1062</v>
      </c>
      <c r="O1600" s="291">
        <v>28</v>
      </c>
      <c r="P1600" s="274">
        <v>2332</v>
      </c>
      <c r="Q1600" s="274">
        <v>182</v>
      </c>
      <c r="R1600" s="274">
        <v>4999</v>
      </c>
      <c r="S1600" s="274">
        <v>215</v>
      </c>
      <c r="T1600" s="287">
        <f t="shared" si="24"/>
        <v>2018</v>
      </c>
      <c r="U1600" s="274">
        <f>VLOOKUP(A1600,'[1]SB35 Determination Data'!$B$4:$F$542,5,FALSE)</f>
        <v>2013</v>
      </c>
    </row>
    <row r="1601" spans="1:21" s="274" customFormat="1" ht="12.75" x14ac:dyDescent="0.2">
      <c r="A1601" s="274" t="s">
        <v>278</v>
      </c>
      <c r="B1601" s="274" t="s">
        <v>602</v>
      </c>
      <c r="C1601" s="274" t="s">
        <v>732</v>
      </c>
      <c r="D1601" s="295">
        <v>2018</v>
      </c>
      <c r="E1601" s="274" t="s">
        <v>650</v>
      </c>
      <c r="F1601" s="291">
        <v>39</v>
      </c>
      <c r="G1601" s="285">
        <v>0</v>
      </c>
      <c r="H1601" s="291">
        <v>0</v>
      </c>
      <c r="I1601" s="291">
        <v>0</v>
      </c>
      <c r="J1601" s="291">
        <v>26</v>
      </c>
      <c r="K1601" s="284">
        <v>0</v>
      </c>
      <c r="L1601" s="291">
        <v>0</v>
      </c>
      <c r="M1601" s="291">
        <v>0</v>
      </c>
      <c r="N1601" s="274">
        <v>34</v>
      </c>
      <c r="O1601" s="291">
        <v>0</v>
      </c>
      <c r="P1601" s="274">
        <v>64</v>
      </c>
      <c r="Q1601" s="274">
        <v>1</v>
      </c>
      <c r="R1601" s="274">
        <v>163</v>
      </c>
      <c r="S1601" s="274">
        <v>1</v>
      </c>
      <c r="T1601" s="287">
        <f t="shared" si="24"/>
        <v>2018</v>
      </c>
      <c r="U1601" s="274">
        <f>VLOOKUP(A1601,'[1]SB35 Determination Data'!$B$4:$F$542,5,FALSE)</f>
        <v>2015</v>
      </c>
    </row>
    <row r="1602" spans="1:21" s="274" customFormat="1" ht="12.75" x14ac:dyDescent="0.2">
      <c r="A1602" s="274" t="s">
        <v>280</v>
      </c>
      <c r="B1602" s="274" t="s">
        <v>262</v>
      </c>
      <c r="C1602" s="274" t="s">
        <v>649</v>
      </c>
      <c r="D1602" s="295">
        <v>2018</v>
      </c>
      <c r="E1602" s="274" t="s">
        <v>650</v>
      </c>
      <c r="F1602" s="291">
        <v>447</v>
      </c>
      <c r="G1602" s="285">
        <v>0</v>
      </c>
      <c r="H1602" s="291">
        <v>0</v>
      </c>
      <c r="I1602" s="291">
        <v>0</v>
      </c>
      <c r="J1602" s="291">
        <v>263</v>
      </c>
      <c r="K1602" s="284">
        <v>1</v>
      </c>
      <c r="L1602" s="291">
        <v>0</v>
      </c>
      <c r="M1602" s="291">
        <v>1</v>
      </c>
      <c r="N1602" s="291">
        <v>280</v>
      </c>
      <c r="O1602" s="291">
        <v>0</v>
      </c>
      <c r="P1602" s="274">
        <v>708</v>
      </c>
      <c r="Q1602" s="274">
        <v>6</v>
      </c>
      <c r="R1602" s="274">
        <v>1698</v>
      </c>
      <c r="S1602" s="274">
        <v>7</v>
      </c>
      <c r="T1602" s="287">
        <f t="shared" si="24"/>
        <v>2018</v>
      </c>
      <c r="U1602" s="274">
        <f>VLOOKUP(A1602,'[1]SB35 Determination Data'!$B$4:$F$542,5,FALSE)</f>
        <v>2014</v>
      </c>
    </row>
    <row r="1603" spans="1:21" s="274" customFormat="1" ht="12.75" x14ac:dyDescent="0.2">
      <c r="A1603" s="274" t="s">
        <v>283</v>
      </c>
      <c r="B1603" s="274" t="s">
        <v>481</v>
      </c>
      <c r="C1603" s="274" t="s">
        <v>649</v>
      </c>
      <c r="D1603" s="295">
        <v>2018</v>
      </c>
      <c r="E1603" s="274" t="s">
        <v>650</v>
      </c>
      <c r="F1603" s="291">
        <v>141</v>
      </c>
      <c r="G1603" s="285">
        <v>0</v>
      </c>
      <c r="H1603" s="291">
        <v>0</v>
      </c>
      <c r="I1603" s="291">
        <v>0</v>
      </c>
      <c r="J1603" s="291">
        <v>95</v>
      </c>
      <c r="K1603" s="284">
        <v>0</v>
      </c>
      <c r="L1603" s="291">
        <v>0</v>
      </c>
      <c r="M1603" s="291">
        <v>0</v>
      </c>
      <c r="N1603" s="291">
        <v>110</v>
      </c>
      <c r="O1603" s="291">
        <v>0</v>
      </c>
      <c r="P1603" s="274">
        <v>254</v>
      </c>
      <c r="Q1603" s="274">
        <v>89</v>
      </c>
      <c r="R1603" s="274">
        <v>600</v>
      </c>
      <c r="S1603" s="274">
        <v>89</v>
      </c>
      <c r="T1603" s="287">
        <f t="shared" si="24"/>
        <v>2018</v>
      </c>
      <c r="U1603" s="274">
        <f>VLOOKUP(A1603,'[1]SB35 Determination Data'!$B$4:$F$542,5,FALSE)</f>
        <v>2014</v>
      </c>
    </row>
    <row r="1604" spans="1:21" s="274" customFormat="1" ht="12.75" x14ac:dyDescent="0.2">
      <c r="A1604" s="274" t="s">
        <v>284</v>
      </c>
      <c r="B1604" s="274" t="s">
        <v>679</v>
      </c>
      <c r="C1604" s="274" t="s">
        <v>531</v>
      </c>
      <c r="D1604" s="295">
        <v>2018</v>
      </c>
      <c r="E1604" s="274" t="s">
        <v>650</v>
      </c>
      <c r="F1604" s="291">
        <v>622</v>
      </c>
      <c r="G1604" s="285">
        <v>0</v>
      </c>
      <c r="H1604" s="291">
        <v>0</v>
      </c>
      <c r="I1604" s="291">
        <v>0</v>
      </c>
      <c r="J1604" s="291">
        <v>399</v>
      </c>
      <c r="K1604" s="284">
        <v>0</v>
      </c>
      <c r="L1604" s="291">
        <v>0</v>
      </c>
      <c r="M1604" s="291">
        <v>0</v>
      </c>
      <c r="N1604" s="291">
        <v>446</v>
      </c>
      <c r="O1604" s="291">
        <v>0</v>
      </c>
      <c r="P1604" s="274">
        <v>1104</v>
      </c>
      <c r="Q1604" s="274">
        <v>0</v>
      </c>
      <c r="R1604" s="274">
        <v>2571</v>
      </c>
      <c r="S1604" s="274">
        <v>0</v>
      </c>
      <c r="T1604" s="287">
        <f t="shared" ref="T1604:T1667" si="25">IF(D1604&gt;U1604,D1604,U1604)</f>
        <v>2018</v>
      </c>
      <c r="U1604" s="274">
        <f>VLOOKUP(A1604,'[1]SB35 Determination Data'!$B$4:$F$542,5,FALSE)</f>
        <v>2016</v>
      </c>
    </row>
    <row r="1605" spans="1:21" s="274" customFormat="1" ht="12.75" x14ac:dyDescent="0.2">
      <c r="A1605" s="274" t="s">
        <v>286</v>
      </c>
      <c r="B1605" s="274" t="s">
        <v>262</v>
      </c>
      <c r="C1605" s="274" t="s">
        <v>649</v>
      </c>
      <c r="D1605" s="295">
        <v>2018</v>
      </c>
      <c r="E1605" s="274" t="s">
        <v>650</v>
      </c>
      <c r="F1605" s="291">
        <v>23</v>
      </c>
      <c r="G1605" s="285"/>
      <c r="H1605" s="291"/>
      <c r="I1605" s="291"/>
      <c r="J1605" s="291">
        <v>14</v>
      </c>
      <c r="K1605" s="284"/>
      <c r="L1605" s="291"/>
      <c r="M1605" s="291"/>
      <c r="N1605" s="291">
        <v>14</v>
      </c>
      <c r="O1605" s="291"/>
      <c r="P1605" s="274">
        <v>35</v>
      </c>
      <c r="R1605" s="274">
        <v>86</v>
      </c>
      <c r="T1605" s="287">
        <f t="shared" si="25"/>
        <v>2018</v>
      </c>
      <c r="U1605" s="274">
        <f>VLOOKUP(A1605,'[1]SB35 Determination Data'!$B$4:$F$542,5,FALSE)</f>
        <v>2014</v>
      </c>
    </row>
    <row r="1606" spans="1:21" s="274" customFormat="1" ht="12.75" x14ac:dyDescent="0.2">
      <c r="A1606" s="274" t="s">
        <v>236</v>
      </c>
      <c r="B1606" s="274" t="s">
        <v>109</v>
      </c>
      <c r="C1606" s="274" t="s">
        <v>717</v>
      </c>
      <c r="D1606" s="295">
        <v>2018</v>
      </c>
      <c r="E1606" s="274" t="s">
        <v>650</v>
      </c>
      <c r="F1606" s="291">
        <v>974</v>
      </c>
      <c r="G1606" s="285">
        <v>0</v>
      </c>
      <c r="H1606" s="291">
        <v>0</v>
      </c>
      <c r="I1606" s="291">
        <v>0</v>
      </c>
      <c r="J1606" s="291">
        <v>643</v>
      </c>
      <c r="K1606" s="284">
        <v>2</v>
      </c>
      <c r="L1606" s="291">
        <v>2</v>
      </c>
      <c r="M1606" s="291">
        <v>0</v>
      </c>
      <c r="N1606" s="291">
        <v>708</v>
      </c>
      <c r="O1606" s="291">
        <v>0</v>
      </c>
      <c r="P1606" s="274">
        <v>1638</v>
      </c>
      <c r="Q1606" s="274">
        <v>115</v>
      </c>
      <c r="R1606" s="274">
        <v>3963</v>
      </c>
      <c r="S1606" s="274">
        <v>117</v>
      </c>
      <c r="T1606" s="287">
        <f t="shared" si="25"/>
        <v>2018</v>
      </c>
      <c r="U1606" s="274">
        <f>VLOOKUP(A1606,'[1]SB35 Determination Data'!$B$4:$F$542,5,FALSE)</f>
        <v>2014</v>
      </c>
    </row>
    <row r="1607" spans="1:21" s="274" customFormat="1" ht="12.75" x14ac:dyDescent="0.2">
      <c r="A1607" s="274" t="s">
        <v>288</v>
      </c>
      <c r="B1607" s="274" t="s">
        <v>542</v>
      </c>
      <c r="C1607" s="274" t="s">
        <v>649</v>
      </c>
      <c r="D1607" s="295">
        <v>2018</v>
      </c>
      <c r="E1607" s="274" t="s">
        <v>650</v>
      </c>
      <c r="F1607" s="291">
        <v>707</v>
      </c>
      <c r="G1607" s="285">
        <v>0</v>
      </c>
      <c r="H1607" s="291">
        <v>0</v>
      </c>
      <c r="I1607" s="291">
        <v>0</v>
      </c>
      <c r="J1607" s="291">
        <v>478</v>
      </c>
      <c r="K1607" s="284">
        <v>0</v>
      </c>
      <c r="L1607" s="291">
        <v>0</v>
      </c>
      <c r="M1607" s="291">
        <v>0</v>
      </c>
      <c r="N1607" s="274">
        <v>533</v>
      </c>
      <c r="O1607" s="291">
        <v>0</v>
      </c>
      <c r="P1607" s="274">
        <v>1176</v>
      </c>
      <c r="Q1607" s="274">
        <v>521</v>
      </c>
      <c r="R1607" s="274">
        <v>2894</v>
      </c>
      <c r="S1607" s="274">
        <v>521</v>
      </c>
      <c r="T1607" s="287">
        <f t="shared" si="25"/>
        <v>2018</v>
      </c>
      <c r="U1607" s="274">
        <f>VLOOKUP(A1607,'[1]SB35 Determination Data'!$B$4:$F$542,5,FALSE)</f>
        <v>2014</v>
      </c>
    </row>
    <row r="1608" spans="1:21" s="274" customFormat="1" ht="12.75" x14ac:dyDescent="0.2">
      <c r="A1608" s="274" t="s">
        <v>289</v>
      </c>
      <c r="B1608" s="274" t="s">
        <v>542</v>
      </c>
      <c r="C1608" s="274" t="s">
        <v>649</v>
      </c>
      <c r="D1608" s="295">
        <v>2018</v>
      </c>
      <c r="E1608" s="274" t="s">
        <v>650</v>
      </c>
      <c r="F1608" s="291">
        <v>217</v>
      </c>
      <c r="G1608" s="285">
        <v>0</v>
      </c>
      <c r="H1608" s="291">
        <v>0</v>
      </c>
      <c r="I1608" s="291">
        <v>0</v>
      </c>
      <c r="J1608" s="291">
        <v>148</v>
      </c>
      <c r="K1608" s="284">
        <v>0</v>
      </c>
      <c r="L1608" s="291">
        <v>0</v>
      </c>
      <c r="M1608" s="291">
        <v>0</v>
      </c>
      <c r="N1608" s="291">
        <v>164</v>
      </c>
      <c r="O1608" s="291">
        <v>0</v>
      </c>
      <c r="P1608" s="274">
        <v>333</v>
      </c>
      <c r="Q1608" s="274">
        <v>224</v>
      </c>
      <c r="R1608" s="274">
        <v>862</v>
      </c>
      <c r="S1608" s="274">
        <v>224</v>
      </c>
      <c r="T1608" s="287">
        <f t="shared" si="25"/>
        <v>2018</v>
      </c>
      <c r="U1608" s="274">
        <f>VLOOKUP(A1608,'[1]SB35 Determination Data'!$B$4:$F$542,5,FALSE)</f>
        <v>2014</v>
      </c>
    </row>
    <row r="1609" spans="1:21" s="274" customFormat="1" ht="12.75" x14ac:dyDescent="0.2">
      <c r="A1609" s="274" t="s">
        <v>291</v>
      </c>
      <c r="B1609" s="274" t="s">
        <v>281</v>
      </c>
      <c r="C1609" s="274" t="s">
        <v>660</v>
      </c>
      <c r="D1609" s="295">
        <v>2018</v>
      </c>
      <c r="E1609" s="274" t="s">
        <v>650</v>
      </c>
      <c r="F1609" s="291">
        <v>253</v>
      </c>
      <c r="G1609" s="285">
        <v>0</v>
      </c>
      <c r="H1609" s="291">
        <v>0</v>
      </c>
      <c r="I1609" s="291">
        <v>0</v>
      </c>
      <c r="J1609" s="291">
        <v>190</v>
      </c>
      <c r="K1609" s="284">
        <v>0</v>
      </c>
      <c r="L1609" s="291">
        <v>0</v>
      </c>
      <c r="M1609" s="291">
        <v>0</v>
      </c>
      <c r="N1609" s="291">
        <v>204</v>
      </c>
      <c r="O1609" s="291">
        <v>20</v>
      </c>
      <c r="P1609" s="274">
        <v>467</v>
      </c>
      <c r="Q1609" s="274">
        <v>0</v>
      </c>
      <c r="R1609" s="274">
        <v>1114</v>
      </c>
      <c r="S1609" s="274">
        <v>20</v>
      </c>
      <c r="T1609" s="287">
        <f t="shared" si="25"/>
        <v>2018</v>
      </c>
      <c r="U1609" s="274">
        <f>VLOOKUP(A1609,'[1]SB35 Determination Data'!$B$4:$F$542,5,FALSE)</f>
        <v>2016</v>
      </c>
    </row>
    <row r="1610" spans="1:21" s="274" customFormat="1" ht="12.75" x14ac:dyDescent="0.2">
      <c r="A1610" s="274" t="s">
        <v>292</v>
      </c>
      <c r="B1610" s="274" t="s">
        <v>557</v>
      </c>
      <c r="C1610" s="274" t="s">
        <v>758</v>
      </c>
      <c r="D1610" s="295">
        <v>2018</v>
      </c>
      <c r="E1610" s="274" t="s">
        <v>650</v>
      </c>
      <c r="F1610" s="291">
        <v>3209</v>
      </c>
      <c r="G1610" s="285">
        <v>0</v>
      </c>
      <c r="H1610" s="291">
        <v>0</v>
      </c>
      <c r="I1610" s="291">
        <v>0</v>
      </c>
      <c r="J1610" s="291">
        <v>2439</v>
      </c>
      <c r="K1610" s="284">
        <v>0</v>
      </c>
      <c r="L1610" s="291">
        <v>0</v>
      </c>
      <c r="M1610" s="291">
        <v>0</v>
      </c>
      <c r="N1610" s="291">
        <v>2257</v>
      </c>
      <c r="O1610" s="291">
        <v>0</v>
      </c>
      <c r="P1610" s="274">
        <v>4956</v>
      </c>
      <c r="Q1610" s="274">
        <v>1777</v>
      </c>
      <c r="R1610" s="274">
        <v>12861</v>
      </c>
      <c r="S1610" s="274">
        <v>1777</v>
      </c>
      <c r="T1610" s="287">
        <f t="shared" si="25"/>
        <v>2018</v>
      </c>
      <c r="U1610" s="274">
        <f>VLOOKUP(A1610,'[1]SB35 Determination Data'!$B$4:$F$542,5,FALSE)</f>
        <v>2013</v>
      </c>
    </row>
    <row r="1611" spans="1:21" s="274" customFormat="1" ht="12.75" x14ac:dyDescent="0.2">
      <c r="A1611" s="274" t="s">
        <v>294</v>
      </c>
      <c r="B1611" s="274" t="s">
        <v>511</v>
      </c>
      <c r="C1611" s="274" t="s">
        <v>685</v>
      </c>
      <c r="D1611" s="295">
        <v>2018</v>
      </c>
      <c r="E1611" s="274" t="s">
        <v>650</v>
      </c>
      <c r="F1611" s="291">
        <v>146</v>
      </c>
      <c r="G1611" s="285">
        <v>2</v>
      </c>
      <c r="H1611" s="291">
        <v>0</v>
      </c>
      <c r="I1611" s="291">
        <v>2</v>
      </c>
      <c r="J1611" s="291">
        <v>102</v>
      </c>
      <c r="K1611" s="284">
        <v>0</v>
      </c>
      <c r="L1611" s="291">
        <v>0</v>
      </c>
      <c r="M1611" s="291">
        <v>0</v>
      </c>
      <c r="N1611" s="291">
        <v>130</v>
      </c>
      <c r="O1611" s="291">
        <v>0</v>
      </c>
      <c r="P1611" s="274">
        <v>318</v>
      </c>
      <c r="Q1611" s="274">
        <v>16</v>
      </c>
      <c r="R1611" s="274">
        <v>696</v>
      </c>
      <c r="S1611" s="274">
        <v>18</v>
      </c>
      <c r="T1611" s="287">
        <f t="shared" si="25"/>
        <v>2018</v>
      </c>
      <c r="U1611" s="274">
        <f>VLOOKUP(A1611,'[1]SB35 Determination Data'!$B$4:$F$542,5,FALSE)</f>
        <v>2014</v>
      </c>
    </row>
    <row r="1612" spans="1:21" s="274" customFormat="1" ht="12.75" x14ac:dyDescent="0.2">
      <c r="A1612" s="274" t="s">
        <v>295</v>
      </c>
      <c r="B1612" s="274" t="s">
        <v>262</v>
      </c>
      <c r="C1612" s="274" t="s">
        <v>649</v>
      </c>
      <c r="D1612" s="295">
        <v>2018</v>
      </c>
      <c r="E1612" s="274" t="s">
        <v>650</v>
      </c>
      <c r="F1612" s="291">
        <v>98</v>
      </c>
      <c r="G1612" s="285">
        <v>0</v>
      </c>
      <c r="H1612" s="291">
        <v>0</v>
      </c>
      <c r="I1612" s="291">
        <v>0</v>
      </c>
      <c r="J1612" s="291">
        <v>59</v>
      </c>
      <c r="K1612" s="284">
        <v>0</v>
      </c>
      <c r="L1612" s="291">
        <v>0</v>
      </c>
      <c r="M1612" s="291">
        <v>0</v>
      </c>
      <c r="N1612" s="274">
        <v>64</v>
      </c>
      <c r="O1612" s="291">
        <v>7</v>
      </c>
      <c r="P1612" s="274">
        <v>152</v>
      </c>
      <c r="Q1612" s="274">
        <v>30</v>
      </c>
      <c r="R1612" s="274">
        <v>373</v>
      </c>
      <c r="S1612" s="274">
        <v>37</v>
      </c>
      <c r="T1612" s="287">
        <f t="shared" si="25"/>
        <v>2018</v>
      </c>
      <c r="U1612" s="274">
        <f>VLOOKUP(A1612,'[1]SB35 Determination Data'!$B$4:$F$542,5,FALSE)</f>
        <v>2014</v>
      </c>
    </row>
    <row r="1613" spans="1:21" s="274" customFormat="1" ht="12.75" x14ac:dyDescent="0.2">
      <c r="A1613" s="274" t="s">
        <v>266</v>
      </c>
      <c r="B1613" s="274" t="s">
        <v>120</v>
      </c>
      <c r="C1613" s="274" t="s">
        <v>654</v>
      </c>
      <c r="D1613" s="295">
        <v>2018</v>
      </c>
      <c r="E1613" s="274" t="s">
        <v>650</v>
      </c>
      <c r="F1613" s="291">
        <v>51</v>
      </c>
      <c r="G1613" s="285"/>
      <c r="H1613" s="291"/>
      <c r="I1613" s="291"/>
      <c r="J1613" s="291">
        <v>25</v>
      </c>
      <c r="K1613" s="284"/>
      <c r="L1613" s="291"/>
      <c r="M1613" s="291"/>
      <c r="N1613" s="291">
        <v>31</v>
      </c>
      <c r="O1613" s="291"/>
      <c r="P1613" s="274">
        <v>34</v>
      </c>
      <c r="R1613" s="274">
        <v>141</v>
      </c>
      <c r="T1613" s="287">
        <f t="shared" si="25"/>
        <v>2018</v>
      </c>
      <c r="U1613" s="274">
        <f>VLOOKUP(A1613,'[1]SB35 Determination Data'!$B$4:$F$542,5,FALSE)</f>
        <v>2015</v>
      </c>
    </row>
    <row r="1614" spans="1:21" s="274" customFormat="1" ht="12.75" x14ac:dyDescent="0.2">
      <c r="A1614" s="274" t="s">
        <v>297</v>
      </c>
      <c r="B1614" s="274" t="s">
        <v>240</v>
      </c>
      <c r="C1614" s="274" t="s">
        <v>660</v>
      </c>
      <c r="D1614" s="295">
        <v>2018</v>
      </c>
      <c r="E1614" s="274" t="s">
        <v>650</v>
      </c>
      <c r="F1614" s="291">
        <v>108</v>
      </c>
      <c r="G1614" s="285">
        <v>1</v>
      </c>
      <c r="H1614" s="291">
        <v>0</v>
      </c>
      <c r="I1614" s="291">
        <v>1</v>
      </c>
      <c r="J1614" s="291">
        <v>67</v>
      </c>
      <c r="K1614" s="284">
        <v>1</v>
      </c>
      <c r="L1614" s="291">
        <v>0</v>
      </c>
      <c r="M1614" s="291">
        <v>1</v>
      </c>
      <c r="N1614" s="291">
        <v>87</v>
      </c>
      <c r="O1614" s="291">
        <v>2</v>
      </c>
      <c r="P1614" s="274">
        <v>205</v>
      </c>
      <c r="Q1614" s="274">
        <v>5</v>
      </c>
      <c r="R1614" s="274">
        <v>467</v>
      </c>
      <c r="S1614" s="274">
        <v>9</v>
      </c>
      <c r="T1614" s="287">
        <f t="shared" si="25"/>
        <v>2018</v>
      </c>
      <c r="U1614" s="274">
        <f>VLOOKUP(A1614,'[1]SB35 Determination Data'!$B$4:$F$542,5,FALSE)</f>
        <v>2014</v>
      </c>
    </row>
    <row r="1615" spans="1:21" s="274" customFormat="1" ht="12.75" x14ac:dyDescent="0.2">
      <c r="A1615" s="274" t="s">
        <v>298</v>
      </c>
      <c r="B1615" s="274" t="s">
        <v>669</v>
      </c>
      <c r="C1615" s="274" t="s">
        <v>654</v>
      </c>
      <c r="D1615" s="295">
        <v>2018</v>
      </c>
      <c r="E1615" s="274" t="s">
        <v>650</v>
      </c>
      <c r="F1615" s="291">
        <v>39</v>
      </c>
      <c r="G1615" s="285">
        <v>0</v>
      </c>
      <c r="H1615" s="291">
        <v>0</v>
      </c>
      <c r="I1615" s="291">
        <v>0</v>
      </c>
      <c r="J1615" s="291">
        <v>29</v>
      </c>
      <c r="K1615" s="284">
        <v>0</v>
      </c>
      <c r="L1615" s="291">
        <v>0</v>
      </c>
      <c r="M1615" s="291">
        <v>0</v>
      </c>
      <c r="N1615" s="291">
        <v>31</v>
      </c>
      <c r="O1615" s="291">
        <v>0</v>
      </c>
      <c r="P1615" s="274">
        <v>112</v>
      </c>
      <c r="Q1615" s="274">
        <v>14</v>
      </c>
      <c r="R1615" s="274">
        <v>211</v>
      </c>
      <c r="S1615" s="274">
        <v>14</v>
      </c>
      <c r="T1615" s="287">
        <f t="shared" si="25"/>
        <v>2018</v>
      </c>
      <c r="U1615" s="274">
        <f>VLOOKUP(A1615,'[1]SB35 Determination Data'!$B$4:$F$542,5,FALSE)</f>
        <v>2015</v>
      </c>
    </row>
    <row r="1616" spans="1:21" s="274" customFormat="1" ht="12.75" x14ac:dyDescent="0.2">
      <c r="A1616" s="274" t="s">
        <v>300</v>
      </c>
      <c r="B1616" s="274" t="s">
        <v>125</v>
      </c>
      <c r="C1616" s="274" t="s">
        <v>531</v>
      </c>
      <c r="D1616" s="295">
        <v>2018</v>
      </c>
      <c r="E1616" s="274" t="s">
        <v>650</v>
      </c>
      <c r="F1616" s="291">
        <v>2321</v>
      </c>
      <c r="G1616" s="285">
        <v>0</v>
      </c>
      <c r="H1616" s="291">
        <v>0</v>
      </c>
      <c r="I1616" s="291">
        <v>0</v>
      </c>
      <c r="J1616" s="291">
        <v>1145</v>
      </c>
      <c r="K1616" s="284">
        <v>2</v>
      </c>
      <c r="L1616" s="291">
        <v>2</v>
      </c>
      <c r="M1616" s="291">
        <v>0</v>
      </c>
      <c r="N1616" s="274">
        <v>1018</v>
      </c>
      <c r="O1616" s="291">
        <v>411</v>
      </c>
      <c r="P1616" s="274">
        <v>1844</v>
      </c>
      <c r="Q1616" s="274">
        <v>694</v>
      </c>
      <c r="R1616" s="274">
        <v>6328</v>
      </c>
      <c r="S1616" s="274">
        <v>1107</v>
      </c>
      <c r="T1616" s="287">
        <f t="shared" si="25"/>
        <v>2018</v>
      </c>
      <c r="U1616" s="274">
        <f>VLOOKUP(A1616,'[1]SB35 Determination Data'!$B$4:$F$542,5,FALSE)</f>
        <v>2016</v>
      </c>
    </row>
    <row r="1617" spans="1:21" s="274" customFormat="1" ht="12.75" x14ac:dyDescent="0.2">
      <c r="A1617" s="274" t="s">
        <v>302</v>
      </c>
      <c r="B1617" s="274" t="s">
        <v>481</v>
      </c>
      <c r="C1617" s="274" t="s">
        <v>649</v>
      </c>
      <c r="D1617" s="295">
        <v>2018</v>
      </c>
      <c r="E1617" s="274" t="s">
        <v>650</v>
      </c>
      <c r="F1617" s="291">
        <v>1555</v>
      </c>
      <c r="G1617" s="285"/>
      <c r="H1617" s="291"/>
      <c r="I1617" s="291"/>
      <c r="J1617" s="291">
        <v>1059</v>
      </c>
      <c r="K1617" s="284"/>
      <c r="L1617" s="291"/>
      <c r="M1617" s="291"/>
      <c r="N1617" s="291">
        <v>1212</v>
      </c>
      <c r="O1617" s="291"/>
      <c r="P1617" s="274">
        <v>2945</v>
      </c>
      <c r="R1617" s="274">
        <v>6771</v>
      </c>
      <c r="T1617" s="287">
        <f t="shared" si="25"/>
        <v>2018</v>
      </c>
      <c r="U1617" s="274">
        <f>VLOOKUP(A1617,'[1]SB35 Determination Data'!$B$4:$F$542,5,FALSE)</f>
        <v>2014</v>
      </c>
    </row>
    <row r="1618" spans="1:21" s="274" customFormat="1" ht="12.75" x14ac:dyDescent="0.2">
      <c r="A1618" s="274" t="s">
        <v>304</v>
      </c>
      <c r="B1618" s="274" t="s">
        <v>125</v>
      </c>
      <c r="C1618" s="274" t="s">
        <v>531</v>
      </c>
      <c r="D1618" s="295">
        <v>2018</v>
      </c>
      <c r="E1618" s="274" t="s">
        <v>650</v>
      </c>
      <c r="F1618" s="291">
        <v>150</v>
      </c>
      <c r="G1618" s="285">
        <v>0</v>
      </c>
      <c r="H1618" s="291">
        <v>0</v>
      </c>
      <c r="I1618" s="291">
        <v>0</v>
      </c>
      <c r="J1618" s="291">
        <v>115</v>
      </c>
      <c r="K1618" s="284">
        <v>0</v>
      </c>
      <c r="L1618" s="291">
        <v>0</v>
      </c>
      <c r="M1618" s="291">
        <v>0</v>
      </c>
      <c r="N1618" s="291">
        <v>123</v>
      </c>
      <c r="O1618" s="291">
        <v>14</v>
      </c>
      <c r="P1618" s="274">
        <v>201</v>
      </c>
      <c r="Q1618" s="274">
        <v>30</v>
      </c>
      <c r="R1618" s="274">
        <v>589</v>
      </c>
      <c r="S1618" s="274">
        <v>44</v>
      </c>
      <c r="T1618" s="287">
        <f t="shared" si="25"/>
        <v>2018</v>
      </c>
      <c r="U1618" s="274">
        <f>VLOOKUP(A1618,'[1]SB35 Determination Data'!$B$4:$F$542,5,FALSE)</f>
        <v>2016</v>
      </c>
    </row>
    <row r="1619" spans="1:21" s="274" customFormat="1" ht="12.75" x14ac:dyDescent="0.2">
      <c r="A1619" s="274" t="s">
        <v>305</v>
      </c>
      <c r="B1619" s="274" t="s">
        <v>451</v>
      </c>
      <c r="C1619" s="274" t="s">
        <v>685</v>
      </c>
      <c r="D1619" s="295">
        <v>2018</v>
      </c>
      <c r="E1619" s="274" t="s">
        <v>650</v>
      </c>
      <c r="F1619" s="291">
        <v>10</v>
      </c>
      <c r="G1619" s="285"/>
      <c r="H1619" s="291"/>
      <c r="I1619" s="291"/>
      <c r="J1619" s="291">
        <v>7</v>
      </c>
      <c r="K1619" s="284"/>
      <c r="L1619" s="291"/>
      <c r="M1619" s="291"/>
      <c r="N1619" s="291">
        <v>10</v>
      </c>
      <c r="O1619" s="291"/>
      <c r="P1619" s="274">
        <v>24</v>
      </c>
      <c r="R1619" s="274">
        <v>51</v>
      </c>
      <c r="T1619" s="287">
        <f t="shared" si="25"/>
        <v>2018</v>
      </c>
      <c r="U1619" s="274">
        <f>VLOOKUP(A1619,'[1]SB35 Determination Data'!$B$4:$F$542,5,FALSE)</f>
        <v>2014</v>
      </c>
    </row>
    <row r="1620" spans="1:21" s="274" customFormat="1" ht="12.75" x14ac:dyDescent="0.2">
      <c r="A1620" s="274" t="s">
        <v>307</v>
      </c>
      <c r="B1620" s="274" t="s">
        <v>595</v>
      </c>
      <c r="C1620" s="274" t="s">
        <v>654</v>
      </c>
      <c r="D1620" s="295">
        <v>2018</v>
      </c>
      <c r="E1620" s="274" t="s">
        <v>650</v>
      </c>
      <c r="F1620" s="291">
        <v>20</v>
      </c>
      <c r="G1620" s="285">
        <v>31</v>
      </c>
      <c r="H1620" s="291">
        <v>31</v>
      </c>
      <c r="I1620" s="291">
        <v>0</v>
      </c>
      <c r="J1620" s="291">
        <v>8</v>
      </c>
      <c r="K1620" s="284">
        <v>34</v>
      </c>
      <c r="L1620" s="291">
        <v>34</v>
      </c>
      <c r="M1620" s="291">
        <v>0</v>
      </c>
      <c r="N1620" s="291">
        <v>9</v>
      </c>
      <c r="O1620" s="291">
        <v>0</v>
      </c>
      <c r="P1620" s="274">
        <v>22</v>
      </c>
      <c r="Q1620" s="274">
        <v>4</v>
      </c>
      <c r="R1620" s="274">
        <v>59</v>
      </c>
      <c r="S1620" s="274">
        <v>69</v>
      </c>
      <c r="T1620" s="287">
        <f t="shared" si="25"/>
        <v>2018</v>
      </c>
      <c r="U1620" s="274">
        <f>VLOOKUP(A1620,'[1]SB35 Determination Data'!$B$4:$F$542,5,FALSE)</f>
        <v>2015</v>
      </c>
    </row>
    <row r="1621" spans="1:21" s="274" customFormat="1" ht="12.75" x14ac:dyDescent="0.2">
      <c r="A1621" s="274" t="s">
        <v>308</v>
      </c>
      <c r="B1621" s="274" t="s">
        <v>542</v>
      </c>
      <c r="C1621" s="274" t="s">
        <v>649</v>
      </c>
      <c r="D1621" s="295">
        <v>2018</v>
      </c>
      <c r="E1621" s="274" t="s">
        <v>650</v>
      </c>
      <c r="F1621" s="291">
        <v>443</v>
      </c>
      <c r="G1621" s="285">
        <v>0</v>
      </c>
      <c r="H1621" s="291">
        <v>0</v>
      </c>
      <c r="I1621" s="291">
        <v>0</v>
      </c>
      <c r="J1621" s="291">
        <v>302</v>
      </c>
      <c r="K1621" s="284">
        <v>0</v>
      </c>
      <c r="L1621" s="291">
        <v>0</v>
      </c>
      <c r="M1621" s="291">
        <v>0</v>
      </c>
      <c r="N1621" s="291">
        <v>347</v>
      </c>
      <c r="O1621" s="291">
        <v>0</v>
      </c>
      <c r="P1621" s="274">
        <v>831</v>
      </c>
      <c r="Q1621" s="274">
        <v>69</v>
      </c>
      <c r="R1621" s="274">
        <v>1923</v>
      </c>
      <c r="S1621" s="274">
        <v>69</v>
      </c>
      <c r="T1621" s="287">
        <f t="shared" si="25"/>
        <v>2018</v>
      </c>
      <c r="U1621" s="274">
        <f>VLOOKUP(A1621,'[1]SB35 Determination Data'!$B$4:$F$542,5,FALSE)</f>
        <v>2014</v>
      </c>
    </row>
    <row r="1622" spans="1:21" s="274" customFormat="1" ht="12.75" x14ac:dyDescent="0.2">
      <c r="A1622" s="274" t="s">
        <v>258</v>
      </c>
      <c r="B1622" s="274" t="s">
        <v>119</v>
      </c>
      <c r="C1622" s="274" t="s">
        <v>660</v>
      </c>
      <c r="D1622" s="295">
        <v>2018</v>
      </c>
      <c r="E1622" s="274" t="s">
        <v>650</v>
      </c>
      <c r="F1622" s="291">
        <v>107</v>
      </c>
      <c r="G1622" s="285">
        <v>3</v>
      </c>
      <c r="H1622" s="291">
        <v>0</v>
      </c>
      <c r="I1622" s="291">
        <v>3</v>
      </c>
      <c r="J1622" s="291">
        <v>91</v>
      </c>
      <c r="K1622" s="284">
        <v>0</v>
      </c>
      <c r="L1622" s="291">
        <v>0</v>
      </c>
      <c r="M1622" s="291">
        <v>0</v>
      </c>
      <c r="N1622" s="274">
        <v>91</v>
      </c>
      <c r="O1622" s="291">
        <v>2</v>
      </c>
      <c r="P1622" s="274">
        <v>210</v>
      </c>
      <c r="Q1622" s="274">
        <v>6</v>
      </c>
      <c r="R1622" s="274">
        <v>499</v>
      </c>
      <c r="S1622" s="274">
        <v>11</v>
      </c>
      <c r="T1622" s="287">
        <f t="shared" si="25"/>
        <v>2018</v>
      </c>
      <c r="U1622" s="274">
        <f>VLOOKUP(A1622,'[1]SB35 Determination Data'!$B$4:$F$542,5,FALSE)</f>
        <v>2014</v>
      </c>
    </row>
    <row r="1623" spans="1:21" s="274" customFormat="1" ht="12.75" x14ac:dyDescent="0.2">
      <c r="A1623" s="274" t="s">
        <v>270</v>
      </c>
      <c r="B1623" s="274" t="s">
        <v>120</v>
      </c>
      <c r="C1623" s="274" t="s">
        <v>654</v>
      </c>
      <c r="D1623" s="295">
        <v>2018</v>
      </c>
      <c r="E1623" s="274" t="s">
        <v>650</v>
      </c>
      <c r="F1623" s="291">
        <v>798</v>
      </c>
      <c r="G1623" s="285">
        <v>0</v>
      </c>
      <c r="H1623" s="291">
        <v>0</v>
      </c>
      <c r="I1623" s="291">
        <v>0</v>
      </c>
      <c r="J1623" s="291">
        <v>444</v>
      </c>
      <c r="K1623" s="284">
        <v>0</v>
      </c>
      <c r="L1623" s="291">
        <v>0</v>
      </c>
      <c r="M1623" s="291">
        <v>0</v>
      </c>
      <c r="N1623" s="291">
        <v>559</v>
      </c>
      <c r="O1623" s="291">
        <v>0</v>
      </c>
      <c r="P1623" s="274">
        <v>1677</v>
      </c>
      <c r="Q1623" s="274">
        <v>24</v>
      </c>
      <c r="R1623" s="274">
        <v>3478</v>
      </c>
      <c r="S1623" s="274">
        <v>24</v>
      </c>
      <c r="T1623" s="287">
        <f t="shared" si="25"/>
        <v>2018</v>
      </c>
      <c r="U1623" s="274">
        <f>VLOOKUP(A1623,'[1]SB35 Determination Data'!$B$4:$F$542,5,FALSE)</f>
        <v>2015</v>
      </c>
    </row>
    <row r="1624" spans="1:21" s="274" customFormat="1" ht="12.75" x14ac:dyDescent="0.2">
      <c r="A1624" s="274" t="s">
        <v>273</v>
      </c>
      <c r="B1624" s="274" t="s">
        <v>120</v>
      </c>
      <c r="C1624" s="274" t="s">
        <v>654</v>
      </c>
      <c r="D1624" s="295">
        <v>2018</v>
      </c>
      <c r="E1624" s="274" t="s">
        <v>650</v>
      </c>
      <c r="F1624" s="291">
        <v>374</v>
      </c>
      <c r="G1624" s="285">
        <v>63</v>
      </c>
      <c r="H1624" s="291">
        <v>62</v>
      </c>
      <c r="I1624" s="291">
        <v>1</v>
      </c>
      <c r="J1624" s="291">
        <v>218</v>
      </c>
      <c r="K1624" s="284">
        <v>171</v>
      </c>
      <c r="L1624" s="291">
        <v>171</v>
      </c>
      <c r="M1624" s="291">
        <v>0</v>
      </c>
      <c r="N1624" s="291">
        <v>243</v>
      </c>
      <c r="O1624" s="291">
        <v>1</v>
      </c>
      <c r="P1624" s="274">
        <v>532</v>
      </c>
      <c r="Q1624" s="274">
        <v>434</v>
      </c>
      <c r="R1624" s="274">
        <v>1367</v>
      </c>
      <c r="S1624" s="274">
        <v>669</v>
      </c>
      <c r="T1624" s="287">
        <f t="shared" si="25"/>
        <v>2018</v>
      </c>
      <c r="U1624" s="274">
        <f>VLOOKUP(A1624,'[1]SB35 Determination Data'!$B$4:$F$542,5,FALSE)</f>
        <v>2015</v>
      </c>
    </row>
    <row r="1625" spans="1:21" s="274" customFormat="1" ht="12.75" x14ac:dyDescent="0.2">
      <c r="A1625" s="274" t="s">
        <v>316</v>
      </c>
      <c r="B1625" s="274" t="s">
        <v>701</v>
      </c>
      <c r="C1625" s="274" t="s">
        <v>660</v>
      </c>
      <c r="D1625" s="295">
        <v>2018</v>
      </c>
      <c r="E1625" s="274" t="s">
        <v>650</v>
      </c>
      <c r="F1625" s="291">
        <v>38</v>
      </c>
      <c r="G1625" s="285">
        <v>0</v>
      </c>
      <c r="H1625" s="291">
        <v>0</v>
      </c>
      <c r="I1625" s="291">
        <v>0</v>
      </c>
      <c r="J1625" s="291">
        <v>30</v>
      </c>
      <c r="K1625" s="284">
        <v>0</v>
      </c>
      <c r="L1625" s="291">
        <v>0</v>
      </c>
      <c r="M1625" s="291">
        <v>0</v>
      </c>
      <c r="N1625" s="291">
        <v>33</v>
      </c>
      <c r="O1625" s="291">
        <v>4</v>
      </c>
      <c r="P1625" s="274">
        <v>75</v>
      </c>
      <c r="Q1625" s="274">
        <v>13</v>
      </c>
      <c r="R1625" s="274">
        <v>176</v>
      </c>
      <c r="S1625" s="274">
        <v>17</v>
      </c>
      <c r="T1625" s="287">
        <f t="shared" si="25"/>
        <v>2018</v>
      </c>
      <c r="U1625" s="274">
        <f>VLOOKUP(A1625,'[1]SB35 Determination Data'!$B$4:$F$542,5,FALSE)</f>
        <v>2014</v>
      </c>
    </row>
    <row r="1626" spans="1:21" s="274" customFormat="1" ht="12.75" x14ac:dyDescent="0.2">
      <c r="A1626" s="274" t="s">
        <v>318</v>
      </c>
      <c r="B1626" s="274" t="s">
        <v>481</v>
      </c>
      <c r="C1626" s="274" t="s">
        <v>649</v>
      </c>
      <c r="D1626" s="295">
        <v>2018</v>
      </c>
      <c r="E1626" s="274" t="s">
        <v>650</v>
      </c>
      <c r="F1626" s="291">
        <v>192</v>
      </c>
      <c r="G1626" s="285">
        <v>11</v>
      </c>
      <c r="H1626" s="291">
        <v>11</v>
      </c>
      <c r="I1626" s="291">
        <v>0</v>
      </c>
      <c r="J1626" s="291">
        <v>128</v>
      </c>
      <c r="K1626" s="284">
        <v>73</v>
      </c>
      <c r="L1626" s="291">
        <v>73</v>
      </c>
      <c r="M1626" s="291">
        <v>0</v>
      </c>
      <c r="N1626" s="291">
        <v>142</v>
      </c>
      <c r="O1626" s="291">
        <v>1</v>
      </c>
      <c r="P1626" s="274">
        <v>308</v>
      </c>
      <c r="Q1626" s="274">
        <v>336</v>
      </c>
      <c r="R1626" s="274">
        <v>770</v>
      </c>
      <c r="S1626" s="274">
        <v>421</v>
      </c>
      <c r="T1626" s="287">
        <f t="shared" si="25"/>
        <v>2018</v>
      </c>
      <c r="U1626" s="274">
        <f>VLOOKUP(A1626,'[1]SB35 Determination Data'!$B$4:$F$542,5,FALSE)</f>
        <v>2014</v>
      </c>
    </row>
    <row r="1627" spans="1:21" s="274" customFormat="1" ht="12.75" x14ac:dyDescent="0.2">
      <c r="A1627" s="274" t="s">
        <v>320</v>
      </c>
      <c r="B1627" s="274" t="s">
        <v>557</v>
      </c>
      <c r="C1627" s="274" t="s">
        <v>758</v>
      </c>
      <c r="D1627" s="295">
        <v>2018</v>
      </c>
      <c r="E1627" s="274" t="s">
        <v>650</v>
      </c>
      <c r="F1627" s="291">
        <v>13</v>
      </c>
      <c r="G1627" s="285">
        <v>0</v>
      </c>
      <c r="H1627" s="291">
        <v>0</v>
      </c>
      <c r="I1627" s="291">
        <v>0</v>
      </c>
      <c r="J1627" s="291">
        <v>9</v>
      </c>
      <c r="K1627" s="284">
        <v>0</v>
      </c>
      <c r="L1627" s="291">
        <v>0</v>
      </c>
      <c r="M1627" s="291">
        <v>0</v>
      </c>
      <c r="N1627" s="274">
        <v>9</v>
      </c>
      <c r="O1627" s="291">
        <v>0</v>
      </c>
      <c r="P1627" s="274">
        <v>19</v>
      </c>
      <c r="Q1627" s="274">
        <v>15</v>
      </c>
      <c r="R1627" s="274">
        <v>50</v>
      </c>
      <c r="S1627" s="274">
        <v>15</v>
      </c>
      <c r="T1627" s="287">
        <f t="shared" si="25"/>
        <v>2018</v>
      </c>
      <c r="U1627" s="274">
        <f>VLOOKUP(A1627,'[1]SB35 Determination Data'!$B$4:$F$542,5,FALSE)</f>
        <v>2013</v>
      </c>
    </row>
    <row r="1628" spans="1:21" s="274" customFormat="1" ht="12.75" x14ac:dyDescent="0.2">
      <c r="A1628" s="274" t="s">
        <v>321</v>
      </c>
      <c r="B1628" s="274" t="s">
        <v>301</v>
      </c>
      <c r="C1628" s="274" t="s">
        <v>654</v>
      </c>
      <c r="D1628" s="295">
        <v>2018</v>
      </c>
      <c r="E1628" s="274" t="s">
        <v>650</v>
      </c>
      <c r="F1628" s="291">
        <v>22</v>
      </c>
      <c r="G1628" s="285">
        <v>5</v>
      </c>
      <c r="H1628" s="291">
        <v>0</v>
      </c>
      <c r="I1628" s="291">
        <v>5</v>
      </c>
      <c r="J1628" s="291">
        <v>13</v>
      </c>
      <c r="K1628" s="284">
        <v>0</v>
      </c>
      <c r="L1628" s="291">
        <v>0</v>
      </c>
      <c r="M1628" s="291">
        <v>0</v>
      </c>
      <c r="N1628" s="291">
        <v>13</v>
      </c>
      <c r="O1628" s="291">
        <v>2</v>
      </c>
      <c r="P1628" s="274">
        <v>24</v>
      </c>
      <c r="Q1628" s="274">
        <v>0</v>
      </c>
      <c r="R1628" s="274">
        <v>72</v>
      </c>
      <c r="S1628" s="274">
        <v>7</v>
      </c>
      <c r="T1628" s="287">
        <f t="shared" si="25"/>
        <v>2018</v>
      </c>
      <c r="U1628" s="274">
        <f>VLOOKUP(A1628,'[1]SB35 Determination Data'!$B$4:$F$542,5,FALSE)</f>
        <v>2015</v>
      </c>
    </row>
    <row r="1629" spans="1:21" s="274" customFormat="1" ht="12.75" x14ac:dyDescent="0.2">
      <c r="A1629" s="274" t="s">
        <v>322</v>
      </c>
      <c r="B1629" s="274" t="s">
        <v>436</v>
      </c>
      <c r="C1629" s="274" t="s">
        <v>649</v>
      </c>
      <c r="D1629" s="295">
        <v>2018</v>
      </c>
      <c r="E1629" s="274" t="s">
        <v>650</v>
      </c>
      <c r="F1629" s="291">
        <v>1</v>
      </c>
      <c r="G1629" s="285">
        <v>0</v>
      </c>
      <c r="H1629" s="291">
        <v>0</v>
      </c>
      <c r="I1629" s="291">
        <v>0</v>
      </c>
      <c r="J1629" s="291">
        <v>1</v>
      </c>
      <c r="K1629" s="284">
        <v>4</v>
      </c>
      <c r="L1629" s="291">
        <v>0</v>
      </c>
      <c r="M1629" s="291">
        <v>4</v>
      </c>
      <c r="N1629" s="291">
        <v>0</v>
      </c>
      <c r="O1629" s="291">
        <v>0</v>
      </c>
      <c r="P1629" s="274">
        <v>0</v>
      </c>
      <c r="Q1629" s="274">
        <v>177</v>
      </c>
      <c r="R1629" s="274">
        <v>2</v>
      </c>
      <c r="S1629" s="274">
        <v>181</v>
      </c>
      <c r="T1629" s="287">
        <f t="shared" si="25"/>
        <v>2018</v>
      </c>
      <c r="U1629" s="274">
        <f>VLOOKUP(A1629,'[1]SB35 Determination Data'!$B$4:$F$542,5,FALSE)</f>
        <v>2014</v>
      </c>
    </row>
    <row r="1630" spans="1:21" s="274" customFormat="1" ht="12.75" x14ac:dyDescent="0.2">
      <c r="A1630" s="274" t="s">
        <v>323</v>
      </c>
      <c r="B1630" s="274" t="s">
        <v>669</v>
      </c>
      <c r="C1630" s="274" t="s">
        <v>654</v>
      </c>
      <c r="D1630" s="295">
        <v>2018</v>
      </c>
      <c r="E1630" s="274" t="s">
        <v>650</v>
      </c>
      <c r="F1630" s="291">
        <v>35</v>
      </c>
      <c r="G1630" s="285">
        <v>0</v>
      </c>
      <c r="H1630" s="291">
        <v>0</v>
      </c>
      <c r="I1630" s="291">
        <v>0</v>
      </c>
      <c r="J1630" s="291">
        <v>18</v>
      </c>
      <c r="K1630" s="284">
        <v>0</v>
      </c>
      <c r="L1630" s="291">
        <v>0</v>
      </c>
      <c r="M1630" s="291">
        <v>0</v>
      </c>
      <c r="N1630" s="291">
        <v>18</v>
      </c>
      <c r="O1630" s="291">
        <v>2</v>
      </c>
      <c r="P1630" s="274">
        <v>66</v>
      </c>
      <c r="Q1630" s="274">
        <v>0</v>
      </c>
      <c r="R1630" s="274">
        <v>137</v>
      </c>
      <c r="S1630" s="274">
        <v>2</v>
      </c>
      <c r="T1630" s="287">
        <f t="shared" si="25"/>
        <v>2018</v>
      </c>
      <c r="U1630" s="274">
        <f>VLOOKUP(A1630,'[1]SB35 Determination Data'!$B$4:$F$542,5,FALSE)</f>
        <v>2015</v>
      </c>
    </row>
    <row r="1631" spans="1:21" s="274" customFormat="1" ht="12.75" x14ac:dyDescent="0.2">
      <c r="A1631" s="274" t="s">
        <v>327</v>
      </c>
      <c r="B1631" s="274" t="s">
        <v>262</v>
      </c>
      <c r="C1631" s="274" t="s">
        <v>649</v>
      </c>
      <c r="D1631" s="295">
        <v>2018</v>
      </c>
      <c r="E1631" s="274" t="s">
        <v>650</v>
      </c>
      <c r="F1631" s="291">
        <v>48</v>
      </c>
      <c r="G1631" s="285">
        <v>0</v>
      </c>
      <c r="H1631" s="291">
        <v>0</v>
      </c>
      <c r="I1631" s="291">
        <v>0</v>
      </c>
      <c r="J1631" s="291">
        <v>29</v>
      </c>
      <c r="K1631" s="284">
        <v>4</v>
      </c>
      <c r="L1631" s="291">
        <v>4</v>
      </c>
      <c r="M1631" s="291">
        <v>0</v>
      </c>
      <c r="N1631" s="291">
        <v>31</v>
      </c>
      <c r="O1631" s="291">
        <v>4</v>
      </c>
      <c r="P1631" s="274">
        <v>77</v>
      </c>
      <c r="Q1631" s="274">
        <v>271</v>
      </c>
      <c r="R1631" s="274">
        <v>185</v>
      </c>
      <c r="S1631" s="274">
        <v>279</v>
      </c>
      <c r="T1631" s="287">
        <f t="shared" si="25"/>
        <v>2018</v>
      </c>
      <c r="U1631" s="274">
        <f>VLOOKUP(A1631,'[1]SB35 Determination Data'!$B$4:$F$542,5,FALSE)</f>
        <v>2014</v>
      </c>
    </row>
    <row r="1632" spans="1:21" s="274" customFormat="1" ht="12.75" x14ac:dyDescent="0.2">
      <c r="A1632" s="274" t="s">
        <v>328</v>
      </c>
      <c r="B1632" s="274" t="s">
        <v>614</v>
      </c>
      <c r="C1632" s="274" t="s">
        <v>654</v>
      </c>
      <c r="D1632" s="295">
        <v>2018</v>
      </c>
      <c r="E1632" s="274" t="s">
        <v>650</v>
      </c>
      <c r="F1632" s="291">
        <v>356</v>
      </c>
      <c r="G1632" s="285">
        <v>19</v>
      </c>
      <c r="H1632" s="291">
        <v>18</v>
      </c>
      <c r="I1632" s="291">
        <v>1</v>
      </c>
      <c r="J1632" s="291">
        <v>207</v>
      </c>
      <c r="K1632" s="284">
        <v>0</v>
      </c>
      <c r="L1632" s="291">
        <v>0</v>
      </c>
      <c r="M1632" s="291">
        <v>0</v>
      </c>
      <c r="N1632" s="291">
        <v>231</v>
      </c>
      <c r="O1632" s="291">
        <v>15</v>
      </c>
      <c r="P1632" s="274">
        <v>270</v>
      </c>
      <c r="Q1632" s="274">
        <v>2</v>
      </c>
      <c r="R1632" s="274">
        <v>1064</v>
      </c>
      <c r="S1632" s="274">
        <v>36</v>
      </c>
      <c r="T1632" s="287">
        <f t="shared" si="25"/>
        <v>2018</v>
      </c>
      <c r="U1632" s="274">
        <f>VLOOKUP(A1632,'[1]SB35 Determination Data'!$B$4:$F$542,5,FALSE)</f>
        <v>2015</v>
      </c>
    </row>
    <row r="1633" spans="1:21" s="274" customFormat="1" ht="12.75" x14ac:dyDescent="0.2">
      <c r="A1633" s="274" t="s">
        <v>330</v>
      </c>
      <c r="B1633" s="274" t="s">
        <v>595</v>
      </c>
      <c r="C1633" s="274" t="s">
        <v>654</v>
      </c>
      <c r="D1633" s="295">
        <v>2018</v>
      </c>
      <c r="E1633" s="274" t="s">
        <v>650</v>
      </c>
      <c r="F1633" s="291">
        <v>400</v>
      </c>
      <c r="G1633" s="285">
        <v>0</v>
      </c>
      <c r="H1633" s="291">
        <v>0</v>
      </c>
      <c r="I1633" s="291">
        <v>0</v>
      </c>
      <c r="J1633" s="291">
        <v>188</v>
      </c>
      <c r="K1633" s="284">
        <v>37</v>
      </c>
      <c r="L1633" s="291">
        <v>0</v>
      </c>
      <c r="M1633" s="291">
        <v>37</v>
      </c>
      <c r="N1633" s="291">
        <v>221</v>
      </c>
      <c r="O1633" s="291">
        <v>37</v>
      </c>
      <c r="P1633" s="274">
        <v>541</v>
      </c>
      <c r="Q1633" s="274">
        <v>22</v>
      </c>
      <c r="R1633" s="274">
        <v>1350</v>
      </c>
      <c r="S1633" s="274">
        <v>96</v>
      </c>
      <c r="T1633" s="287">
        <f t="shared" si="25"/>
        <v>2018</v>
      </c>
      <c r="U1633" s="274">
        <f>VLOOKUP(A1633,'[1]SB35 Determination Data'!$B$4:$F$542,5,FALSE)</f>
        <v>2015</v>
      </c>
    </row>
    <row r="1634" spans="1:21" s="274" customFormat="1" ht="12.75" x14ac:dyDescent="0.2">
      <c r="A1634" s="274" t="s">
        <v>331</v>
      </c>
      <c r="B1634" s="274" t="s">
        <v>436</v>
      </c>
      <c r="C1634" s="274" t="s">
        <v>649</v>
      </c>
      <c r="D1634" s="295">
        <v>2018</v>
      </c>
      <c r="E1634" s="274" t="s">
        <v>650</v>
      </c>
      <c r="F1634" s="291">
        <v>76</v>
      </c>
      <c r="G1634" s="285">
        <v>0</v>
      </c>
      <c r="H1634" s="291">
        <v>0</v>
      </c>
      <c r="I1634" s="291">
        <v>0</v>
      </c>
      <c r="J1634" s="291">
        <v>53</v>
      </c>
      <c r="K1634" s="284">
        <v>1</v>
      </c>
      <c r="L1634" s="291">
        <v>0</v>
      </c>
      <c r="M1634" s="291">
        <v>1</v>
      </c>
      <c r="N1634" s="291">
        <v>61</v>
      </c>
      <c r="O1634" s="291">
        <v>8</v>
      </c>
      <c r="P1634" s="274">
        <v>137</v>
      </c>
      <c r="Q1634" s="274">
        <v>168</v>
      </c>
      <c r="R1634" s="274">
        <v>327</v>
      </c>
      <c r="S1634" s="274">
        <v>177</v>
      </c>
      <c r="T1634" s="287">
        <f t="shared" si="25"/>
        <v>2018</v>
      </c>
      <c r="U1634" s="274">
        <f>VLOOKUP(A1634,'[1]SB35 Determination Data'!$B$4:$F$542,5,FALSE)</f>
        <v>2014</v>
      </c>
    </row>
    <row r="1635" spans="1:21" s="274" customFormat="1" ht="12.75" x14ac:dyDescent="0.2">
      <c r="A1635" s="274" t="s">
        <v>276</v>
      </c>
      <c r="B1635" s="274" t="s">
        <v>120</v>
      </c>
      <c r="C1635" s="274" t="s">
        <v>654</v>
      </c>
      <c r="D1635" s="295">
        <v>2018</v>
      </c>
      <c r="E1635" s="274" t="s">
        <v>650</v>
      </c>
      <c r="F1635" s="291">
        <v>196</v>
      </c>
      <c r="G1635" s="285">
        <v>0</v>
      </c>
      <c r="H1635" s="291">
        <v>0</v>
      </c>
      <c r="I1635" s="291">
        <v>0</v>
      </c>
      <c r="J1635" s="291">
        <v>111</v>
      </c>
      <c r="K1635" s="284">
        <v>2</v>
      </c>
      <c r="L1635" s="291">
        <v>0</v>
      </c>
      <c r="M1635" s="291">
        <v>2</v>
      </c>
      <c r="N1635" s="274">
        <v>124</v>
      </c>
      <c r="O1635" s="291">
        <v>10</v>
      </c>
      <c r="P1635" s="274">
        <v>126</v>
      </c>
      <c r="Q1635" s="274">
        <v>34</v>
      </c>
      <c r="R1635" s="274">
        <v>557</v>
      </c>
      <c r="S1635" s="274">
        <v>46</v>
      </c>
      <c r="T1635" s="287">
        <f t="shared" si="25"/>
        <v>2018</v>
      </c>
      <c r="U1635" s="274">
        <f>VLOOKUP(A1635,'[1]SB35 Determination Data'!$B$4:$F$542,5,FALSE)</f>
        <v>2015</v>
      </c>
    </row>
    <row r="1636" spans="1:21" s="274" customFormat="1" ht="12.75" x14ac:dyDescent="0.2">
      <c r="A1636" s="274" t="s">
        <v>332</v>
      </c>
      <c r="B1636" s="274" t="s">
        <v>757</v>
      </c>
      <c r="C1636" s="274" t="s">
        <v>685</v>
      </c>
      <c r="D1636" s="295">
        <v>2018</v>
      </c>
      <c r="E1636" s="274" t="s">
        <v>650</v>
      </c>
      <c r="F1636" s="291">
        <v>248</v>
      </c>
      <c r="G1636" s="285">
        <v>58</v>
      </c>
      <c r="H1636" s="291">
        <v>58</v>
      </c>
      <c r="I1636" s="291">
        <v>0</v>
      </c>
      <c r="J1636" s="291">
        <v>174</v>
      </c>
      <c r="K1636" s="284">
        <v>32</v>
      </c>
      <c r="L1636" s="291">
        <v>32</v>
      </c>
      <c r="M1636" s="291">
        <v>0</v>
      </c>
      <c r="N1636" s="291">
        <v>198</v>
      </c>
      <c r="O1636" s="291">
        <v>16</v>
      </c>
      <c r="P1636" s="274">
        <v>446</v>
      </c>
      <c r="Q1636" s="274">
        <v>263</v>
      </c>
      <c r="R1636" s="274">
        <v>1066</v>
      </c>
      <c r="S1636" s="274">
        <v>369</v>
      </c>
      <c r="T1636" s="287">
        <f t="shared" si="25"/>
        <v>2018</v>
      </c>
      <c r="U1636" s="274">
        <f>VLOOKUP(A1636,'[1]SB35 Determination Data'!$B$4:$F$542,5,FALSE)</f>
        <v>2014</v>
      </c>
    </row>
    <row r="1637" spans="1:21" s="274" customFormat="1" ht="12.75" x14ac:dyDescent="0.2">
      <c r="A1637" s="274" t="s">
        <v>333</v>
      </c>
      <c r="B1637" s="274" t="s">
        <v>557</v>
      </c>
      <c r="C1637" s="274" t="s">
        <v>758</v>
      </c>
      <c r="D1637" s="295">
        <v>2018</v>
      </c>
      <c r="E1637" s="274" t="s">
        <v>650</v>
      </c>
      <c r="F1637" s="291">
        <v>7</v>
      </c>
      <c r="G1637" s="285">
        <v>0</v>
      </c>
      <c r="H1637" s="291">
        <v>0</v>
      </c>
      <c r="I1637" s="291">
        <v>0</v>
      </c>
      <c r="J1637" s="291">
        <v>5</v>
      </c>
      <c r="K1637" s="284">
        <v>0</v>
      </c>
      <c r="L1637" s="291">
        <v>0</v>
      </c>
      <c r="M1637" s="291">
        <v>0</v>
      </c>
      <c r="N1637" s="291">
        <v>15</v>
      </c>
      <c r="O1637" s="291">
        <v>1</v>
      </c>
      <c r="P1637" s="274">
        <v>34</v>
      </c>
      <c r="Q1637" s="274">
        <v>0</v>
      </c>
      <c r="R1637" s="274">
        <v>61</v>
      </c>
      <c r="S1637" s="274">
        <v>1</v>
      </c>
      <c r="T1637" s="287">
        <f t="shared" si="25"/>
        <v>2018</v>
      </c>
      <c r="U1637" s="274">
        <f>VLOOKUP(A1637,'[1]SB35 Determination Data'!$B$4:$F$542,5,FALSE)</f>
        <v>2013</v>
      </c>
    </row>
    <row r="1638" spans="1:21" s="274" customFormat="1" ht="12.75" x14ac:dyDescent="0.2">
      <c r="A1638" s="274" t="s">
        <v>335</v>
      </c>
      <c r="B1638" s="274" t="s">
        <v>122</v>
      </c>
      <c r="C1638" s="274" t="s">
        <v>660</v>
      </c>
      <c r="D1638" s="295">
        <v>2018</v>
      </c>
      <c r="E1638" s="274" t="s">
        <v>650</v>
      </c>
      <c r="F1638" s="291">
        <v>60</v>
      </c>
      <c r="G1638" s="285">
        <v>3</v>
      </c>
      <c r="H1638" s="291">
        <v>0</v>
      </c>
      <c r="I1638" s="291">
        <v>3</v>
      </c>
      <c r="J1638" s="291">
        <v>37</v>
      </c>
      <c r="K1638" s="284">
        <v>9</v>
      </c>
      <c r="L1638" s="291">
        <v>0</v>
      </c>
      <c r="M1638" s="291">
        <v>9</v>
      </c>
      <c r="N1638" s="291">
        <v>30</v>
      </c>
      <c r="O1638" s="291">
        <v>8</v>
      </c>
      <c r="P1638" s="274">
        <v>106</v>
      </c>
      <c r="Q1638" s="274">
        <v>24</v>
      </c>
      <c r="R1638" s="274">
        <v>233</v>
      </c>
      <c r="S1638" s="274">
        <v>44</v>
      </c>
      <c r="T1638" s="287">
        <f t="shared" si="25"/>
        <v>2018</v>
      </c>
      <c r="U1638" s="274">
        <f>VLOOKUP(A1638,'[1]SB35 Determination Data'!$B$4:$F$542,5,FALSE)</f>
        <v>2014</v>
      </c>
    </row>
    <row r="1639" spans="1:21" s="274" customFormat="1" ht="12.75" x14ac:dyDescent="0.2">
      <c r="A1639" s="274" t="s">
        <v>336</v>
      </c>
      <c r="B1639" s="274" t="s">
        <v>403</v>
      </c>
      <c r="C1639" s="274" t="s">
        <v>531</v>
      </c>
      <c r="D1639" s="295">
        <v>2018</v>
      </c>
      <c r="E1639" s="274" t="s">
        <v>650</v>
      </c>
      <c r="F1639" s="291">
        <v>7</v>
      </c>
      <c r="G1639" s="285"/>
      <c r="H1639" s="291"/>
      <c r="I1639" s="291"/>
      <c r="J1639" s="291">
        <v>4</v>
      </c>
      <c r="K1639" s="284"/>
      <c r="L1639" s="291"/>
      <c r="M1639" s="291"/>
      <c r="N1639" s="291">
        <v>5</v>
      </c>
      <c r="O1639" s="291"/>
      <c r="P1639" s="274">
        <v>11</v>
      </c>
      <c r="R1639" s="274">
        <v>27</v>
      </c>
      <c r="T1639" s="287">
        <f t="shared" si="25"/>
        <v>2018</v>
      </c>
      <c r="U1639" s="274">
        <f>VLOOKUP(A1639,'[1]SB35 Determination Data'!$B$4:$F$542,5,FALSE)</f>
        <v>2016</v>
      </c>
    </row>
    <row r="1640" spans="1:21" s="274" customFormat="1" ht="12.75" x14ac:dyDescent="0.2">
      <c r="A1640" s="274" t="s">
        <v>337</v>
      </c>
      <c r="B1640" s="274" t="s">
        <v>220</v>
      </c>
      <c r="C1640" s="274" t="s">
        <v>531</v>
      </c>
      <c r="D1640" s="295">
        <v>2018</v>
      </c>
      <c r="E1640" s="274" t="s">
        <v>650</v>
      </c>
      <c r="F1640" s="291">
        <v>396</v>
      </c>
      <c r="G1640" s="285">
        <v>0</v>
      </c>
      <c r="H1640" s="291">
        <v>0</v>
      </c>
      <c r="I1640" s="291">
        <v>0</v>
      </c>
      <c r="J1640" s="291">
        <v>277</v>
      </c>
      <c r="K1640" s="284">
        <v>0</v>
      </c>
      <c r="L1640" s="291">
        <v>0</v>
      </c>
      <c r="M1640" s="291">
        <v>0</v>
      </c>
      <c r="N1640" s="274">
        <v>243</v>
      </c>
      <c r="O1640" s="291">
        <v>0</v>
      </c>
      <c r="P1640" s="274">
        <v>546</v>
      </c>
      <c r="Q1640" s="274">
        <v>68</v>
      </c>
      <c r="R1640" s="274">
        <v>1462</v>
      </c>
      <c r="S1640" s="274">
        <v>68</v>
      </c>
      <c r="T1640" s="287">
        <f t="shared" si="25"/>
        <v>2018</v>
      </c>
      <c r="U1640" s="274">
        <f>VLOOKUP(A1640,'[1]SB35 Determination Data'!$B$4:$F$542,5,FALSE)</f>
        <v>2016</v>
      </c>
    </row>
    <row r="1641" spans="1:21" s="274" customFormat="1" ht="12.75" x14ac:dyDescent="0.2">
      <c r="A1641" s="274" t="s">
        <v>339</v>
      </c>
      <c r="B1641" s="274" t="s">
        <v>481</v>
      </c>
      <c r="C1641" s="274" t="s">
        <v>649</v>
      </c>
      <c r="D1641" s="295">
        <v>2018</v>
      </c>
      <c r="E1641" s="274" t="s">
        <v>650</v>
      </c>
      <c r="F1641" s="291">
        <v>946</v>
      </c>
      <c r="G1641" s="285">
        <v>10</v>
      </c>
      <c r="H1641" s="291">
        <v>10</v>
      </c>
      <c r="I1641" s="291">
        <v>0</v>
      </c>
      <c r="J1641" s="291">
        <v>661</v>
      </c>
      <c r="K1641" s="284">
        <v>1</v>
      </c>
      <c r="L1641" s="291">
        <v>0</v>
      </c>
      <c r="M1641" s="291">
        <v>1</v>
      </c>
      <c r="N1641" s="291">
        <v>772</v>
      </c>
      <c r="O1641" s="291">
        <v>34</v>
      </c>
      <c r="P1641" s="274">
        <v>1817</v>
      </c>
      <c r="Q1641" s="274">
        <v>0</v>
      </c>
      <c r="R1641" s="274">
        <v>4196</v>
      </c>
      <c r="S1641" s="274">
        <v>45</v>
      </c>
      <c r="T1641" s="287">
        <f t="shared" si="25"/>
        <v>2018</v>
      </c>
      <c r="U1641" s="274">
        <f>VLOOKUP(A1641,'[1]SB35 Determination Data'!$B$4:$F$542,5,FALSE)</f>
        <v>2014</v>
      </c>
    </row>
    <row r="1642" spans="1:21" s="274" customFormat="1" ht="12.75" x14ac:dyDescent="0.2">
      <c r="A1642" s="274" t="s">
        <v>340</v>
      </c>
      <c r="B1642" s="274" t="s">
        <v>262</v>
      </c>
      <c r="C1642" s="274" t="s">
        <v>649</v>
      </c>
      <c r="D1642" s="295">
        <v>2018</v>
      </c>
      <c r="E1642" s="274" t="s">
        <v>650</v>
      </c>
      <c r="F1642" s="291">
        <v>308</v>
      </c>
      <c r="G1642" s="285">
        <v>0</v>
      </c>
      <c r="H1642" s="291">
        <v>0</v>
      </c>
      <c r="I1642" s="291">
        <v>0</v>
      </c>
      <c r="J1642" s="291">
        <v>182</v>
      </c>
      <c r="K1642" s="284">
        <v>0</v>
      </c>
      <c r="L1642" s="291">
        <v>0</v>
      </c>
      <c r="M1642" s="291">
        <v>0</v>
      </c>
      <c r="N1642" s="274">
        <v>190</v>
      </c>
      <c r="O1642" s="291">
        <v>0</v>
      </c>
      <c r="P1642" s="274">
        <v>466</v>
      </c>
      <c r="Q1642" s="274">
        <v>33</v>
      </c>
      <c r="R1642" s="274">
        <v>1146</v>
      </c>
      <c r="S1642" s="274">
        <v>33</v>
      </c>
      <c r="T1642" s="287">
        <f t="shared" si="25"/>
        <v>2018</v>
      </c>
      <c r="U1642" s="274">
        <f>VLOOKUP(A1642,'[1]SB35 Determination Data'!$B$4:$F$542,5,FALSE)</f>
        <v>2014</v>
      </c>
    </row>
    <row r="1643" spans="1:21" s="274" customFormat="1" ht="12.75" x14ac:dyDescent="0.2">
      <c r="A1643" s="274" t="s">
        <v>341</v>
      </c>
      <c r="B1643" s="274" t="s">
        <v>714</v>
      </c>
      <c r="C1643" s="274" t="s">
        <v>531</v>
      </c>
      <c r="D1643" s="295">
        <v>2018</v>
      </c>
      <c r="E1643" s="274" t="s">
        <v>650</v>
      </c>
      <c r="F1643" s="291">
        <v>211</v>
      </c>
      <c r="G1643" s="285">
        <v>0</v>
      </c>
      <c r="H1643" s="291">
        <v>0</v>
      </c>
      <c r="I1643" s="291">
        <v>0</v>
      </c>
      <c r="J1643" s="291">
        <v>163</v>
      </c>
      <c r="K1643" s="284">
        <v>0</v>
      </c>
      <c r="L1643" s="291">
        <v>0</v>
      </c>
      <c r="M1643" s="291">
        <v>0</v>
      </c>
      <c r="N1643" s="291">
        <v>121</v>
      </c>
      <c r="O1643" s="291">
        <v>69</v>
      </c>
      <c r="P1643" s="274">
        <v>470</v>
      </c>
      <c r="Q1643" s="274">
        <v>30</v>
      </c>
      <c r="R1643" s="274">
        <v>965</v>
      </c>
      <c r="S1643" s="274">
        <v>99</v>
      </c>
      <c r="T1643" s="287">
        <f t="shared" si="25"/>
        <v>2018</v>
      </c>
      <c r="U1643" s="274">
        <f>VLOOKUP(A1643,'[1]SB35 Determination Data'!$B$4:$F$542,5,FALSE)</f>
        <v>2016</v>
      </c>
    </row>
    <row r="1644" spans="1:21" s="274" customFormat="1" ht="12.75" x14ac:dyDescent="0.2">
      <c r="A1644" s="274" t="s">
        <v>342</v>
      </c>
      <c r="B1644" s="274" t="s">
        <v>663</v>
      </c>
      <c r="C1644" s="274" t="s">
        <v>654</v>
      </c>
      <c r="D1644" s="295">
        <v>2018</v>
      </c>
      <c r="E1644" s="274" t="s">
        <v>650</v>
      </c>
      <c r="F1644" s="291">
        <v>50</v>
      </c>
      <c r="G1644" s="285"/>
      <c r="H1644" s="291"/>
      <c r="I1644" s="291"/>
      <c r="J1644" s="291">
        <v>24</v>
      </c>
      <c r="K1644" s="284"/>
      <c r="L1644" s="291"/>
      <c r="M1644" s="291"/>
      <c r="N1644" s="291">
        <v>30</v>
      </c>
      <c r="O1644" s="291"/>
      <c r="P1644" s="274">
        <v>93</v>
      </c>
      <c r="R1644" s="274">
        <v>197</v>
      </c>
      <c r="T1644" s="287">
        <f t="shared" si="25"/>
        <v>2018</v>
      </c>
      <c r="U1644" s="274">
        <f>VLOOKUP(A1644,'[1]SB35 Determination Data'!$B$4:$F$542,5,FALSE)</f>
        <v>2015</v>
      </c>
    </row>
    <row r="1645" spans="1:21" s="274" customFormat="1" ht="12.75" x14ac:dyDescent="0.2">
      <c r="A1645" s="274" t="s">
        <v>344</v>
      </c>
      <c r="B1645" s="274" t="s">
        <v>651</v>
      </c>
      <c r="C1645" s="274" t="s">
        <v>660</v>
      </c>
      <c r="D1645" s="295">
        <v>2018</v>
      </c>
      <c r="E1645" s="274" t="s">
        <v>650</v>
      </c>
      <c r="F1645" s="291">
        <v>3</v>
      </c>
      <c r="G1645" s="285"/>
      <c r="H1645" s="291"/>
      <c r="I1645" s="291"/>
      <c r="J1645" s="291">
        <v>2</v>
      </c>
      <c r="K1645" s="284"/>
      <c r="L1645" s="291"/>
      <c r="M1645" s="291"/>
      <c r="N1645" s="291">
        <v>2</v>
      </c>
      <c r="O1645" s="291"/>
      <c r="P1645" s="274">
        <v>5</v>
      </c>
      <c r="R1645" s="274">
        <v>12</v>
      </c>
      <c r="T1645" s="287">
        <f t="shared" si="25"/>
        <v>2018</v>
      </c>
      <c r="U1645" s="274">
        <f>VLOOKUP(A1645,'[1]SB35 Determination Data'!$B$4:$F$542,5,FALSE)</f>
        <v>2014</v>
      </c>
    </row>
    <row r="1646" spans="1:21" s="274" customFormat="1" ht="12.75" x14ac:dyDescent="0.2">
      <c r="A1646" s="274" t="s">
        <v>346</v>
      </c>
      <c r="B1646" s="274" t="s">
        <v>262</v>
      </c>
      <c r="C1646" s="274" t="s">
        <v>649</v>
      </c>
      <c r="D1646" s="295">
        <v>2018</v>
      </c>
      <c r="E1646" s="274" t="s">
        <v>650</v>
      </c>
      <c r="F1646" s="291">
        <v>210</v>
      </c>
      <c r="G1646" s="285">
        <v>0</v>
      </c>
      <c r="H1646" s="291">
        <v>0</v>
      </c>
      <c r="I1646" s="291">
        <v>0</v>
      </c>
      <c r="J1646" s="291">
        <v>123</v>
      </c>
      <c r="K1646" s="284">
        <v>0</v>
      </c>
      <c r="L1646" s="291">
        <v>0</v>
      </c>
      <c r="M1646" s="291">
        <v>0</v>
      </c>
      <c r="N1646" s="291">
        <v>135</v>
      </c>
      <c r="O1646" s="291">
        <v>0</v>
      </c>
      <c r="P1646" s="274">
        <v>346</v>
      </c>
      <c r="Q1646" s="274">
        <v>87</v>
      </c>
      <c r="R1646" s="274">
        <v>814</v>
      </c>
      <c r="S1646" s="274">
        <v>87</v>
      </c>
      <c r="T1646" s="287">
        <f t="shared" si="25"/>
        <v>2018</v>
      </c>
      <c r="U1646" s="274">
        <f>VLOOKUP(A1646,'[1]SB35 Determination Data'!$B$4:$F$542,5,FALSE)</f>
        <v>2014</v>
      </c>
    </row>
    <row r="1647" spans="1:21" s="274" customFormat="1" ht="12.75" x14ac:dyDescent="0.2">
      <c r="A1647" s="274" t="s">
        <v>348</v>
      </c>
      <c r="B1647" s="274" t="s">
        <v>262</v>
      </c>
      <c r="C1647" s="274" t="s">
        <v>649</v>
      </c>
      <c r="D1647" s="295">
        <v>2018</v>
      </c>
      <c r="E1647" s="274" t="s">
        <v>650</v>
      </c>
      <c r="F1647" s="291">
        <v>87</v>
      </c>
      <c r="G1647" s="285">
        <v>0</v>
      </c>
      <c r="H1647" s="291">
        <v>0</v>
      </c>
      <c r="I1647" s="291">
        <v>0</v>
      </c>
      <c r="J1647" s="291">
        <v>53</v>
      </c>
      <c r="K1647" s="284">
        <v>6</v>
      </c>
      <c r="L1647" s="291">
        <v>0</v>
      </c>
      <c r="M1647" s="291">
        <v>6</v>
      </c>
      <c r="N1647" s="291">
        <v>55</v>
      </c>
      <c r="O1647" s="291">
        <v>0</v>
      </c>
      <c r="P1647" s="274">
        <v>142</v>
      </c>
      <c r="Q1647" s="274">
        <v>18</v>
      </c>
      <c r="R1647" s="274">
        <v>337</v>
      </c>
      <c r="S1647" s="274">
        <v>24</v>
      </c>
      <c r="T1647" s="287">
        <f t="shared" si="25"/>
        <v>2018</v>
      </c>
      <c r="U1647" s="274">
        <f>VLOOKUP(A1647,'[1]SB35 Determination Data'!$B$4:$F$542,5,FALSE)</f>
        <v>2014</v>
      </c>
    </row>
    <row r="1648" spans="1:21" s="274" customFormat="1" ht="12.75" x14ac:dyDescent="0.2">
      <c r="A1648" s="274" t="s">
        <v>148</v>
      </c>
      <c r="B1648" s="274" t="s">
        <v>40</v>
      </c>
      <c r="C1648" s="274" t="s">
        <v>654</v>
      </c>
      <c r="D1648" s="295">
        <v>2018</v>
      </c>
      <c r="E1648" s="274" t="s">
        <v>650</v>
      </c>
      <c r="F1648" s="291">
        <v>796</v>
      </c>
      <c r="G1648" s="285">
        <v>0</v>
      </c>
      <c r="H1648" s="291">
        <v>0</v>
      </c>
      <c r="I1648" s="291">
        <v>0</v>
      </c>
      <c r="J1648" s="291">
        <v>446</v>
      </c>
      <c r="K1648" s="284">
        <v>0</v>
      </c>
      <c r="L1648" s="291">
        <v>0</v>
      </c>
      <c r="M1648" s="291">
        <v>0</v>
      </c>
      <c r="N1648" s="291">
        <v>425</v>
      </c>
      <c r="O1648" s="291">
        <v>17</v>
      </c>
      <c r="P1648" s="274">
        <v>618</v>
      </c>
      <c r="Q1648" s="274">
        <v>770</v>
      </c>
      <c r="R1648" s="274">
        <v>2285</v>
      </c>
      <c r="S1648" s="274">
        <v>787</v>
      </c>
      <c r="T1648" s="287">
        <f t="shared" si="25"/>
        <v>2018</v>
      </c>
      <c r="U1648" s="274">
        <f>VLOOKUP(A1648,'[1]SB35 Determination Data'!$B$4:$F$542,5,FALSE)</f>
        <v>2015</v>
      </c>
    </row>
    <row r="1649" spans="1:21" s="274" customFormat="1" ht="12.75" x14ac:dyDescent="0.2">
      <c r="A1649" s="274" t="s">
        <v>349</v>
      </c>
      <c r="B1649" s="274" t="s">
        <v>651</v>
      </c>
      <c r="C1649" s="274" t="s">
        <v>660</v>
      </c>
      <c r="D1649" s="295">
        <v>2018</v>
      </c>
      <c r="E1649" s="274" t="s">
        <v>650</v>
      </c>
      <c r="F1649" s="291">
        <v>6</v>
      </c>
      <c r="G1649" s="285"/>
      <c r="H1649" s="291"/>
      <c r="I1649" s="291"/>
      <c r="J1649" s="291">
        <v>4</v>
      </c>
      <c r="K1649" s="284"/>
      <c r="L1649" s="291"/>
      <c r="M1649" s="291"/>
      <c r="N1649" s="291">
        <v>4</v>
      </c>
      <c r="O1649" s="291"/>
      <c r="P1649" s="274">
        <v>9</v>
      </c>
      <c r="R1649" s="274">
        <v>23</v>
      </c>
      <c r="T1649" s="287">
        <f t="shared" si="25"/>
        <v>2018</v>
      </c>
      <c r="U1649" s="274">
        <f>VLOOKUP(A1649,'[1]SB35 Determination Data'!$B$4:$F$542,5,FALSE)</f>
        <v>2014</v>
      </c>
    </row>
    <row r="1650" spans="1:21" s="274" customFormat="1" ht="12.75" x14ac:dyDescent="0.2">
      <c r="A1650" s="274" t="s">
        <v>350</v>
      </c>
      <c r="B1650" s="274" t="s">
        <v>595</v>
      </c>
      <c r="C1650" s="274" t="s">
        <v>654</v>
      </c>
      <c r="D1650" s="295">
        <v>2018</v>
      </c>
      <c r="E1650" s="274" t="s">
        <v>650</v>
      </c>
      <c r="F1650" s="291">
        <v>64</v>
      </c>
      <c r="G1650" s="285"/>
      <c r="H1650" s="291"/>
      <c r="I1650" s="291"/>
      <c r="J1650" s="291">
        <v>54</v>
      </c>
      <c r="K1650" s="284"/>
      <c r="L1650" s="291"/>
      <c r="M1650" s="291"/>
      <c r="N1650" s="274">
        <v>83</v>
      </c>
      <c r="O1650" s="291"/>
      <c r="P1650" s="274">
        <v>266</v>
      </c>
      <c r="R1650" s="274">
        <v>467</v>
      </c>
      <c r="T1650" s="287">
        <f t="shared" si="25"/>
        <v>2018</v>
      </c>
      <c r="U1650" s="274">
        <f>VLOOKUP(A1650,'[1]SB35 Determination Data'!$B$4:$F$542,5,FALSE)</f>
        <v>2015</v>
      </c>
    </row>
    <row r="1651" spans="1:21" s="274" customFormat="1" ht="12.75" x14ac:dyDescent="0.2">
      <c r="A1651" s="274" t="s">
        <v>351</v>
      </c>
      <c r="B1651" s="274" t="s">
        <v>481</v>
      </c>
      <c r="C1651" s="274" t="s">
        <v>649</v>
      </c>
      <c r="D1651" s="295">
        <v>2018</v>
      </c>
      <c r="E1651" s="274" t="s">
        <v>650</v>
      </c>
      <c r="F1651" s="291">
        <v>374</v>
      </c>
      <c r="G1651" s="285">
        <v>0</v>
      </c>
      <c r="H1651" s="291">
        <v>0</v>
      </c>
      <c r="I1651" s="291">
        <v>0</v>
      </c>
      <c r="J1651" s="291">
        <v>250</v>
      </c>
      <c r="K1651" s="284">
        <v>0</v>
      </c>
      <c r="L1651" s="291">
        <v>0</v>
      </c>
      <c r="M1651" s="291">
        <v>0</v>
      </c>
      <c r="N1651" s="291">
        <v>274</v>
      </c>
      <c r="O1651" s="291">
        <v>0</v>
      </c>
      <c r="P1651" s="274">
        <v>565</v>
      </c>
      <c r="Q1651" s="274">
        <v>117</v>
      </c>
      <c r="R1651" s="274">
        <v>1463</v>
      </c>
      <c r="S1651" s="274">
        <v>117</v>
      </c>
      <c r="T1651" s="287">
        <f t="shared" si="25"/>
        <v>2018</v>
      </c>
      <c r="U1651" s="274">
        <f>VLOOKUP(A1651,'[1]SB35 Determination Data'!$B$4:$F$542,5,FALSE)</f>
        <v>2014</v>
      </c>
    </row>
    <row r="1652" spans="1:21" s="274" customFormat="1" ht="12.75" x14ac:dyDescent="0.2">
      <c r="A1652" s="274" t="s">
        <v>352</v>
      </c>
      <c r="B1652" s="274" t="s">
        <v>557</v>
      </c>
      <c r="C1652" s="274" t="s">
        <v>758</v>
      </c>
      <c r="D1652" s="295">
        <v>2018</v>
      </c>
      <c r="E1652" s="274" t="s">
        <v>650</v>
      </c>
      <c r="F1652" s="291">
        <v>1448</v>
      </c>
      <c r="G1652" s="285">
        <v>0</v>
      </c>
      <c r="H1652" s="291">
        <v>0</v>
      </c>
      <c r="I1652" s="291">
        <v>0</v>
      </c>
      <c r="J1652" s="291">
        <v>1101</v>
      </c>
      <c r="K1652" s="284">
        <v>74</v>
      </c>
      <c r="L1652" s="291">
        <v>74</v>
      </c>
      <c r="M1652" s="291">
        <v>0</v>
      </c>
      <c r="N1652" s="291">
        <v>1019</v>
      </c>
      <c r="O1652" s="291">
        <v>0</v>
      </c>
      <c r="P1652" s="274">
        <v>2237</v>
      </c>
      <c r="Q1652" s="274">
        <v>94</v>
      </c>
      <c r="R1652" s="274">
        <v>5805</v>
      </c>
      <c r="S1652" s="274">
        <v>168</v>
      </c>
      <c r="T1652" s="287">
        <f t="shared" si="25"/>
        <v>2018</v>
      </c>
      <c r="U1652" s="274">
        <f>VLOOKUP(A1652,'[1]SB35 Determination Data'!$B$4:$F$542,5,FALSE)</f>
        <v>2013</v>
      </c>
    </row>
    <row r="1653" spans="1:21" s="274" customFormat="1" ht="12.75" x14ac:dyDescent="0.2">
      <c r="A1653" s="274" t="s">
        <v>355</v>
      </c>
      <c r="B1653" s="274" t="s">
        <v>189</v>
      </c>
      <c r="C1653" s="274" t="s">
        <v>649</v>
      </c>
      <c r="D1653" s="295">
        <v>2018</v>
      </c>
      <c r="E1653" s="274" t="s">
        <v>650</v>
      </c>
      <c r="F1653" s="291">
        <v>487</v>
      </c>
      <c r="G1653" s="285">
        <v>80</v>
      </c>
      <c r="H1653" s="291">
        <v>0</v>
      </c>
      <c r="I1653" s="291">
        <v>80</v>
      </c>
      <c r="J1653" s="291">
        <v>300</v>
      </c>
      <c r="K1653" s="284">
        <v>7</v>
      </c>
      <c r="L1653" s="291">
        <v>0</v>
      </c>
      <c r="M1653" s="291">
        <v>7</v>
      </c>
      <c r="N1653" s="291">
        <v>297</v>
      </c>
      <c r="O1653" s="291">
        <v>92</v>
      </c>
      <c r="P1653" s="274">
        <v>840</v>
      </c>
      <c r="Q1653" s="274">
        <v>6</v>
      </c>
      <c r="R1653" s="274">
        <v>1924</v>
      </c>
      <c r="S1653" s="274">
        <v>185</v>
      </c>
      <c r="T1653" s="287">
        <f t="shared" si="25"/>
        <v>2018</v>
      </c>
      <c r="U1653" s="274">
        <f>VLOOKUP(A1653,'[1]SB35 Determination Data'!$B$4:$F$542,5,FALSE)</f>
        <v>2014</v>
      </c>
    </row>
    <row r="1654" spans="1:21" s="274" customFormat="1" ht="12.75" x14ac:dyDescent="0.2">
      <c r="A1654" s="274" t="s">
        <v>279</v>
      </c>
      <c r="B1654" s="274" t="s">
        <v>120</v>
      </c>
      <c r="C1654" s="274" t="s">
        <v>654</v>
      </c>
      <c r="D1654" s="295">
        <v>2018</v>
      </c>
      <c r="E1654" s="274" t="s">
        <v>650</v>
      </c>
      <c r="F1654" s="291">
        <v>100</v>
      </c>
      <c r="G1654" s="285">
        <v>0</v>
      </c>
      <c r="H1654" s="291">
        <v>0</v>
      </c>
      <c r="I1654" s="291">
        <v>0</v>
      </c>
      <c r="J1654" s="291">
        <v>63</v>
      </c>
      <c r="K1654" s="284">
        <v>0</v>
      </c>
      <c r="L1654" s="291">
        <v>0</v>
      </c>
      <c r="M1654" s="291">
        <v>0</v>
      </c>
      <c r="N1654" s="291">
        <v>69</v>
      </c>
      <c r="O1654" s="291">
        <v>0</v>
      </c>
      <c r="P1654" s="274">
        <v>166</v>
      </c>
      <c r="Q1654" s="274">
        <v>18</v>
      </c>
      <c r="R1654" s="274">
        <v>398</v>
      </c>
      <c r="S1654" s="274">
        <v>18</v>
      </c>
      <c r="T1654" s="287">
        <f t="shared" si="25"/>
        <v>2018</v>
      </c>
      <c r="U1654" s="274">
        <f>VLOOKUP(A1654,'[1]SB35 Determination Data'!$B$4:$F$542,5,FALSE)</f>
        <v>2015</v>
      </c>
    </row>
    <row r="1655" spans="1:21" s="274" customFormat="1" ht="12.75" x14ac:dyDescent="0.2">
      <c r="A1655" s="274" t="s">
        <v>338</v>
      </c>
      <c r="B1655" s="274" t="s">
        <v>123</v>
      </c>
      <c r="C1655" s="274" t="s">
        <v>685</v>
      </c>
      <c r="D1655" s="295">
        <v>2018</v>
      </c>
      <c r="E1655" s="274" t="s">
        <v>650</v>
      </c>
      <c r="F1655" s="291">
        <v>1086</v>
      </c>
      <c r="G1655" s="285">
        <v>0</v>
      </c>
      <c r="H1655" s="291">
        <v>0</v>
      </c>
      <c r="I1655" s="291">
        <v>0</v>
      </c>
      <c r="J1655" s="291">
        <v>762</v>
      </c>
      <c r="K1655" s="284">
        <v>0</v>
      </c>
      <c r="L1655" s="291">
        <v>0</v>
      </c>
      <c r="M1655" s="291">
        <v>0</v>
      </c>
      <c r="N1655" s="291">
        <v>823</v>
      </c>
      <c r="O1655" s="291">
        <v>0</v>
      </c>
      <c r="P1655" s="274">
        <v>1757</v>
      </c>
      <c r="Q1655" s="274">
        <v>452</v>
      </c>
      <c r="R1655" s="274">
        <v>4428</v>
      </c>
      <c r="S1655" s="274">
        <v>452</v>
      </c>
      <c r="T1655" s="287">
        <f t="shared" si="25"/>
        <v>2018</v>
      </c>
      <c r="U1655" s="274">
        <f>VLOOKUP(A1655,'[1]SB35 Determination Data'!$B$4:$F$542,5,FALSE)</f>
        <v>2014</v>
      </c>
    </row>
    <row r="1656" spans="1:21" s="274" customFormat="1" ht="12.75" x14ac:dyDescent="0.2">
      <c r="A1656" s="274" t="s">
        <v>357</v>
      </c>
      <c r="B1656" s="274" t="s">
        <v>262</v>
      </c>
      <c r="C1656" s="274" t="s">
        <v>649</v>
      </c>
      <c r="D1656" s="295">
        <v>2018</v>
      </c>
      <c r="E1656" s="274" t="s">
        <v>650</v>
      </c>
      <c r="F1656" s="291">
        <v>529</v>
      </c>
      <c r="G1656" s="285">
        <v>0</v>
      </c>
      <c r="H1656" s="291">
        <v>0</v>
      </c>
      <c r="I1656" s="291">
        <v>0</v>
      </c>
      <c r="J1656" s="291">
        <v>315</v>
      </c>
      <c r="K1656" s="284">
        <v>0</v>
      </c>
      <c r="L1656" s="291">
        <v>0</v>
      </c>
      <c r="M1656" s="291">
        <v>0</v>
      </c>
      <c r="N1656" s="291">
        <v>352</v>
      </c>
      <c r="O1656" s="291">
        <v>0</v>
      </c>
      <c r="P1656" s="274">
        <v>946</v>
      </c>
      <c r="Q1656" s="274">
        <v>281</v>
      </c>
      <c r="R1656" s="274">
        <v>2142</v>
      </c>
      <c r="S1656" s="274">
        <v>281</v>
      </c>
      <c r="T1656" s="287">
        <f t="shared" si="25"/>
        <v>2018</v>
      </c>
      <c r="U1656" s="274">
        <f>VLOOKUP(A1656,'[1]SB35 Determination Data'!$B$4:$F$542,5,FALSE)</f>
        <v>2014</v>
      </c>
    </row>
    <row r="1657" spans="1:21" s="274" customFormat="1" ht="12.75" x14ac:dyDescent="0.2">
      <c r="A1657" s="274" t="s">
        <v>359</v>
      </c>
      <c r="B1657" s="274" t="s">
        <v>262</v>
      </c>
      <c r="C1657" s="274" t="s">
        <v>649</v>
      </c>
      <c r="D1657" s="295">
        <v>2018</v>
      </c>
      <c r="E1657" s="274" t="s">
        <v>650</v>
      </c>
      <c r="F1657" s="291">
        <v>18</v>
      </c>
      <c r="G1657" s="285">
        <v>4</v>
      </c>
      <c r="H1657" s="291">
        <v>4</v>
      </c>
      <c r="I1657" s="291">
        <v>0</v>
      </c>
      <c r="J1657" s="291">
        <v>11</v>
      </c>
      <c r="K1657" s="284">
        <v>2</v>
      </c>
      <c r="L1657" s="291">
        <v>2</v>
      </c>
      <c r="M1657" s="291">
        <v>0</v>
      </c>
      <c r="N1657" s="291">
        <v>12</v>
      </c>
      <c r="O1657" s="291">
        <v>0</v>
      </c>
      <c r="P1657" s="274">
        <v>28</v>
      </c>
      <c r="Q1657" s="274">
        <v>39</v>
      </c>
      <c r="R1657" s="274">
        <v>69</v>
      </c>
      <c r="S1657" s="274">
        <v>45</v>
      </c>
      <c r="T1657" s="287">
        <f t="shared" si="25"/>
        <v>2018</v>
      </c>
      <c r="U1657" s="274">
        <f>VLOOKUP(A1657,'[1]SB35 Determination Data'!$B$4:$F$542,5,FALSE)</f>
        <v>2014</v>
      </c>
    </row>
    <row r="1658" spans="1:21" s="274" customFormat="1" ht="12.75" x14ac:dyDescent="0.2">
      <c r="A1658" s="274" t="s">
        <v>360</v>
      </c>
      <c r="B1658" s="274" t="s">
        <v>511</v>
      </c>
      <c r="C1658" s="274" t="s">
        <v>685</v>
      </c>
      <c r="D1658" s="295">
        <v>2018</v>
      </c>
      <c r="E1658" s="274" t="s">
        <v>650</v>
      </c>
      <c r="F1658" s="291">
        <v>2035</v>
      </c>
      <c r="G1658" s="285">
        <v>0</v>
      </c>
      <c r="H1658" s="291">
        <v>0</v>
      </c>
      <c r="I1658" s="291">
        <v>0</v>
      </c>
      <c r="J1658" s="291">
        <v>1427</v>
      </c>
      <c r="K1658" s="284">
        <v>0</v>
      </c>
      <c r="L1658" s="291">
        <v>0</v>
      </c>
      <c r="M1658" s="291">
        <v>0</v>
      </c>
      <c r="N1658" s="291">
        <v>1377</v>
      </c>
      <c r="O1658" s="291">
        <v>0</v>
      </c>
      <c r="P1658" s="274">
        <v>2563</v>
      </c>
      <c r="Q1658" s="274">
        <v>793</v>
      </c>
      <c r="R1658" s="274">
        <v>7402</v>
      </c>
      <c r="S1658" s="274">
        <v>793</v>
      </c>
      <c r="T1658" s="287">
        <f t="shared" si="25"/>
        <v>2018</v>
      </c>
      <c r="U1658" s="274">
        <f>VLOOKUP(A1658,'[1]SB35 Determination Data'!$B$4:$F$542,5,FALSE)</f>
        <v>2014</v>
      </c>
    </row>
    <row r="1659" spans="1:21" s="274" customFormat="1" ht="12.75" x14ac:dyDescent="0.2">
      <c r="A1659" s="274" t="s">
        <v>157</v>
      </c>
      <c r="B1659" s="274" t="s">
        <v>40</v>
      </c>
      <c r="C1659" s="274" t="s">
        <v>654</v>
      </c>
      <c r="D1659" s="295">
        <v>2018</v>
      </c>
      <c r="E1659" s="274" t="s">
        <v>650</v>
      </c>
      <c r="F1659" s="291">
        <v>276</v>
      </c>
      <c r="G1659" s="285">
        <v>1</v>
      </c>
      <c r="H1659" s="291">
        <v>1</v>
      </c>
      <c r="I1659" s="291">
        <v>0</v>
      </c>
      <c r="J1659" s="291">
        <v>211</v>
      </c>
      <c r="K1659" s="284">
        <v>3</v>
      </c>
      <c r="L1659" s="291">
        <v>3</v>
      </c>
      <c r="M1659" s="291">
        <v>0</v>
      </c>
      <c r="N1659" s="274">
        <v>259</v>
      </c>
      <c r="O1659" s="291">
        <v>4</v>
      </c>
      <c r="P1659" s="274">
        <v>752</v>
      </c>
      <c r="Q1659" s="274">
        <v>70</v>
      </c>
      <c r="R1659" s="274">
        <v>1498</v>
      </c>
      <c r="S1659" s="274">
        <v>78</v>
      </c>
      <c r="T1659" s="287">
        <f t="shared" si="25"/>
        <v>2018</v>
      </c>
      <c r="U1659" s="274">
        <f>VLOOKUP(A1659,'[1]SB35 Determination Data'!$B$4:$F$542,5,FALSE)</f>
        <v>2015</v>
      </c>
    </row>
    <row r="1660" spans="1:21" s="274" customFormat="1" ht="12.75" x14ac:dyDescent="0.2">
      <c r="A1660" s="274" t="s">
        <v>362</v>
      </c>
      <c r="B1660" s="274" t="s">
        <v>557</v>
      </c>
      <c r="C1660" s="274" t="s">
        <v>758</v>
      </c>
      <c r="D1660" s="295">
        <v>2018</v>
      </c>
      <c r="E1660" s="274" t="s">
        <v>650</v>
      </c>
      <c r="F1660" s="291">
        <v>587</v>
      </c>
      <c r="G1660" s="285">
        <v>8</v>
      </c>
      <c r="H1660" s="291">
        <v>2</v>
      </c>
      <c r="I1660" s="291">
        <v>6</v>
      </c>
      <c r="J1660" s="291">
        <v>446</v>
      </c>
      <c r="K1660" s="284">
        <v>2</v>
      </c>
      <c r="L1660" s="291">
        <v>0</v>
      </c>
      <c r="M1660" s="291">
        <v>2</v>
      </c>
      <c r="N1660" s="291">
        <v>413</v>
      </c>
      <c r="O1660" s="291">
        <v>7</v>
      </c>
      <c r="P1660" s="274">
        <v>907</v>
      </c>
      <c r="Q1660" s="274">
        <v>131</v>
      </c>
      <c r="R1660" s="274">
        <v>2353</v>
      </c>
      <c r="S1660" s="274">
        <v>148</v>
      </c>
      <c r="T1660" s="287">
        <f t="shared" si="25"/>
        <v>2018</v>
      </c>
      <c r="U1660" s="274">
        <f>VLOOKUP(A1660,'[1]SB35 Determination Data'!$B$4:$F$542,5,FALSE)</f>
        <v>2013</v>
      </c>
    </row>
    <row r="1661" spans="1:21" s="274" customFormat="1" ht="12.75" x14ac:dyDescent="0.2">
      <c r="A1661" s="274" t="s">
        <v>364</v>
      </c>
      <c r="B1661" s="274" t="s">
        <v>383</v>
      </c>
      <c r="C1661" s="274" t="s">
        <v>531</v>
      </c>
      <c r="D1661" s="295">
        <v>2018</v>
      </c>
      <c r="E1661" s="274" t="s">
        <v>650</v>
      </c>
      <c r="F1661" s="291">
        <v>103</v>
      </c>
      <c r="G1661" s="285">
        <v>0</v>
      </c>
      <c r="H1661" s="291">
        <v>0</v>
      </c>
      <c r="I1661" s="291">
        <v>0</v>
      </c>
      <c r="J1661" s="291">
        <v>66</v>
      </c>
      <c r="K1661" s="284">
        <v>0</v>
      </c>
      <c r="L1661" s="291">
        <v>0</v>
      </c>
      <c r="M1661" s="291">
        <v>0</v>
      </c>
      <c r="N1661" s="291">
        <v>64</v>
      </c>
      <c r="O1661" s="291">
        <v>0</v>
      </c>
      <c r="P1661" s="274">
        <v>192</v>
      </c>
      <c r="Q1661" s="274">
        <v>8</v>
      </c>
      <c r="R1661" s="274">
        <v>425</v>
      </c>
      <c r="S1661" s="274">
        <v>8</v>
      </c>
      <c r="T1661" s="287">
        <f t="shared" si="25"/>
        <v>2018</v>
      </c>
      <c r="U1661" s="274">
        <f>VLOOKUP(A1661,'[1]SB35 Determination Data'!$B$4:$F$542,5,FALSE)</f>
        <v>2016</v>
      </c>
    </row>
    <row r="1662" spans="1:21" s="274" customFormat="1" ht="12.75" x14ac:dyDescent="0.2">
      <c r="A1662" s="274" t="s">
        <v>366</v>
      </c>
      <c r="B1662" s="274" t="s">
        <v>557</v>
      </c>
      <c r="C1662" s="274" t="s">
        <v>758</v>
      </c>
      <c r="D1662" s="295">
        <v>2018</v>
      </c>
      <c r="E1662" s="274" t="s">
        <v>650</v>
      </c>
      <c r="F1662" s="291">
        <v>1042</v>
      </c>
      <c r="G1662" s="285">
        <v>1</v>
      </c>
      <c r="H1662" s="291">
        <v>0</v>
      </c>
      <c r="I1662" s="291">
        <v>1</v>
      </c>
      <c r="J1662" s="291">
        <v>791</v>
      </c>
      <c r="K1662" s="284">
        <v>1</v>
      </c>
      <c r="L1662" s="291">
        <v>0</v>
      </c>
      <c r="M1662" s="291">
        <v>1</v>
      </c>
      <c r="N1662" s="291">
        <v>733</v>
      </c>
      <c r="O1662" s="291">
        <v>18</v>
      </c>
      <c r="P1662" s="274">
        <v>1609</v>
      </c>
      <c r="Q1662" s="274">
        <v>220</v>
      </c>
      <c r="R1662" s="274">
        <v>4175</v>
      </c>
      <c r="S1662" s="274">
        <v>240</v>
      </c>
      <c r="T1662" s="287">
        <f t="shared" si="25"/>
        <v>2018</v>
      </c>
      <c r="U1662" s="274">
        <f>VLOOKUP(A1662,'[1]SB35 Determination Data'!$B$4:$F$542,5,FALSE)</f>
        <v>2013</v>
      </c>
    </row>
    <row r="1663" spans="1:21" s="274" customFormat="1" ht="12.75" x14ac:dyDescent="0.2">
      <c r="A1663" s="274" t="s">
        <v>368</v>
      </c>
      <c r="B1663" s="274" t="s">
        <v>651</v>
      </c>
      <c r="C1663" s="274" t="s">
        <v>660</v>
      </c>
      <c r="D1663" s="295">
        <v>2018</v>
      </c>
      <c r="E1663" s="274" t="s">
        <v>650</v>
      </c>
      <c r="F1663" s="291">
        <v>3</v>
      </c>
      <c r="G1663" s="285"/>
      <c r="H1663" s="291"/>
      <c r="I1663" s="291"/>
      <c r="J1663" s="291">
        <v>2</v>
      </c>
      <c r="K1663" s="284"/>
      <c r="L1663" s="291"/>
      <c r="M1663" s="291"/>
      <c r="N1663" s="291">
        <v>2</v>
      </c>
      <c r="O1663" s="291"/>
      <c r="P1663" s="274">
        <v>3</v>
      </c>
      <c r="R1663" s="274">
        <v>10</v>
      </c>
      <c r="T1663" s="287">
        <f t="shared" si="25"/>
        <v>2018</v>
      </c>
      <c r="U1663" s="274">
        <f>VLOOKUP(A1663,'[1]SB35 Determination Data'!$B$4:$F$542,5,FALSE)</f>
        <v>2014</v>
      </c>
    </row>
    <row r="1664" spans="1:21" s="274" customFormat="1" ht="12.75" x14ac:dyDescent="0.2">
      <c r="A1664" s="274" t="s">
        <v>371</v>
      </c>
      <c r="B1664" s="274" t="s">
        <v>171</v>
      </c>
      <c r="C1664" s="274" t="s">
        <v>660</v>
      </c>
      <c r="D1664" s="295">
        <v>2018</v>
      </c>
      <c r="E1664" s="274" t="s">
        <v>650</v>
      </c>
      <c r="F1664" s="291">
        <v>145</v>
      </c>
      <c r="G1664" s="285">
        <v>38</v>
      </c>
      <c r="H1664" s="291">
        <v>38</v>
      </c>
      <c r="I1664" s="291">
        <v>0</v>
      </c>
      <c r="J1664" s="291">
        <v>96</v>
      </c>
      <c r="K1664" s="284">
        <v>12</v>
      </c>
      <c r="L1664" s="291">
        <v>12</v>
      </c>
      <c r="M1664" s="291">
        <v>0</v>
      </c>
      <c r="N1664" s="274">
        <v>104</v>
      </c>
      <c r="O1664" s="291">
        <v>0</v>
      </c>
      <c r="P1664" s="274">
        <v>264</v>
      </c>
      <c r="Q1664" s="274">
        <v>30</v>
      </c>
      <c r="R1664" s="274">
        <v>609</v>
      </c>
      <c r="S1664" s="274">
        <v>80</v>
      </c>
      <c r="T1664" s="287">
        <f t="shared" si="25"/>
        <v>2018</v>
      </c>
      <c r="U1664" s="274">
        <f>VLOOKUP(A1664,'[1]SB35 Determination Data'!$B$4:$F$542,5,FALSE)</f>
        <v>2014</v>
      </c>
    </row>
    <row r="1665" spans="1:21" s="274" customFormat="1" ht="12.75" x14ac:dyDescent="0.2">
      <c r="A1665" s="274" t="s">
        <v>372</v>
      </c>
      <c r="B1665" s="274" t="s">
        <v>714</v>
      </c>
      <c r="C1665" s="274" t="s">
        <v>531</v>
      </c>
      <c r="D1665" s="295">
        <v>2018</v>
      </c>
      <c r="E1665" s="274" t="s">
        <v>650</v>
      </c>
      <c r="F1665" s="291">
        <v>143</v>
      </c>
      <c r="G1665" s="285"/>
      <c r="H1665" s="291"/>
      <c r="I1665" s="291"/>
      <c r="J1665" s="291">
        <v>125</v>
      </c>
      <c r="K1665" s="284"/>
      <c r="L1665" s="291"/>
      <c r="M1665" s="291"/>
      <c r="N1665" s="291">
        <v>85</v>
      </c>
      <c r="O1665" s="291"/>
      <c r="P1665" s="274">
        <v>272</v>
      </c>
      <c r="R1665" s="274">
        <v>625</v>
      </c>
      <c r="T1665" s="287">
        <f t="shared" si="25"/>
        <v>2018</v>
      </c>
      <c r="U1665" s="274">
        <f>VLOOKUP(A1665,'[1]SB35 Determination Data'!$B$4:$F$542,5,FALSE)</f>
        <v>2016</v>
      </c>
    </row>
    <row r="1666" spans="1:21" s="274" customFormat="1" ht="12.75" x14ac:dyDescent="0.2">
      <c r="A1666" s="274" t="s">
        <v>374</v>
      </c>
      <c r="B1666" s="274" t="s">
        <v>301</v>
      </c>
      <c r="C1666" s="274" t="s">
        <v>654</v>
      </c>
      <c r="D1666" s="295">
        <v>2018</v>
      </c>
      <c r="E1666" s="274" t="s">
        <v>650</v>
      </c>
      <c r="F1666" s="291">
        <v>16</v>
      </c>
      <c r="G1666" s="285">
        <v>12</v>
      </c>
      <c r="H1666" s="291">
        <v>6</v>
      </c>
      <c r="I1666" s="291">
        <v>6</v>
      </c>
      <c r="J1666" s="291">
        <v>11</v>
      </c>
      <c r="K1666" s="284">
        <v>55</v>
      </c>
      <c r="L1666" s="291">
        <v>47</v>
      </c>
      <c r="M1666" s="291">
        <v>8</v>
      </c>
      <c r="N1666" s="291">
        <v>11</v>
      </c>
      <c r="O1666" s="291">
        <v>1</v>
      </c>
      <c r="P1666" s="274">
        <v>23</v>
      </c>
      <c r="Q1666" s="274">
        <v>0</v>
      </c>
      <c r="R1666" s="274">
        <v>61</v>
      </c>
      <c r="S1666" s="274">
        <v>68</v>
      </c>
      <c r="T1666" s="287">
        <f t="shared" si="25"/>
        <v>2018</v>
      </c>
      <c r="U1666" s="274">
        <f>VLOOKUP(A1666,'[1]SB35 Determination Data'!$B$4:$F$542,5,FALSE)</f>
        <v>2015</v>
      </c>
    </row>
    <row r="1667" spans="1:21" s="274" customFormat="1" ht="12.75" x14ac:dyDescent="0.2">
      <c r="A1667" s="274" t="s">
        <v>376</v>
      </c>
      <c r="B1667" s="274" t="s">
        <v>663</v>
      </c>
      <c r="C1667" s="274" t="s">
        <v>654</v>
      </c>
      <c r="D1667" s="295">
        <v>2018</v>
      </c>
      <c r="E1667" s="274" t="s">
        <v>650</v>
      </c>
      <c r="F1667" s="291">
        <v>779</v>
      </c>
      <c r="G1667" s="285">
        <v>0</v>
      </c>
      <c r="H1667" s="291">
        <v>0</v>
      </c>
      <c r="I1667" s="291">
        <v>0</v>
      </c>
      <c r="J1667" s="291">
        <v>404</v>
      </c>
      <c r="K1667" s="284">
        <v>0</v>
      </c>
      <c r="L1667" s="291">
        <v>0</v>
      </c>
      <c r="M1667" s="291">
        <v>0</v>
      </c>
      <c r="N1667" s="291">
        <v>456</v>
      </c>
      <c r="O1667" s="291">
        <v>0</v>
      </c>
      <c r="P1667" s="274">
        <v>1461</v>
      </c>
      <c r="Q1667" s="274">
        <v>311</v>
      </c>
      <c r="R1667" s="274">
        <v>3100</v>
      </c>
      <c r="S1667" s="274">
        <v>311</v>
      </c>
      <c r="T1667" s="287">
        <f t="shared" si="25"/>
        <v>2018</v>
      </c>
      <c r="U1667" s="274">
        <f>VLOOKUP(A1667,'[1]SB35 Determination Data'!$B$4:$F$542,5,FALSE)</f>
        <v>2015</v>
      </c>
    </row>
    <row r="1668" spans="1:21" s="274" customFormat="1" ht="12.75" x14ac:dyDescent="0.2">
      <c r="A1668" s="274" t="s">
        <v>377</v>
      </c>
      <c r="B1668" s="274" t="s">
        <v>714</v>
      </c>
      <c r="C1668" s="274" t="s">
        <v>531</v>
      </c>
      <c r="D1668" s="295">
        <v>2018</v>
      </c>
      <c r="E1668" s="274" t="s">
        <v>650</v>
      </c>
      <c r="F1668" s="291">
        <v>74</v>
      </c>
      <c r="G1668" s="285"/>
      <c r="H1668" s="291"/>
      <c r="I1668" s="291"/>
      <c r="J1668" s="291">
        <v>65</v>
      </c>
      <c r="K1668" s="284"/>
      <c r="L1668" s="291"/>
      <c r="M1668" s="291"/>
      <c r="N1668" s="274">
        <v>68</v>
      </c>
      <c r="O1668" s="291"/>
      <c r="P1668" s="274">
        <v>259</v>
      </c>
      <c r="R1668" s="274">
        <v>466</v>
      </c>
      <c r="T1668" s="287">
        <f t="shared" ref="T1668:T1731" si="26">IF(D1668&gt;U1668,D1668,U1668)</f>
        <v>2018</v>
      </c>
      <c r="U1668" s="274">
        <f>VLOOKUP(A1668,'[1]SB35 Determination Data'!$B$4:$F$542,5,FALSE)</f>
        <v>2016</v>
      </c>
    </row>
    <row r="1669" spans="1:21" s="274" customFormat="1" ht="12.75" x14ac:dyDescent="0.2">
      <c r="A1669" s="274" t="s">
        <v>356</v>
      </c>
      <c r="B1669" s="274" t="s">
        <v>125</v>
      </c>
      <c r="C1669" s="274" t="s">
        <v>531</v>
      </c>
      <c r="D1669" s="295">
        <v>2018</v>
      </c>
      <c r="E1669" s="274" t="s">
        <v>650</v>
      </c>
      <c r="F1669" s="291">
        <v>128</v>
      </c>
      <c r="G1669" s="285"/>
      <c r="H1669" s="291"/>
      <c r="I1669" s="291"/>
      <c r="J1669" s="291">
        <v>169</v>
      </c>
      <c r="K1669" s="284"/>
      <c r="L1669" s="291"/>
      <c r="M1669" s="291"/>
      <c r="N1669" s="291">
        <v>204</v>
      </c>
      <c r="O1669" s="291"/>
      <c r="P1669" s="274">
        <v>211</v>
      </c>
      <c r="R1669" s="274">
        <v>712</v>
      </c>
      <c r="T1669" s="287">
        <f t="shared" si="26"/>
        <v>2018</v>
      </c>
      <c r="U1669" s="274">
        <f>VLOOKUP(A1669,'[1]SB35 Determination Data'!$B$4:$F$542,5,FALSE)</f>
        <v>2016</v>
      </c>
    </row>
    <row r="1670" spans="1:21" s="274" customFormat="1" ht="12.75" x14ac:dyDescent="0.2">
      <c r="A1670" s="274" t="s">
        <v>380</v>
      </c>
      <c r="B1670" s="274" t="s">
        <v>511</v>
      </c>
      <c r="C1670" s="274" t="s">
        <v>685</v>
      </c>
      <c r="D1670" s="295">
        <v>2018</v>
      </c>
      <c r="E1670" s="274" t="s">
        <v>650</v>
      </c>
      <c r="F1670" s="291">
        <v>1218</v>
      </c>
      <c r="G1670" s="285">
        <v>0</v>
      </c>
      <c r="H1670" s="291">
        <v>0</v>
      </c>
      <c r="I1670" s="291">
        <v>0</v>
      </c>
      <c r="J1670" s="291">
        <v>854</v>
      </c>
      <c r="K1670" s="284">
        <v>0</v>
      </c>
      <c r="L1670" s="291">
        <v>0</v>
      </c>
      <c r="M1670" s="291">
        <v>0</v>
      </c>
      <c r="N1670" s="291">
        <v>862</v>
      </c>
      <c r="O1670" s="291">
        <v>11</v>
      </c>
      <c r="P1670" s="274">
        <v>1699</v>
      </c>
      <c r="Q1670" s="274">
        <v>398</v>
      </c>
      <c r="R1670" s="274">
        <v>4633</v>
      </c>
      <c r="S1670" s="274">
        <v>409</v>
      </c>
      <c r="T1670" s="287">
        <f t="shared" si="26"/>
        <v>2018</v>
      </c>
      <c r="U1670" s="274">
        <f>VLOOKUP(A1670,'[1]SB35 Determination Data'!$B$4:$F$542,5,FALSE)</f>
        <v>2014</v>
      </c>
    </row>
    <row r="1671" spans="1:21" s="274" customFormat="1" ht="12.75" x14ac:dyDescent="0.2">
      <c r="A1671" s="274" t="s">
        <v>382</v>
      </c>
      <c r="B1671" s="274" t="s">
        <v>542</v>
      </c>
      <c r="C1671" s="274" t="s">
        <v>649</v>
      </c>
      <c r="D1671" s="295">
        <v>2018</v>
      </c>
      <c r="E1671" s="274" t="s">
        <v>650</v>
      </c>
      <c r="F1671" s="291">
        <v>1442</v>
      </c>
      <c r="G1671" s="285">
        <v>0</v>
      </c>
      <c r="H1671" s="291">
        <v>0</v>
      </c>
      <c r="I1671" s="291">
        <v>0</v>
      </c>
      <c r="J1671" s="291">
        <v>974</v>
      </c>
      <c r="K1671" s="284">
        <v>0</v>
      </c>
      <c r="L1671" s="291">
        <v>0</v>
      </c>
      <c r="M1671" s="291">
        <v>0</v>
      </c>
      <c r="N1671" s="291">
        <v>1090</v>
      </c>
      <c r="O1671" s="291">
        <v>0</v>
      </c>
      <c r="P1671" s="274">
        <v>2471</v>
      </c>
      <c r="Q1671" s="274">
        <v>413</v>
      </c>
      <c r="R1671" s="274">
        <v>5977</v>
      </c>
      <c r="S1671" s="274">
        <v>413</v>
      </c>
      <c r="T1671" s="287">
        <f t="shared" si="26"/>
        <v>2018</v>
      </c>
      <c r="U1671" s="274">
        <f>VLOOKUP(A1671,'[1]SB35 Determination Data'!$B$4:$F$542,5,FALSE)</f>
        <v>2014</v>
      </c>
    </row>
    <row r="1672" spans="1:21" s="274" customFormat="1" ht="12.75" x14ac:dyDescent="0.2">
      <c r="A1672" s="274" t="s">
        <v>384</v>
      </c>
      <c r="B1672" s="274" t="s">
        <v>334</v>
      </c>
      <c r="C1672" s="274" t="s">
        <v>660</v>
      </c>
      <c r="D1672" s="295">
        <v>2018</v>
      </c>
      <c r="E1672" s="274" t="s">
        <v>650</v>
      </c>
      <c r="F1672" s="291">
        <v>5</v>
      </c>
      <c r="G1672" s="285">
        <v>0</v>
      </c>
      <c r="H1672" s="291">
        <v>0</v>
      </c>
      <c r="I1672" s="291">
        <v>0</v>
      </c>
      <c r="J1672" s="291">
        <v>3</v>
      </c>
      <c r="K1672" s="284">
        <v>0</v>
      </c>
      <c r="L1672" s="291">
        <v>0</v>
      </c>
      <c r="M1672" s="291">
        <v>0</v>
      </c>
      <c r="N1672" s="291">
        <v>3</v>
      </c>
      <c r="O1672" s="291">
        <v>0</v>
      </c>
      <c r="P1672" s="274">
        <v>9</v>
      </c>
      <c r="Q1672" s="274">
        <v>9</v>
      </c>
      <c r="R1672" s="274">
        <v>20</v>
      </c>
      <c r="S1672" s="274">
        <v>9</v>
      </c>
      <c r="T1672" s="287">
        <f t="shared" si="26"/>
        <v>2018</v>
      </c>
      <c r="U1672" s="274">
        <f>VLOOKUP(A1672,'[1]SB35 Determination Data'!$B$4:$F$542,5,FALSE)</f>
        <v>2014</v>
      </c>
    </row>
    <row r="1673" spans="1:21" s="274" customFormat="1" ht="12.75" x14ac:dyDescent="0.2">
      <c r="A1673" s="274" t="s">
        <v>387</v>
      </c>
      <c r="B1673" s="274" t="s">
        <v>171</v>
      </c>
      <c r="C1673" s="274" t="s">
        <v>660</v>
      </c>
      <c r="D1673" s="295">
        <v>2018</v>
      </c>
      <c r="E1673" s="274" t="s">
        <v>650</v>
      </c>
      <c r="F1673" s="291">
        <v>39</v>
      </c>
      <c r="G1673" s="285">
        <v>0</v>
      </c>
      <c r="H1673" s="291">
        <v>0</v>
      </c>
      <c r="I1673" s="291">
        <v>0</v>
      </c>
      <c r="J1673" s="291">
        <v>24</v>
      </c>
      <c r="K1673" s="284">
        <v>0</v>
      </c>
      <c r="L1673" s="291">
        <v>0</v>
      </c>
      <c r="M1673" s="291">
        <v>0</v>
      </c>
      <c r="N1673" s="291">
        <v>27</v>
      </c>
      <c r="O1673" s="291">
        <v>16</v>
      </c>
      <c r="P1673" s="274">
        <v>71</v>
      </c>
      <c r="Q1673" s="274">
        <v>20</v>
      </c>
      <c r="R1673" s="274">
        <v>161</v>
      </c>
      <c r="S1673" s="274">
        <v>36</v>
      </c>
      <c r="T1673" s="287">
        <f t="shared" si="26"/>
        <v>2018</v>
      </c>
      <c r="U1673" s="274">
        <f>VLOOKUP(A1673,'[1]SB35 Determination Data'!$B$4:$F$542,5,FALSE)</f>
        <v>2014</v>
      </c>
    </row>
    <row r="1674" spans="1:21" s="274" customFormat="1" ht="12.75" x14ac:dyDescent="0.2">
      <c r="A1674" s="274" t="s">
        <v>389</v>
      </c>
      <c r="B1674" s="274" t="s">
        <v>595</v>
      </c>
      <c r="C1674" s="274" t="s">
        <v>654</v>
      </c>
      <c r="D1674" s="295">
        <v>2018</v>
      </c>
      <c r="E1674" s="274" t="s">
        <v>650</v>
      </c>
      <c r="F1674" s="291">
        <v>148</v>
      </c>
      <c r="G1674" s="285"/>
      <c r="H1674" s="291"/>
      <c r="I1674" s="291"/>
      <c r="J1674" s="291">
        <v>87</v>
      </c>
      <c r="K1674" s="284"/>
      <c r="L1674" s="291"/>
      <c r="M1674" s="291"/>
      <c r="N1674" s="291">
        <v>76</v>
      </c>
      <c r="O1674" s="291"/>
      <c r="P1674" s="274">
        <v>119</v>
      </c>
      <c r="R1674" s="274">
        <v>430</v>
      </c>
      <c r="T1674" s="287">
        <f t="shared" si="26"/>
        <v>2018</v>
      </c>
      <c r="U1674" s="274">
        <f>VLOOKUP(A1674,'[1]SB35 Determination Data'!$B$4:$F$542,5,FALSE)</f>
        <v>2015</v>
      </c>
    </row>
    <row r="1675" spans="1:21" s="274" customFormat="1" ht="12.75" x14ac:dyDescent="0.2">
      <c r="A1675" s="274" t="s">
        <v>391</v>
      </c>
      <c r="B1675" s="274" t="s">
        <v>436</v>
      </c>
      <c r="C1675" s="274" t="s">
        <v>649</v>
      </c>
      <c r="D1675" s="295">
        <v>2018</v>
      </c>
      <c r="E1675" s="274" t="s">
        <v>650</v>
      </c>
      <c r="F1675" s="291">
        <v>83</v>
      </c>
      <c r="G1675" s="285">
        <v>0</v>
      </c>
      <c r="H1675" s="291">
        <v>0</v>
      </c>
      <c r="I1675" s="291">
        <v>0</v>
      </c>
      <c r="J1675" s="291">
        <v>59</v>
      </c>
      <c r="K1675" s="284">
        <v>13</v>
      </c>
      <c r="L1675" s="291">
        <v>0</v>
      </c>
      <c r="M1675" s="291">
        <v>13</v>
      </c>
      <c r="N1675" s="291">
        <v>65</v>
      </c>
      <c r="O1675" s="291">
        <v>0</v>
      </c>
      <c r="P1675" s="274">
        <v>151</v>
      </c>
      <c r="Q1675" s="274">
        <v>4</v>
      </c>
      <c r="R1675" s="274">
        <v>358</v>
      </c>
      <c r="S1675" s="274">
        <v>17</v>
      </c>
      <c r="T1675" s="287">
        <f t="shared" si="26"/>
        <v>2018</v>
      </c>
      <c r="U1675" s="274">
        <f>VLOOKUP(A1675,'[1]SB35 Determination Data'!$B$4:$F$542,5,FALSE)</f>
        <v>2014</v>
      </c>
    </row>
    <row r="1676" spans="1:21" s="274" customFormat="1" ht="12.75" x14ac:dyDescent="0.2">
      <c r="A1676" s="274" t="s">
        <v>168</v>
      </c>
      <c r="B1676" s="274" t="s">
        <v>40</v>
      </c>
      <c r="C1676" s="274" t="s">
        <v>654</v>
      </c>
      <c r="D1676" s="295">
        <v>2018</v>
      </c>
      <c r="E1676" s="274" t="s">
        <v>650</v>
      </c>
      <c r="F1676" s="291">
        <v>1714</v>
      </c>
      <c r="G1676" s="285">
        <v>34</v>
      </c>
      <c r="H1676" s="291">
        <v>34</v>
      </c>
      <c r="I1676" s="291">
        <v>0</v>
      </c>
      <c r="J1676" s="291">
        <v>926</v>
      </c>
      <c r="K1676" s="284">
        <v>68</v>
      </c>
      <c r="L1676" s="291">
        <v>68</v>
      </c>
      <c r="M1676" s="291">
        <v>0</v>
      </c>
      <c r="N1676" s="291">
        <v>978</v>
      </c>
      <c r="O1676" s="291">
        <v>19</v>
      </c>
      <c r="P1676" s="274">
        <v>1837</v>
      </c>
      <c r="Q1676" s="274">
        <v>1742</v>
      </c>
      <c r="R1676" s="274">
        <v>5455</v>
      </c>
      <c r="S1676" s="274">
        <v>1863</v>
      </c>
      <c r="T1676" s="287">
        <f t="shared" si="26"/>
        <v>2018</v>
      </c>
      <c r="U1676" s="274">
        <f>VLOOKUP(A1676,'[1]SB35 Determination Data'!$B$4:$F$542,5,FALSE)</f>
        <v>2015</v>
      </c>
    </row>
    <row r="1677" spans="1:21" s="274" customFormat="1" ht="12.75" x14ac:dyDescent="0.2">
      <c r="A1677" s="274" t="s">
        <v>125</v>
      </c>
      <c r="B1677" s="274" t="s">
        <v>125</v>
      </c>
      <c r="C1677" s="274" t="s">
        <v>531</v>
      </c>
      <c r="D1677" s="295">
        <v>2018</v>
      </c>
      <c r="E1677" s="274" t="s">
        <v>650</v>
      </c>
      <c r="F1677" s="291">
        <v>5666</v>
      </c>
      <c r="G1677" s="285">
        <v>135</v>
      </c>
      <c r="H1677" s="291">
        <v>135</v>
      </c>
      <c r="I1677" s="291">
        <v>0</v>
      </c>
      <c r="J1677" s="291">
        <v>3289</v>
      </c>
      <c r="K1677" s="284">
        <v>0</v>
      </c>
      <c r="L1677" s="291">
        <v>0</v>
      </c>
      <c r="M1677" s="291">
        <v>0</v>
      </c>
      <c r="N1677" s="291">
        <v>3571</v>
      </c>
      <c r="O1677" s="291">
        <v>0</v>
      </c>
      <c r="P1677" s="274">
        <v>11039</v>
      </c>
      <c r="Q1677" s="274">
        <v>1202</v>
      </c>
      <c r="R1677" s="274">
        <v>23565</v>
      </c>
      <c r="S1677" s="274">
        <v>1337</v>
      </c>
      <c r="T1677" s="287">
        <f t="shared" si="26"/>
        <v>2018</v>
      </c>
      <c r="U1677" s="274">
        <f>VLOOKUP(A1677,'[1]SB35 Determination Data'!$B$4:$F$542,5,FALSE)</f>
        <v>2016</v>
      </c>
    </row>
    <row r="1678" spans="1:21" s="274" customFormat="1" ht="12.75" x14ac:dyDescent="0.2">
      <c r="A1678" s="274" t="s">
        <v>358</v>
      </c>
      <c r="B1678" s="274" t="s">
        <v>125</v>
      </c>
      <c r="C1678" s="274" t="s">
        <v>531</v>
      </c>
      <c r="D1678" s="295">
        <v>2018</v>
      </c>
      <c r="E1678" s="274" t="s">
        <v>650</v>
      </c>
      <c r="F1678" s="291">
        <v>460</v>
      </c>
      <c r="G1678" s="285">
        <v>28</v>
      </c>
      <c r="H1678" s="291">
        <v>2</v>
      </c>
      <c r="I1678" s="291">
        <v>26</v>
      </c>
      <c r="J1678" s="291">
        <v>527</v>
      </c>
      <c r="K1678" s="284">
        <v>9</v>
      </c>
      <c r="L1678" s="291">
        <v>0</v>
      </c>
      <c r="M1678" s="291">
        <v>9</v>
      </c>
      <c r="N1678" s="274">
        <v>589</v>
      </c>
      <c r="O1678" s="291">
        <v>18</v>
      </c>
      <c r="P1678" s="274">
        <v>1146</v>
      </c>
      <c r="Q1678" s="274">
        <v>0</v>
      </c>
      <c r="R1678" s="274">
        <v>2722</v>
      </c>
      <c r="S1678" s="274">
        <v>55</v>
      </c>
      <c r="T1678" s="287">
        <f t="shared" si="26"/>
        <v>2018</v>
      </c>
      <c r="U1678" s="274">
        <f>VLOOKUP(A1678,'[1]SB35 Determination Data'!$B$4:$F$542,5,FALSE)</f>
        <v>2016</v>
      </c>
    </row>
    <row r="1679" spans="1:21" s="274" customFormat="1" ht="12.75" x14ac:dyDescent="0.2">
      <c r="A1679" s="274" t="s">
        <v>394</v>
      </c>
      <c r="B1679" s="274" t="s">
        <v>436</v>
      </c>
      <c r="C1679" s="274" t="s">
        <v>649</v>
      </c>
      <c r="D1679" s="295">
        <v>2018</v>
      </c>
      <c r="E1679" s="274" t="s">
        <v>650</v>
      </c>
      <c r="F1679" s="291">
        <v>411</v>
      </c>
      <c r="G1679" s="285">
        <v>26</v>
      </c>
      <c r="H1679" s="291">
        <v>26</v>
      </c>
      <c r="I1679" s="291">
        <v>0</v>
      </c>
      <c r="J1679" s="291">
        <v>299</v>
      </c>
      <c r="K1679" s="284">
        <v>19</v>
      </c>
      <c r="L1679" s="291">
        <v>19</v>
      </c>
      <c r="M1679" s="291">
        <v>0</v>
      </c>
      <c r="N1679" s="291">
        <v>337</v>
      </c>
      <c r="O1679" s="291">
        <v>0</v>
      </c>
      <c r="P1679" s="274">
        <v>794</v>
      </c>
      <c r="Q1679" s="274">
        <v>41</v>
      </c>
      <c r="R1679" s="274">
        <v>1841</v>
      </c>
      <c r="S1679" s="274">
        <v>86</v>
      </c>
      <c r="T1679" s="287">
        <f t="shared" si="26"/>
        <v>2018</v>
      </c>
      <c r="U1679" s="274">
        <f>VLOOKUP(A1679,'[1]SB35 Determination Data'!$B$4:$F$542,5,FALSE)</f>
        <v>2014</v>
      </c>
    </row>
    <row r="1680" spans="1:21" s="274" customFormat="1" ht="12.75" x14ac:dyDescent="0.2">
      <c r="A1680" s="274" t="s">
        <v>395</v>
      </c>
      <c r="B1680" s="274" t="s">
        <v>511</v>
      </c>
      <c r="C1680" s="274" t="s">
        <v>685</v>
      </c>
      <c r="D1680" s="295">
        <v>2018</v>
      </c>
      <c r="E1680" s="274" t="s">
        <v>650</v>
      </c>
      <c r="F1680" s="291">
        <v>131</v>
      </c>
      <c r="G1680" s="285">
        <v>0</v>
      </c>
      <c r="H1680" s="291">
        <v>0</v>
      </c>
      <c r="I1680" s="291">
        <v>0</v>
      </c>
      <c r="J1680" s="291">
        <v>91</v>
      </c>
      <c r="K1680" s="284">
        <v>14</v>
      </c>
      <c r="L1680" s="291">
        <v>0</v>
      </c>
      <c r="M1680" s="291">
        <v>14</v>
      </c>
      <c r="N1680" s="291">
        <v>126</v>
      </c>
      <c r="O1680" s="291">
        <v>0</v>
      </c>
      <c r="P1680" s="274">
        <v>331</v>
      </c>
      <c r="Q1680" s="274">
        <v>24</v>
      </c>
      <c r="R1680" s="274">
        <v>679</v>
      </c>
      <c r="S1680" s="274">
        <v>38</v>
      </c>
      <c r="T1680" s="287">
        <f t="shared" si="26"/>
        <v>2018</v>
      </c>
      <c r="U1680" s="274">
        <f>VLOOKUP(A1680,'[1]SB35 Determination Data'!$B$4:$F$542,5,FALSE)</f>
        <v>2014</v>
      </c>
    </row>
    <row r="1681" spans="1:21" s="274" customFormat="1" ht="12.75" x14ac:dyDescent="0.2">
      <c r="A1681" s="274" t="s">
        <v>397</v>
      </c>
      <c r="B1681" s="274" t="s">
        <v>262</v>
      </c>
      <c r="C1681" s="274" t="s">
        <v>649</v>
      </c>
      <c r="D1681" s="295">
        <v>2018</v>
      </c>
      <c r="E1681" s="274" t="s">
        <v>650</v>
      </c>
      <c r="F1681" s="291">
        <v>98</v>
      </c>
      <c r="G1681" s="285">
        <v>0</v>
      </c>
      <c r="H1681" s="291">
        <v>0</v>
      </c>
      <c r="I1681" s="291">
        <v>0</v>
      </c>
      <c r="J1681" s="291">
        <v>60</v>
      </c>
      <c r="K1681" s="284">
        <v>0</v>
      </c>
      <c r="L1681" s="291">
        <v>0</v>
      </c>
      <c r="M1681" s="291">
        <v>0</v>
      </c>
      <c r="N1681" s="291">
        <v>66</v>
      </c>
      <c r="O1681" s="291">
        <v>0</v>
      </c>
      <c r="P1681" s="274">
        <v>173</v>
      </c>
      <c r="Q1681" s="274">
        <v>124</v>
      </c>
      <c r="R1681" s="274">
        <v>397</v>
      </c>
      <c r="S1681" s="274">
        <v>124</v>
      </c>
      <c r="T1681" s="287">
        <f t="shared" si="26"/>
        <v>2018</v>
      </c>
      <c r="U1681" s="274">
        <f>VLOOKUP(A1681,'[1]SB35 Determination Data'!$B$4:$F$542,5,FALSE)</f>
        <v>2014</v>
      </c>
    </row>
    <row r="1682" spans="1:21" s="274" customFormat="1" ht="12.75" x14ac:dyDescent="0.2">
      <c r="A1682" s="274" t="s">
        <v>398</v>
      </c>
      <c r="B1682" s="274" t="s">
        <v>614</v>
      </c>
      <c r="C1682" s="274" t="s">
        <v>654</v>
      </c>
      <c r="D1682" s="295">
        <v>2018</v>
      </c>
      <c r="E1682" s="274" t="s">
        <v>650</v>
      </c>
      <c r="F1682" s="291">
        <v>236</v>
      </c>
      <c r="G1682" s="285">
        <v>37</v>
      </c>
      <c r="H1682" s="291">
        <v>37</v>
      </c>
      <c r="I1682" s="291">
        <v>0</v>
      </c>
      <c r="J1682" s="291">
        <v>160</v>
      </c>
      <c r="K1682" s="284">
        <v>38</v>
      </c>
      <c r="L1682" s="291">
        <v>38</v>
      </c>
      <c r="M1682" s="291">
        <v>0</v>
      </c>
      <c r="N1682" s="274">
        <v>217</v>
      </c>
      <c r="O1682" s="291">
        <v>0</v>
      </c>
      <c r="P1682" s="274">
        <v>475</v>
      </c>
      <c r="Q1682" s="274">
        <v>1</v>
      </c>
      <c r="R1682" s="274">
        <v>1088</v>
      </c>
      <c r="S1682" s="274">
        <v>76</v>
      </c>
      <c r="T1682" s="287">
        <f t="shared" si="26"/>
        <v>2018</v>
      </c>
      <c r="U1682" s="274">
        <f>VLOOKUP(A1682,'[1]SB35 Determination Data'!$B$4:$F$542,5,FALSE)</f>
        <v>2015</v>
      </c>
    </row>
    <row r="1683" spans="1:21" s="274" customFormat="1" ht="12.75" x14ac:dyDescent="0.2">
      <c r="A1683" s="274" t="s">
        <v>401</v>
      </c>
      <c r="B1683" s="274" t="s">
        <v>262</v>
      </c>
      <c r="C1683" s="274" t="s">
        <v>649</v>
      </c>
      <c r="D1683" s="295">
        <v>2018</v>
      </c>
      <c r="E1683" s="274" t="s">
        <v>650</v>
      </c>
      <c r="F1683" s="291">
        <v>171</v>
      </c>
      <c r="G1683" s="285">
        <v>0</v>
      </c>
      <c r="H1683" s="291">
        <v>0</v>
      </c>
      <c r="I1683" s="291">
        <v>0</v>
      </c>
      <c r="J1683" s="291">
        <v>100</v>
      </c>
      <c r="K1683" s="284">
        <v>0</v>
      </c>
      <c r="L1683" s="291">
        <v>0</v>
      </c>
      <c r="M1683" s="291">
        <v>0</v>
      </c>
      <c r="N1683" s="291">
        <v>108</v>
      </c>
      <c r="O1683" s="291">
        <v>0</v>
      </c>
      <c r="P1683" s="274">
        <v>267</v>
      </c>
      <c r="Q1683" s="274">
        <v>51</v>
      </c>
      <c r="R1683" s="274">
        <v>646</v>
      </c>
      <c r="S1683" s="274">
        <v>51</v>
      </c>
      <c r="T1683" s="287">
        <f t="shared" si="26"/>
        <v>2018</v>
      </c>
      <c r="U1683" s="274">
        <f>VLOOKUP(A1683,'[1]SB35 Determination Data'!$B$4:$F$542,5,FALSE)</f>
        <v>2014</v>
      </c>
    </row>
    <row r="1684" spans="1:21" s="274" customFormat="1" ht="12.75" x14ac:dyDescent="0.2">
      <c r="A1684" s="274" t="s">
        <v>402</v>
      </c>
      <c r="B1684" s="274" t="s">
        <v>602</v>
      </c>
      <c r="C1684" s="274" t="s">
        <v>732</v>
      </c>
      <c r="D1684" s="295">
        <v>2018</v>
      </c>
      <c r="E1684" s="274" t="s">
        <v>650</v>
      </c>
      <c r="F1684" s="291">
        <v>235</v>
      </c>
      <c r="G1684" s="285">
        <v>0</v>
      </c>
      <c r="H1684" s="291">
        <v>0</v>
      </c>
      <c r="I1684" s="291">
        <v>0</v>
      </c>
      <c r="J1684" s="291">
        <v>157</v>
      </c>
      <c r="K1684" s="284">
        <v>69</v>
      </c>
      <c r="L1684" s="291">
        <v>69</v>
      </c>
      <c r="M1684" s="291">
        <v>0</v>
      </c>
      <c r="N1684" s="274">
        <v>174</v>
      </c>
      <c r="O1684" s="291">
        <v>0</v>
      </c>
      <c r="P1684" s="274">
        <v>413</v>
      </c>
      <c r="Q1684" s="274">
        <v>0</v>
      </c>
      <c r="R1684" s="274">
        <v>979</v>
      </c>
      <c r="S1684" s="274">
        <v>69</v>
      </c>
      <c r="T1684" s="287">
        <f t="shared" si="26"/>
        <v>2018</v>
      </c>
      <c r="U1684" s="274">
        <f>VLOOKUP(A1684,'[1]SB35 Determination Data'!$B$4:$F$542,5,FALSE)</f>
        <v>2015</v>
      </c>
    </row>
    <row r="1685" spans="1:21" s="274" customFormat="1" ht="12.75" x14ac:dyDescent="0.2">
      <c r="A1685" s="274" t="s">
        <v>405</v>
      </c>
      <c r="B1685" s="274" t="s">
        <v>403</v>
      </c>
      <c r="C1685" s="274" t="s">
        <v>531</v>
      </c>
      <c r="D1685" s="295">
        <v>2018</v>
      </c>
      <c r="E1685" s="274" t="s">
        <v>650</v>
      </c>
      <c r="F1685" s="291">
        <v>71</v>
      </c>
      <c r="G1685" s="285"/>
      <c r="H1685" s="291"/>
      <c r="I1685" s="291"/>
      <c r="J1685" s="291">
        <v>46</v>
      </c>
      <c r="K1685" s="284"/>
      <c r="L1685" s="291"/>
      <c r="M1685" s="291"/>
      <c r="N1685" s="291">
        <v>53</v>
      </c>
      <c r="O1685" s="291"/>
      <c r="P1685" s="274">
        <v>123</v>
      </c>
      <c r="R1685" s="274">
        <v>293</v>
      </c>
      <c r="T1685" s="287">
        <f t="shared" si="26"/>
        <v>2018</v>
      </c>
      <c r="U1685" s="274">
        <f>VLOOKUP(A1685,'[1]SB35 Determination Data'!$B$4:$F$542,5,FALSE)</f>
        <v>2016</v>
      </c>
    </row>
    <row r="1686" spans="1:21" s="274" customFormat="1" ht="12.75" x14ac:dyDescent="0.2">
      <c r="A1686" s="274" t="s">
        <v>407</v>
      </c>
      <c r="B1686" s="274" t="s">
        <v>542</v>
      </c>
      <c r="C1686" s="274" t="s">
        <v>649</v>
      </c>
      <c r="D1686" s="295">
        <v>2018</v>
      </c>
      <c r="E1686" s="274" t="s">
        <v>650</v>
      </c>
      <c r="F1686" s="291">
        <v>28</v>
      </c>
      <c r="G1686" s="285">
        <v>1</v>
      </c>
      <c r="H1686" s="291">
        <v>1</v>
      </c>
      <c r="I1686" s="291">
        <v>0</v>
      </c>
      <c r="J1686" s="291">
        <v>19</v>
      </c>
      <c r="K1686" s="284">
        <v>1</v>
      </c>
      <c r="L1686" s="291">
        <v>1</v>
      </c>
      <c r="M1686" s="291">
        <v>0</v>
      </c>
      <c r="N1686" s="291">
        <v>22</v>
      </c>
      <c r="O1686" s="291">
        <v>0</v>
      </c>
      <c r="P1686" s="274">
        <v>49</v>
      </c>
      <c r="Q1686" s="274">
        <v>17</v>
      </c>
      <c r="R1686" s="274">
        <v>118</v>
      </c>
      <c r="S1686" s="274">
        <v>19</v>
      </c>
      <c r="T1686" s="287">
        <f t="shared" si="26"/>
        <v>2018</v>
      </c>
      <c r="U1686" s="274">
        <f>VLOOKUP(A1686,'[1]SB35 Determination Data'!$B$4:$F$542,5,FALSE)</f>
        <v>2014</v>
      </c>
    </row>
    <row r="1687" spans="1:21" s="274" customFormat="1" ht="12.75" x14ac:dyDescent="0.2">
      <c r="A1687" s="274" t="s">
        <v>408</v>
      </c>
      <c r="B1687" s="274" t="s">
        <v>425</v>
      </c>
      <c r="C1687" s="274" t="s">
        <v>660</v>
      </c>
      <c r="D1687" s="295">
        <v>2018</v>
      </c>
      <c r="E1687" s="274" t="s">
        <v>650</v>
      </c>
      <c r="F1687" s="291">
        <v>122</v>
      </c>
      <c r="G1687" s="285">
        <v>0</v>
      </c>
      <c r="H1687" s="291">
        <v>0</v>
      </c>
      <c r="I1687" s="291">
        <v>0</v>
      </c>
      <c r="J1687" s="291">
        <v>88</v>
      </c>
      <c r="K1687" s="284">
        <v>3</v>
      </c>
      <c r="L1687" s="291">
        <v>0</v>
      </c>
      <c r="M1687" s="291">
        <v>3</v>
      </c>
      <c r="N1687" s="291">
        <v>100</v>
      </c>
      <c r="O1687" s="291">
        <v>0</v>
      </c>
      <c r="P1687" s="274">
        <v>220</v>
      </c>
      <c r="Q1687" s="274">
        <v>6</v>
      </c>
      <c r="R1687" s="274">
        <v>530</v>
      </c>
      <c r="S1687" s="274">
        <v>9</v>
      </c>
      <c r="T1687" s="287">
        <f t="shared" si="26"/>
        <v>2018</v>
      </c>
      <c r="U1687" s="274">
        <f>VLOOKUP(A1687,'[1]SB35 Determination Data'!$B$4:$F$542,5,FALSE)</f>
        <v>2014</v>
      </c>
    </row>
    <row r="1688" spans="1:21" s="274" customFormat="1" ht="12.75" x14ac:dyDescent="0.2">
      <c r="A1688" s="274" t="s">
        <v>409</v>
      </c>
      <c r="B1688" s="274" t="s">
        <v>403</v>
      </c>
      <c r="C1688" s="274" t="s">
        <v>531</v>
      </c>
      <c r="D1688" s="295">
        <v>2018</v>
      </c>
      <c r="E1688" s="274" t="s">
        <v>650</v>
      </c>
      <c r="F1688" s="291">
        <v>87</v>
      </c>
      <c r="G1688" s="285">
        <v>0</v>
      </c>
      <c r="H1688" s="291">
        <v>0</v>
      </c>
      <c r="I1688" s="291">
        <v>0</v>
      </c>
      <c r="J1688" s="291">
        <v>57</v>
      </c>
      <c r="K1688" s="284">
        <v>0</v>
      </c>
      <c r="L1688" s="291">
        <v>0</v>
      </c>
      <c r="M1688" s="291">
        <v>0</v>
      </c>
      <c r="N1688" s="274">
        <v>66</v>
      </c>
      <c r="O1688" s="291">
        <v>1</v>
      </c>
      <c r="P1688" s="274">
        <v>153</v>
      </c>
      <c r="Q1688" s="274">
        <v>1</v>
      </c>
      <c r="R1688" s="274">
        <v>363</v>
      </c>
      <c r="S1688" s="274">
        <v>2</v>
      </c>
      <c r="T1688" s="287">
        <f t="shared" si="26"/>
        <v>2018</v>
      </c>
      <c r="U1688" s="274">
        <f>VLOOKUP(A1688,'[1]SB35 Determination Data'!$B$4:$F$542,5,FALSE)</f>
        <v>2016</v>
      </c>
    </row>
    <row r="1689" spans="1:21" s="274" customFormat="1" ht="12.75" x14ac:dyDescent="0.2">
      <c r="A1689" s="274" t="s">
        <v>239</v>
      </c>
      <c r="B1689" s="274" t="s">
        <v>109</v>
      </c>
      <c r="C1689" s="274" t="s">
        <v>717</v>
      </c>
      <c r="D1689" s="295">
        <v>2018</v>
      </c>
      <c r="E1689" s="274" t="s">
        <v>650</v>
      </c>
      <c r="F1689" s="291">
        <v>231</v>
      </c>
      <c r="G1689" s="285"/>
      <c r="H1689" s="291"/>
      <c r="I1689" s="291"/>
      <c r="J1689" s="291">
        <v>118</v>
      </c>
      <c r="K1689" s="284"/>
      <c r="L1689" s="291"/>
      <c r="M1689" s="291"/>
      <c r="N1689" s="291">
        <v>99</v>
      </c>
      <c r="O1689" s="291"/>
      <c r="P1689" s="274">
        <v>321</v>
      </c>
      <c r="R1689" s="274">
        <v>769</v>
      </c>
      <c r="T1689" s="287">
        <f t="shared" si="26"/>
        <v>2018</v>
      </c>
      <c r="U1689" s="274">
        <f>VLOOKUP(A1689,'[1]SB35 Determination Data'!$B$4:$F$542,5,FALSE)</f>
        <v>2014</v>
      </c>
    </row>
    <row r="1690" spans="1:21" s="274" customFormat="1" ht="12.75" x14ac:dyDescent="0.2">
      <c r="A1690" s="274" t="s">
        <v>410</v>
      </c>
      <c r="B1690" s="274" t="s">
        <v>583</v>
      </c>
      <c r="C1690" s="274" t="s">
        <v>660</v>
      </c>
      <c r="D1690" s="295">
        <v>2018</v>
      </c>
      <c r="E1690" s="274" t="s">
        <v>650</v>
      </c>
      <c r="F1690" s="291">
        <v>41</v>
      </c>
      <c r="G1690" s="285">
        <v>0</v>
      </c>
      <c r="H1690" s="291">
        <v>0</v>
      </c>
      <c r="I1690" s="291">
        <v>0</v>
      </c>
      <c r="J1690" s="291">
        <v>26</v>
      </c>
      <c r="K1690" s="284">
        <v>4</v>
      </c>
      <c r="L1690" s="291">
        <v>4</v>
      </c>
      <c r="M1690" s="291">
        <v>0</v>
      </c>
      <c r="N1690" s="291">
        <v>29</v>
      </c>
      <c r="O1690" s="291">
        <v>0</v>
      </c>
      <c r="P1690" s="274">
        <v>69</v>
      </c>
      <c r="Q1690" s="274">
        <v>25</v>
      </c>
      <c r="R1690" s="274">
        <v>165</v>
      </c>
      <c r="S1690" s="274">
        <v>29</v>
      </c>
      <c r="T1690" s="287">
        <f t="shared" si="26"/>
        <v>2018</v>
      </c>
      <c r="U1690" s="274">
        <f>VLOOKUP(A1690,'[1]SB35 Determination Data'!$B$4:$F$542,5,FALSE)</f>
        <v>2014</v>
      </c>
    </row>
    <row r="1691" spans="1:21" s="274" customFormat="1" ht="12.75" x14ac:dyDescent="0.2">
      <c r="A1691" s="274" t="s">
        <v>413</v>
      </c>
      <c r="B1691" s="274" t="s">
        <v>602</v>
      </c>
      <c r="C1691" s="274" t="s">
        <v>732</v>
      </c>
      <c r="D1691" s="295">
        <v>2018</v>
      </c>
      <c r="E1691" s="274" t="s">
        <v>650</v>
      </c>
      <c r="F1691" s="291">
        <v>12</v>
      </c>
      <c r="G1691" s="285">
        <v>30</v>
      </c>
      <c r="H1691" s="291">
        <v>30</v>
      </c>
      <c r="I1691" s="291">
        <v>0</v>
      </c>
      <c r="J1691" s="291">
        <v>8</v>
      </c>
      <c r="K1691" s="284">
        <v>7</v>
      </c>
      <c r="L1691" s="291">
        <v>7</v>
      </c>
      <c r="M1691" s="291">
        <v>0</v>
      </c>
      <c r="N1691" s="291">
        <v>13</v>
      </c>
      <c r="O1691" s="291">
        <v>0</v>
      </c>
      <c r="P1691" s="274">
        <v>16</v>
      </c>
      <c r="Q1691" s="274">
        <v>62</v>
      </c>
      <c r="R1691" s="274">
        <v>49</v>
      </c>
      <c r="S1691" s="274">
        <v>99</v>
      </c>
      <c r="T1691" s="287">
        <f t="shared" si="26"/>
        <v>2018</v>
      </c>
      <c r="U1691" s="274">
        <f>VLOOKUP(A1691,'[1]SB35 Determination Data'!$B$4:$F$542,5,FALSE)</f>
        <v>2015</v>
      </c>
    </row>
    <row r="1692" spans="1:21" s="274" customFormat="1" ht="12.75" x14ac:dyDescent="0.2">
      <c r="A1692" s="274" t="s">
        <v>415</v>
      </c>
      <c r="B1692" s="274" t="s">
        <v>595</v>
      </c>
      <c r="C1692" s="274" t="s">
        <v>654</v>
      </c>
      <c r="D1692" s="295">
        <v>2018</v>
      </c>
      <c r="E1692" s="274" t="s">
        <v>650</v>
      </c>
      <c r="F1692" s="291">
        <v>52</v>
      </c>
      <c r="G1692" s="285">
        <v>0</v>
      </c>
      <c r="H1692" s="291">
        <v>0</v>
      </c>
      <c r="I1692" s="291">
        <v>0</v>
      </c>
      <c r="J1692" s="291">
        <v>31</v>
      </c>
      <c r="K1692" s="284">
        <v>0</v>
      </c>
      <c r="L1692" s="291">
        <v>0</v>
      </c>
      <c r="M1692" s="291">
        <v>0</v>
      </c>
      <c r="N1692" s="291">
        <v>36</v>
      </c>
      <c r="O1692" s="291">
        <v>3</v>
      </c>
      <c r="P1692" s="274">
        <v>121</v>
      </c>
      <c r="Q1692" s="274">
        <v>10</v>
      </c>
      <c r="R1692" s="274">
        <v>240</v>
      </c>
      <c r="S1692" s="274">
        <v>13</v>
      </c>
      <c r="T1692" s="287">
        <f t="shared" si="26"/>
        <v>2018</v>
      </c>
      <c r="U1692" s="274">
        <f>VLOOKUP(A1692,'[1]SB35 Determination Data'!$B$4:$F$542,5,FALSE)</f>
        <v>2015</v>
      </c>
    </row>
    <row r="1693" spans="1:21" s="274" customFormat="1" ht="12.75" x14ac:dyDescent="0.2">
      <c r="A1693" s="274" t="s">
        <v>416</v>
      </c>
      <c r="B1693" s="274" t="s">
        <v>229</v>
      </c>
      <c r="C1693" s="274" t="s">
        <v>693</v>
      </c>
      <c r="D1693" s="295">
        <v>2018</v>
      </c>
      <c r="E1693" s="274" t="s">
        <v>650</v>
      </c>
      <c r="F1693" s="291">
        <v>1097</v>
      </c>
      <c r="G1693" s="285">
        <v>0</v>
      </c>
      <c r="H1693" s="291">
        <v>0</v>
      </c>
      <c r="I1693" s="291">
        <v>0</v>
      </c>
      <c r="J1693" s="291">
        <v>821</v>
      </c>
      <c r="K1693" s="284">
        <v>0</v>
      </c>
      <c r="L1693" s="291">
        <v>0</v>
      </c>
      <c r="M1693" s="291">
        <v>0</v>
      </c>
      <c r="N1693" s="274">
        <v>865</v>
      </c>
      <c r="O1693" s="291">
        <v>0</v>
      </c>
      <c r="P1693" s="274">
        <v>2049</v>
      </c>
      <c r="Q1693" s="274">
        <v>202</v>
      </c>
      <c r="R1693" s="274">
        <v>4832</v>
      </c>
      <c r="S1693" s="274">
        <v>202</v>
      </c>
      <c r="T1693" s="287">
        <f t="shared" si="26"/>
        <v>2018</v>
      </c>
      <c r="U1693" s="274">
        <f>VLOOKUP(A1693,'[1]SB35 Determination Data'!$B$4:$F$542,5,FALSE)</f>
        <v>2016</v>
      </c>
    </row>
    <row r="1694" spans="1:21" s="274" customFormat="1" ht="12.75" x14ac:dyDescent="0.2">
      <c r="A1694" s="274" t="s">
        <v>417</v>
      </c>
      <c r="B1694" s="274" t="s">
        <v>262</v>
      </c>
      <c r="C1694" s="274" t="s">
        <v>649</v>
      </c>
      <c r="D1694" s="295">
        <v>2018</v>
      </c>
      <c r="E1694" s="274" t="s">
        <v>650</v>
      </c>
      <c r="F1694" s="291">
        <v>32</v>
      </c>
      <c r="G1694" s="285">
        <v>0</v>
      </c>
      <c r="H1694" s="291">
        <v>0</v>
      </c>
      <c r="I1694" s="291">
        <v>0</v>
      </c>
      <c r="J1694" s="291">
        <v>19</v>
      </c>
      <c r="K1694" s="284">
        <v>0</v>
      </c>
      <c r="L1694" s="291">
        <v>0</v>
      </c>
      <c r="M1694" s="291">
        <v>0</v>
      </c>
      <c r="N1694" s="291">
        <v>21</v>
      </c>
      <c r="O1694" s="291">
        <v>0</v>
      </c>
      <c r="P1694" s="274">
        <v>57</v>
      </c>
      <c r="Q1694" s="274">
        <v>1</v>
      </c>
      <c r="R1694" s="274">
        <v>129</v>
      </c>
      <c r="S1694" s="274">
        <v>1</v>
      </c>
      <c r="T1694" s="287">
        <f t="shared" si="26"/>
        <v>2018</v>
      </c>
      <c r="U1694" s="274">
        <f>VLOOKUP(A1694,'[1]SB35 Determination Data'!$B$4:$F$542,5,FALSE)</f>
        <v>2014</v>
      </c>
    </row>
    <row r="1695" spans="1:21" s="274" customFormat="1" ht="12.75" x14ac:dyDescent="0.2">
      <c r="A1695" s="274" t="s">
        <v>419</v>
      </c>
      <c r="B1695" s="274" t="s">
        <v>262</v>
      </c>
      <c r="C1695" s="274" t="s">
        <v>649</v>
      </c>
      <c r="D1695" s="295">
        <v>2018</v>
      </c>
      <c r="E1695" s="274" t="s">
        <v>650</v>
      </c>
      <c r="F1695" s="291">
        <v>170</v>
      </c>
      <c r="G1695" s="285">
        <v>9</v>
      </c>
      <c r="H1695" s="291">
        <v>9</v>
      </c>
      <c r="I1695" s="291">
        <v>0</v>
      </c>
      <c r="J1695" s="291">
        <v>101</v>
      </c>
      <c r="K1695" s="284">
        <v>0</v>
      </c>
      <c r="L1695" s="291">
        <v>0</v>
      </c>
      <c r="M1695" s="291">
        <v>0</v>
      </c>
      <c r="N1695" s="291">
        <v>112</v>
      </c>
      <c r="O1695" s="291">
        <v>3</v>
      </c>
      <c r="P1695" s="274">
        <v>300</v>
      </c>
      <c r="Q1695" s="274">
        <v>282</v>
      </c>
      <c r="R1695" s="274">
        <v>683</v>
      </c>
      <c r="S1695" s="274">
        <v>294</v>
      </c>
      <c r="T1695" s="287">
        <f t="shared" si="26"/>
        <v>2018</v>
      </c>
      <c r="U1695" s="274">
        <f>VLOOKUP(A1695,'[1]SB35 Determination Data'!$B$4:$F$542,5,FALSE)</f>
        <v>2014</v>
      </c>
    </row>
    <row r="1696" spans="1:21" s="274" customFormat="1" ht="12.75" x14ac:dyDescent="0.2">
      <c r="A1696" s="274" t="s">
        <v>180</v>
      </c>
      <c r="B1696" s="274" t="s">
        <v>40</v>
      </c>
      <c r="C1696" s="274" t="s">
        <v>654</v>
      </c>
      <c r="D1696" s="295">
        <v>2018</v>
      </c>
      <c r="E1696" s="274" t="s">
        <v>650</v>
      </c>
      <c r="F1696" s="291">
        <v>851</v>
      </c>
      <c r="G1696" s="285">
        <v>0</v>
      </c>
      <c r="H1696" s="291">
        <v>0</v>
      </c>
      <c r="I1696" s="291">
        <v>0</v>
      </c>
      <c r="J1696" s="291">
        <v>480</v>
      </c>
      <c r="K1696" s="284">
        <v>0</v>
      </c>
      <c r="L1696" s="291">
        <v>0</v>
      </c>
      <c r="M1696" s="291">
        <v>0</v>
      </c>
      <c r="N1696" s="291">
        <v>608</v>
      </c>
      <c r="O1696" s="291">
        <v>0</v>
      </c>
      <c r="P1696" s="274">
        <v>1981</v>
      </c>
      <c r="Q1696" s="274">
        <v>145</v>
      </c>
      <c r="R1696" s="274">
        <v>3920</v>
      </c>
      <c r="S1696" s="274">
        <v>145</v>
      </c>
      <c r="T1696" s="287">
        <f t="shared" si="26"/>
        <v>2018</v>
      </c>
      <c r="U1696" s="274">
        <f>VLOOKUP(A1696,'[1]SB35 Determination Data'!$B$4:$F$542,5,FALSE)</f>
        <v>2015</v>
      </c>
    </row>
    <row r="1697" spans="1:21" s="274" customFormat="1" ht="12.75" x14ac:dyDescent="0.2">
      <c r="A1697" s="274" t="s">
        <v>420</v>
      </c>
      <c r="B1697" s="274" t="s">
        <v>669</v>
      </c>
      <c r="C1697" s="274" t="s">
        <v>654</v>
      </c>
      <c r="D1697" s="295">
        <v>2018</v>
      </c>
      <c r="E1697" s="274" t="s">
        <v>650</v>
      </c>
      <c r="F1697" s="291">
        <v>31</v>
      </c>
      <c r="G1697" s="285">
        <v>0</v>
      </c>
      <c r="H1697" s="291">
        <v>0</v>
      </c>
      <c r="I1697" s="291">
        <v>0</v>
      </c>
      <c r="J1697" s="291">
        <v>24</v>
      </c>
      <c r="K1697" s="284">
        <v>0</v>
      </c>
      <c r="L1697" s="291">
        <v>0</v>
      </c>
      <c r="M1697" s="291">
        <v>0</v>
      </c>
      <c r="N1697" s="291">
        <v>26</v>
      </c>
      <c r="O1697" s="291">
        <v>11</v>
      </c>
      <c r="P1697" s="274">
        <v>76</v>
      </c>
      <c r="Q1697" s="274">
        <v>41</v>
      </c>
      <c r="R1697" s="274">
        <v>157</v>
      </c>
      <c r="S1697" s="274">
        <v>52</v>
      </c>
      <c r="T1697" s="287">
        <f t="shared" si="26"/>
        <v>2018</v>
      </c>
      <c r="U1697" s="274">
        <f>VLOOKUP(A1697,'[1]SB35 Determination Data'!$B$4:$F$542,5,FALSE)</f>
        <v>2015</v>
      </c>
    </row>
    <row r="1698" spans="1:21" s="274" customFormat="1" ht="12.75" x14ac:dyDescent="0.2">
      <c r="A1698" s="274" t="s">
        <v>422</v>
      </c>
      <c r="B1698" s="274" t="s">
        <v>481</v>
      </c>
      <c r="C1698" s="274" t="s">
        <v>649</v>
      </c>
      <c r="D1698" s="295">
        <v>2018</v>
      </c>
      <c r="E1698" s="274" t="s">
        <v>650</v>
      </c>
      <c r="F1698" s="291">
        <v>134</v>
      </c>
      <c r="G1698" s="285">
        <v>0</v>
      </c>
      <c r="H1698" s="291">
        <v>0</v>
      </c>
      <c r="I1698" s="291">
        <v>0</v>
      </c>
      <c r="J1698" s="291">
        <v>96</v>
      </c>
      <c r="K1698" s="284">
        <v>3</v>
      </c>
      <c r="L1698" s="291">
        <v>0</v>
      </c>
      <c r="M1698" s="291">
        <v>3</v>
      </c>
      <c r="N1698" s="274">
        <v>112</v>
      </c>
      <c r="O1698" s="291">
        <v>59</v>
      </c>
      <c r="P1698" s="274">
        <v>262</v>
      </c>
      <c r="Q1698" s="274">
        <v>1</v>
      </c>
      <c r="R1698" s="274">
        <v>604</v>
      </c>
      <c r="S1698" s="274">
        <v>63</v>
      </c>
      <c r="T1698" s="287">
        <f t="shared" si="26"/>
        <v>2018</v>
      </c>
      <c r="U1698" s="274">
        <f>VLOOKUP(A1698,'[1]SB35 Determination Data'!$B$4:$F$542,5,FALSE)</f>
        <v>2014</v>
      </c>
    </row>
    <row r="1699" spans="1:21" s="274" customFormat="1" ht="12.75" x14ac:dyDescent="0.2">
      <c r="A1699" s="274" t="s">
        <v>285</v>
      </c>
      <c r="B1699" s="274" t="s">
        <v>120</v>
      </c>
      <c r="C1699" s="274" t="s">
        <v>654</v>
      </c>
      <c r="D1699" s="295">
        <v>2018</v>
      </c>
      <c r="E1699" s="274" t="s">
        <v>650</v>
      </c>
      <c r="F1699" s="291">
        <v>220</v>
      </c>
      <c r="G1699" s="285">
        <v>0</v>
      </c>
      <c r="H1699" s="291">
        <v>0</v>
      </c>
      <c r="I1699" s="291">
        <v>0</v>
      </c>
      <c r="J1699" s="291">
        <v>118</v>
      </c>
      <c r="K1699" s="284">
        <v>0</v>
      </c>
      <c r="L1699" s="291">
        <v>0</v>
      </c>
      <c r="M1699" s="291">
        <v>0</v>
      </c>
      <c r="N1699" s="291">
        <v>100</v>
      </c>
      <c r="O1699" s="291">
        <v>0</v>
      </c>
      <c r="P1699" s="274">
        <v>244</v>
      </c>
      <c r="Q1699" s="274">
        <v>227</v>
      </c>
      <c r="R1699" s="274">
        <v>682</v>
      </c>
      <c r="S1699" s="274">
        <v>227</v>
      </c>
      <c r="T1699" s="287">
        <f t="shared" si="26"/>
        <v>2018</v>
      </c>
      <c r="U1699" s="274">
        <f>VLOOKUP(A1699,'[1]SB35 Determination Data'!$B$4:$F$542,5,FALSE)</f>
        <v>2015</v>
      </c>
    </row>
    <row r="1700" spans="1:21" s="274" customFormat="1" ht="12.75" x14ac:dyDescent="0.2">
      <c r="A1700" s="274" t="s">
        <v>424</v>
      </c>
      <c r="B1700" s="274" t="s">
        <v>262</v>
      </c>
      <c r="C1700" s="274" t="s">
        <v>649</v>
      </c>
      <c r="D1700" s="295">
        <v>2018</v>
      </c>
      <c r="E1700" s="274" t="s">
        <v>650</v>
      </c>
      <c r="F1700" s="291">
        <v>1</v>
      </c>
      <c r="G1700" s="285">
        <v>0</v>
      </c>
      <c r="H1700" s="291">
        <v>0</v>
      </c>
      <c r="I1700" s="291">
        <v>0</v>
      </c>
      <c r="J1700" s="291">
        <v>1</v>
      </c>
      <c r="K1700" s="284">
        <v>0</v>
      </c>
      <c r="L1700" s="291">
        <v>0</v>
      </c>
      <c r="M1700" s="291">
        <v>0</v>
      </c>
      <c r="N1700" s="291">
        <v>0</v>
      </c>
      <c r="O1700" s="291">
        <v>1</v>
      </c>
      <c r="P1700" s="274">
        <v>0</v>
      </c>
      <c r="Q1700" s="274">
        <v>10</v>
      </c>
      <c r="R1700" s="274">
        <v>2</v>
      </c>
      <c r="S1700" s="274">
        <v>11</v>
      </c>
      <c r="T1700" s="287">
        <f t="shared" si="26"/>
        <v>2018</v>
      </c>
      <c r="U1700" s="274">
        <f>VLOOKUP(A1700,'[1]SB35 Determination Data'!$B$4:$F$542,5,FALSE)</f>
        <v>2014</v>
      </c>
    </row>
    <row r="1701" spans="1:21" s="274" customFormat="1" ht="12.75" x14ac:dyDescent="0.2">
      <c r="A1701" s="274" t="s">
        <v>427</v>
      </c>
      <c r="B1701" s="274" t="s">
        <v>262</v>
      </c>
      <c r="C1701" s="274" t="s">
        <v>649</v>
      </c>
      <c r="D1701" s="295">
        <v>2018</v>
      </c>
      <c r="E1701" s="274" t="s">
        <v>650</v>
      </c>
      <c r="F1701" s="291">
        <v>5</v>
      </c>
      <c r="G1701" s="285"/>
      <c r="H1701" s="291"/>
      <c r="I1701" s="291"/>
      <c r="J1701" s="291">
        <v>3</v>
      </c>
      <c r="K1701" s="284"/>
      <c r="L1701" s="291"/>
      <c r="M1701" s="291"/>
      <c r="N1701" s="291">
        <v>3</v>
      </c>
      <c r="O1701" s="291"/>
      <c r="P1701" s="274">
        <v>7</v>
      </c>
      <c r="R1701" s="274">
        <v>18</v>
      </c>
      <c r="T1701" s="287">
        <f t="shared" si="26"/>
        <v>2018</v>
      </c>
      <c r="U1701" s="274">
        <f>VLOOKUP(A1701,'[1]SB35 Determination Data'!$B$4:$F$542,5,FALSE)</f>
        <v>2014</v>
      </c>
    </row>
    <row r="1702" spans="1:21" s="274" customFormat="1" ht="12.75" x14ac:dyDescent="0.2">
      <c r="A1702" s="274" t="s">
        <v>428</v>
      </c>
      <c r="B1702" s="274" t="s">
        <v>542</v>
      </c>
      <c r="C1702" s="274" t="s">
        <v>649</v>
      </c>
      <c r="D1702" s="295">
        <v>2018</v>
      </c>
      <c r="E1702" s="274" t="s">
        <v>650</v>
      </c>
      <c r="F1702" s="291">
        <v>349</v>
      </c>
      <c r="G1702" s="285">
        <v>0</v>
      </c>
      <c r="H1702" s="291">
        <v>0</v>
      </c>
      <c r="I1702" s="291">
        <v>0</v>
      </c>
      <c r="J1702" s="291">
        <v>246</v>
      </c>
      <c r="K1702" s="284">
        <v>0</v>
      </c>
      <c r="L1702" s="291">
        <v>0</v>
      </c>
      <c r="M1702" s="291">
        <v>0</v>
      </c>
      <c r="N1702" s="291">
        <v>280</v>
      </c>
      <c r="O1702" s="291">
        <v>0</v>
      </c>
      <c r="P1702" s="274">
        <v>625</v>
      </c>
      <c r="Q1702" s="274">
        <v>17</v>
      </c>
      <c r="R1702" s="274">
        <v>1500</v>
      </c>
      <c r="S1702" s="274">
        <v>17</v>
      </c>
      <c r="T1702" s="287">
        <f t="shared" si="26"/>
        <v>2018</v>
      </c>
      <c r="U1702" s="274">
        <f>VLOOKUP(A1702,'[1]SB35 Determination Data'!$B$4:$F$542,5,FALSE)</f>
        <v>2014</v>
      </c>
    </row>
    <row r="1703" spans="1:21" s="274" customFormat="1" ht="12.75" x14ac:dyDescent="0.2">
      <c r="A1703" s="274" t="s">
        <v>429</v>
      </c>
      <c r="B1703" s="274" t="s">
        <v>595</v>
      </c>
      <c r="C1703" s="274" t="s">
        <v>654</v>
      </c>
      <c r="D1703" s="295">
        <v>2018</v>
      </c>
      <c r="E1703" s="274" t="s">
        <v>650</v>
      </c>
      <c r="F1703" s="291">
        <v>32</v>
      </c>
      <c r="G1703" s="285">
        <v>6</v>
      </c>
      <c r="H1703" s="291">
        <v>0</v>
      </c>
      <c r="I1703" s="291">
        <v>6</v>
      </c>
      <c r="J1703" s="291">
        <v>17</v>
      </c>
      <c r="K1703" s="284">
        <v>4</v>
      </c>
      <c r="L1703" s="291">
        <v>0</v>
      </c>
      <c r="M1703" s="291">
        <v>4</v>
      </c>
      <c r="N1703" s="274">
        <v>21</v>
      </c>
      <c r="O1703" s="291">
        <v>3</v>
      </c>
      <c r="P1703" s="274">
        <v>21</v>
      </c>
      <c r="Q1703" s="274">
        <v>3</v>
      </c>
      <c r="R1703" s="274">
        <v>91</v>
      </c>
      <c r="S1703" s="274">
        <v>16</v>
      </c>
      <c r="T1703" s="287">
        <f t="shared" si="26"/>
        <v>2018</v>
      </c>
      <c r="U1703" s="274">
        <f>VLOOKUP(A1703,'[1]SB35 Determination Data'!$B$4:$F$542,5,FALSE)</f>
        <v>2015</v>
      </c>
    </row>
    <row r="1704" spans="1:21" s="274" customFormat="1" ht="12.75" x14ac:dyDescent="0.2">
      <c r="A1704" s="274" t="s">
        <v>430</v>
      </c>
      <c r="B1704" s="274" t="s">
        <v>530</v>
      </c>
      <c r="C1704" s="274" t="s">
        <v>531</v>
      </c>
      <c r="D1704" s="295">
        <v>2018</v>
      </c>
      <c r="E1704" s="274" t="s">
        <v>650</v>
      </c>
      <c r="F1704" s="291">
        <v>312</v>
      </c>
      <c r="G1704" s="285">
        <v>0</v>
      </c>
      <c r="H1704" s="291">
        <v>0</v>
      </c>
      <c r="I1704" s="291">
        <v>0</v>
      </c>
      <c r="J1704" s="291">
        <v>189</v>
      </c>
      <c r="K1704" s="284">
        <v>0</v>
      </c>
      <c r="L1704" s="291">
        <v>0</v>
      </c>
      <c r="M1704" s="291">
        <v>0</v>
      </c>
      <c r="N1704" s="291">
        <v>258</v>
      </c>
      <c r="O1704" s="291">
        <v>1</v>
      </c>
      <c r="P1704" s="274">
        <v>557</v>
      </c>
      <c r="Q1704" s="274">
        <v>87</v>
      </c>
      <c r="R1704" s="274">
        <v>1316</v>
      </c>
      <c r="S1704" s="274">
        <v>88</v>
      </c>
      <c r="T1704" s="287">
        <f t="shared" si="26"/>
        <v>2018</v>
      </c>
      <c r="U1704" s="274">
        <f>VLOOKUP(A1704,'[1]SB35 Determination Data'!$B$4:$F$542,5,FALSE)</f>
        <v>2016</v>
      </c>
    </row>
    <row r="1705" spans="1:21" s="274" customFormat="1" ht="12.75" x14ac:dyDescent="0.2">
      <c r="A1705" s="274" t="s">
        <v>431</v>
      </c>
      <c r="B1705" s="274" t="s">
        <v>679</v>
      </c>
      <c r="C1705" s="274" t="s">
        <v>531</v>
      </c>
      <c r="D1705" s="295">
        <v>2018</v>
      </c>
      <c r="E1705" s="274" t="s">
        <v>650</v>
      </c>
      <c r="F1705" s="291">
        <v>53</v>
      </c>
      <c r="G1705" s="285">
        <v>0</v>
      </c>
      <c r="H1705" s="291">
        <v>0</v>
      </c>
      <c r="I1705" s="291">
        <v>0</v>
      </c>
      <c r="J1705" s="291">
        <v>34</v>
      </c>
      <c r="K1705" s="284">
        <v>0</v>
      </c>
      <c r="L1705" s="291">
        <v>0</v>
      </c>
      <c r="M1705" s="291">
        <v>0</v>
      </c>
      <c r="N1705" s="291">
        <v>38</v>
      </c>
      <c r="O1705" s="291">
        <v>0</v>
      </c>
      <c r="P1705" s="274">
        <v>93</v>
      </c>
      <c r="Q1705" s="274">
        <v>8</v>
      </c>
      <c r="R1705" s="274">
        <v>218</v>
      </c>
      <c r="S1705" s="274">
        <v>8</v>
      </c>
      <c r="T1705" s="287">
        <f t="shared" si="26"/>
        <v>2018</v>
      </c>
      <c r="U1705" s="274">
        <f>VLOOKUP(A1705,'[1]SB35 Determination Data'!$B$4:$F$542,5,FALSE)</f>
        <v>2016</v>
      </c>
    </row>
    <row r="1706" spans="1:21" s="274" customFormat="1" ht="12.75" x14ac:dyDescent="0.2">
      <c r="A1706" s="274" t="s">
        <v>400</v>
      </c>
      <c r="B1706" s="274" t="s">
        <v>171</v>
      </c>
      <c r="C1706" s="274" t="s">
        <v>660</v>
      </c>
      <c r="D1706" s="295">
        <v>2018</v>
      </c>
      <c r="E1706" s="274" t="s">
        <v>650</v>
      </c>
      <c r="F1706" s="291">
        <v>212</v>
      </c>
      <c r="G1706" s="285">
        <v>2</v>
      </c>
      <c r="H1706" s="291">
        <v>0</v>
      </c>
      <c r="I1706" s="291">
        <v>2</v>
      </c>
      <c r="J1706" s="291">
        <v>135</v>
      </c>
      <c r="K1706" s="284">
        <v>1</v>
      </c>
      <c r="L1706" s="291">
        <v>0</v>
      </c>
      <c r="M1706" s="291">
        <v>1</v>
      </c>
      <c r="N1706" s="291">
        <v>146</v>
      </c>
      <c r="O1706" s="291">
        <v>31</v>
      </c>
      <c r="P1706" s="274">
        <v>366</v>
      </c>
      <c r="Q1706" s="274">
        <v>40</v>
      </c>
      <c r="R1706" s="274">
        <v>859</v>
      </c>
      <c r="S1706" s="274">
        <v>74</v>
      </c>
      <c r="T1706" s="287">
        <f t="shared" si="26"/>
        <v>2018</v>
      </c>
      <c r="U1706" s="274">
        <f>VLOOKUP(A1706,'[1]SB35 Determination Data'!$B$4:$F$542,5,FALSE)</f>
        <v>2014</v>
      </c>
    </row>
    <row r="1707" spans="1:21" s="274" customFormat="1" ht="12.75" x14ac:dyDescent="0.2">
      <c r="A1707" s="274" t="s">
        <v>189</v>
      </c>
      <c r="B1707" s="274" t="s">
        <v>189</v>
      </c>
      <c r="C1707" s="274" t="s">
        <v>649</v>
      </c>
      <c r="D1707" s="295">
        <v>2018</v>
      </c>
      <c r="E1707" s="274" t="s">
        <v>650</v>
      </c>
      <c r="F1707" s="291">
        <v>349</v>
      </c>
      <c r="G1707" s="285">
        <v>0</v>
      </c>
      <c r="H1707" s="291">
        <v>0</v>
      </c>
      <c r="I1707" s="291">
        <v>0</v>
      </c>
      <c r="J1707" s="291">
        <v>205</v>
      </c>
      <c r="K1707" s="284">
        <v>0</v>
      </c>
      <c r="L1707" s="291">
        <v>0</v>
      </c>
      <c r="M1707" s="291">
        <v>0</v>
      </c>
      <c r="N1707" s="291">
        <v>202</v>
      </c>
      <c r="O1707" s="291">
        <v>90</v>
      </c>
      <c r="P1707" s="274">
        <v>553</v>
      </c>
      <c r="Q1707" s="274">
        <v>26</v>
      </c>
      <c r="R1707" s="274">
        <v>1309</v>
      </c>
      <c r="S1707" s="274">
        <v>116</v>
      </c>
      <c r="T1707" s="287">
        <f t="shared" si="26"/>
        <v>2018</v>
      </c>
      <c r="U1707" s="274">
        <f>VLOOKUP(A1707,'[1]SB35 Determination Data'!$B$4:$F$542,5,FALSE)</f>
        <v>2014</v>
      </c>
    </row>
    <row r="1708" spans="1:21" s="274" customFormat="1" ht="12.75" x14ac:dyDescent="0.2">
      <c r="A1708" s="274" t="s">
        <v>435</v>
      </c>
      <c r="B1708" s="274" t="s">
        <v>557</v>
      </c>
      <c r="C1708" s="274" t="s">
        <v>758</v>
      </c>
      <c r="D1708" s="295">
        <v>2018</v>
      </c>
      <c r="E1708" s="274" t="s">
        <v>650</v>
      </c>
      <c r="F1708" s="291">
        <v>63</v>
      </c>
      <c r="G1708" s="285">
        <v>0</v>
      </c>
      <c r="H1708" s="291">
        <v>0</v>
      </c>
      <c r="I1708" s="291">
        <v>0</v>
      </c>
      <c r="J1708" s="291">
        <v>48</v>
      </c>
      <c r="K1708" s="284">
        <v>0</v>
      </c>
      <c r="L1708" s="291">
        <v>0</v>
      </c>
      <c r="M1708" s="291">
        <v>0</v>
      </c>
      <c r="N1708" s="274">
        <v>45</v>
      </c>
      <c r="O1708" s="291">
        <v>0</v>
      </c>
      <c r="P1708" s="274">
        <v>98</v>
      </c>
      <c r="Q1708" s="274">
        <v>64</v>
      </c>
      <c r="R1708" s="274">
        <v>254</v>
      </c>
      <c r="S1708" s="274">
        <v>64</v>
      </c>
      <c r="T1708" s="287">
        <f t="shared" si="26"/>
        <v>2018</v>
      </c>
      <c r="U1708" s="274">
        <f>VLOOKUP(A1708,'[1]SB35 Determination Data'!$B$4:$F$542,5,FALSE)</f>
        <v>2013</v>
      </c>
    </row>
    <row r="1709" spans="1:21" s="274" customFormat="1" ht="12.75" x14ac:dyDescent="0.2">
      <c r="A1709" s="274" t="s">
        <v>437</v>
      </c>
      <c r="B1709" s="274" t="s">
        <v>481</v>
      </c>
      <c r="C1709" s="274" t="s">
        <v>649</v>
      </c>
      <c r="D1709" s="295">
        <v>2018</v>
      </c>
      <c r="E1709" s="274" t="s">
        <v>650</v>
      </c>
      <c r="F1709" s="291">
        <v>40</v>
      </c>
      <c r="G1709" s="285">
        <v>0</v>
      </c>
      <c r="H1709" s="291">
        <v>0</v>
      </c>
      <c r="I1709" s="291">
        <v>0</v>
      </c>
      <c r="J1709" s="291">
        <v>27</v>
      </c>
      <c r="K1709" s="284">
        <v>0</v>
      </c>
      <c r="L1709" s="291">
        <v>0</v>
      </c>
      <c r="M1709" s="291">
        <v>0</v>
      </c>
      <c r="N1709" s="291">
        <v>31</v>
      </c>
      <c r="O1709" s="291">
        <v>0</v>
      </c>
      <c r="P1709" s="274">
        <v>62</v>
      </c>
      <c r="Q1709" s="274">
        <v>46</v>
      </c>
      <c r="R1709" s="274">
        <v>160</v>
      </c>
      <c r="S1709" s="274">
        <v>46</v>
      </c>
      <c r="T1709" s="287">
        <f t="shared" si="26"/>
        <v>2018</v>
      </c>
      <c r="U1709" s="274">
        <f>VLOOKUP(A1709,'[1]SB35 Determination Data'!$B$4:$F$542,5,FALSE)</f>
        <v>2014</v>
      </c>
    </row>
    <row r="1710" spans="1:21" s="274" customFormat="1" ht="12.75" x14ac:dyDescent="0.2">
      <c r="A1710" s="274" t="s">
        <v>439</v>
      </c>
      <c r="B1710" s="274" t="s">
        <v>481</v>
      </c>
      <c r="C1710" s="274" t="s">
        <v>649</v>
      </c>
      <c r="D1710" s="295">
        <v>2018</v>
      </c>
      <c r="E1710" s="274" t="s">
        <v>650</v>
      </c>
      <c r="F1710" s="291">
        <v>714</v>
      </c>
      <c r="G1710" s="285">
        <v>0</v>
      </c>
      <c r="H1710" s="291">
        <v>0</v>
      </c>
      <c r="I1710" s="291">
        <v>0</v>
      </c>
      <c r="J1710" s="291">
        <v>487</v>
      </c>
      <c r="K1710" s="284">
        <v>0</v>
      </c>
      <c r="L1710" s="291">
        <v>0</v>
      </c>
      <c r="M1710" s="291">
        <v>0</v>
      </c>
      <c r="N1710" s="291">
        <v>553</v>
      </c>
      <c r="O1710" s="291">
        <v>0</v>
      </c>
      <c r="P1710" s="274">
        <v>1271</v>
      </c>
      <c r="Q1710" s="274">
        <v>31</v>
      </c>
      <c r="R1710" s="274">
        <v>3025</v>
      </c>
      <c r="S1710" s="274">
        <v>31</v>
      </c>
      <c r="T1710" s="287">
        <f t="shared" si="26"/>
        <v>2018</v>
      </c>
      <c r="U1710" s="274">
        <f>VLOOKUP(A1710,'[1]SB35 Determination Data'!$B$4:$F$542,5,FALSE)</f>
        <v>2014</v>
      </c>
    </row>
    <row r="1711" spans="1:21" s="274" customFormat="1" ht="12.75" x14ac:dyDescent="0.2">
      <c r="A1711" s="274" t="s">
        <v>441</v>
      </c>
      <c r="B1711" s="274" t="s">
        <v>262</v>
      </c>
      <c r="C1711" s="274" t="s">
        <v>649</v>
      </c>
      <c r="D1711" s="295">
        <v>2018</v>
      </c>
      <c r="E1711" s="274" t="s">
        <v>650</v>
      </c>
      <c r="F1711" s="291">
        <v>0</v>
      </c>
      <c r="G1711" s="285"/>
      <c r="H1711" s="291"/>
      <c r="I1711" s="291"/>
      <c r="J1711" s="291">
        <v>0</v>
      </c>
      <c r="K1711" s="284"/>
      <c r="L1711" s="291"/>
      <c r="M1711" s="291"/>
      <c r="N1711" s="291">
        <v>0</v>
      </c>
      <c r="O1711" s="291"/>
      <c r="P1711" s="274">
        <v>0</v>
      </c>
      <c r="R1711" s="274">
        <v>0</v>
      </c>
      <c r="T1711" s="287">
        <f t="shared" si="26"/>
        <v>2018</v>
      </c>
      <c r="U1711" s="274">
        <f>VLOOKUP(A1711,'[1]SB35 Determination Data'!$B$4:$F$542,5,FALSE)</f>
        <v>2014</v>
      </c>
    </row>
    <row r="1712" spans="1:21" s="274" customFormat="1" ht="12.75" x14ac:dyDescent="0.2">
      <c r="A1712" s="274" t="s">
        <v>217</v>
      </c>
      <c r="B1712" s="274" t="s">
        <v>90</v>
      </c>
      <c r="C1712" s="274" t="s">
        <v>660</v>
      </c>
      <c r="D1712" s="295">
        <v>2018</v>
      </c>
      <c r="E1712" s="274" t="s">
        <v>650</v>
      </c>
      <c r="F1712" s="291">
        <v>3</v>
      </c>
      <c r="G1712" s="285">
        <v>0</v>
      </c>
      <c r="H1712" s="291">
        <v>0</v>
      </c>
      <c r="I1712" s="291">
        <v>0</v>
      </c>
      <c r="J1712" s="291">
        <v>3</v>
      </c>
      <c r="K1712" s="284">
        <v>0</v>
      </c>
      <c r="L1712" s="291">
        <v>0</v>
      </c>
      <c r="M1712" s="291">
        <v>0</v>
      </c>
      <c r="N1712" s="274">
        <v>3</v>
      </c>
      <c r="O1712" s="291">
        <v>65</v>
      </c>
      <c r="P1712" s="274">
        <v>7</v>
      </c>
      <c r="Q1712" s="274">
        <v>41</v>
      </c>
      <c r="R1712" s="274">
        <v>16</v>
      </c>
      <c r="S1712" s="274">
        <v>106</v>
      </c>
      <c r="T1712" s="287">
        <f t="shared" si="26"/>
        <v>2018</v>
      </c>
      <c r="U1712" s="274">
        <f>VLOOKUP(A1712,'[1]SB35 Determination Data'!$B$4:$F$542,5,FALSE)</f>
        <v>2014</v>
      </c>
    </row>
    <row r="1713" spans="1:21" s="274" customFormat="1" ht="12.75" x14ac:dyDescent="0.2">
      <c r="A1713" s="274" t="s">
        <v>445</v>
      </c>
      <c r="B1713" s="274" t="s">
        <v>436</v>
      </c>
      <c r="C1713" s="274" t="s">
        <v>649</v>
      </c>
      <c r="D1713" s="295">
        <v>2018</v>
      </c>
      <c r="E1713" s="274" t="s">
        <v>650</v>
      </c>
      <c r="F1713" s="291">
        <v>2817</v>
      </c>
      <c r="G1713" s="285">
        <v>0</v>
      </c>
      <c r="H1713" s="291">
        <v>0</v>
      </c>
      <c r="I1713" s="291">
        <v>0</v>
      </c>
      <c r="J1713" s="291">
        <v>2034</v>
      </c>
      <c r="K1713" s="284">
        <v>0</v>
      </c>
      <c r="L1713" s="291">
        <v>0</v>
      </c>
      <c r="M1713" s="291">
        <v>0</v>
      </c>
      <c r="N1713" s="291">
        <v>2239</v>
      </c>
      <c r="O1713" s="291">
        <v>0</v>
      </c>
      <c r="P1713" s="274">
        <v>5059</v>
      </c>
      <c r="Q1713" s="274">
        <v>3455</v>
      </c>
      <c r="R1713" s="274">
        <v>12149</v>
      </c>
      <c r="S1713" s="274">
        <v>3455</v>
      </c>
      <c r="T1713" s="287">
        <f t="shared" si="26"/>
        <v>2018</v>
      </c>
      <c r="U1713" s="274">
        <f>VLOOKUP(A1713,'[1]SB35 Determination Data'!$B$4:$F$542,5,FALSE)</f>
        <v>2014</v>
      </c>
    </row>
    <row r="1714" spans="1:21" s="274" customFormat="1" ht="12.75" x14ac:dyDescent="0.2">
      <c r="A1714" s="274" t="s">
        <v>446</v>
      </c>
      <c r="B1714" s="274" t="s">
        <v>262</v>
      </c>
      <c r="C1714" s="274" t="s">
        <v>649</v>
      </c>
      <c r="D1714" s="295">
        <v>2018</v>
      </c>
      <c r="E1714" s="274" t="s">
        <v>650</v>
      </c>
      <c r="F1714" s="291">
        <v>4</v>
      </c>
      <c r="G1714" s="285"/>
      <c r="H1714" s="291"/>
      <c r="I1714" s="291"/>
      <c r="J1714" s="291">
        <v>2</v>
      </c>
      <c r="K1714" s="284"/>
      <c r="L1714" s="291"/>
      <c r="M1714" s="291"/>
      <c r="N1714" s="291">
        <v>2</v>
      </c>
      <c r="O1714" s="291"/>
      <c r="P1714" s="274">
        <v>7</v>
      </c>
      <c r="R1714" s="274">
        <v>15</v>
      </c>
      <c r="T1714" s="287">
        <f t="shared" si="26"/>
        <v>2018</v>
      </c>
      <c r="U1714" s="274">
        <f>VLOOKUP(A1714,'[1]SB35 Determination Data'!$B$4:$F$542,5,FALSE)</f>
        <v>2014</v>
      </c>
    </row>
    <row r="1715" spans="1:21" s="274" customFormat="1" ht="12.75" x14ac:dyDescent="0.2">
      <c r="A1715" s="274" t="s">
        <v>447</v>
      </c>
      <c r="B1715" s="274" t="s">
        <v>511</v>
      </c>
      <c r="C1715" s="274" t="s">
        <v>685</v>
      </c>
      <c r="D1715" s="295">
        <v>2018</v>
      </c>
      <c r="E1715" s="274" t="s">
        <v>650</v>
      </c>
      <c r="F1715" s="291">
        <v>4</v>
      </c>
      <c r="G1715" s="285"/>
      <c r="H1715" s="291"/>
      <c r="I1715" s="291"/>
      <c r="J1715" s="291">
        <v>3</v>
      </c>
      <c r="K1715" s="284"/>
      <c r="L1715" s="291"/>
      <c r="M1715" s="291"/>
      <c r="N1715" s="291">
        <v>4</v>
      </c>
      <c r="O1715" s="291"/>
      <c r="P1715" s="274">
        <v>12</v>
      </c>
      <c r="R1715" s="274">
        <v>23</v>
      </c>
      <c r="T1715" s="287">
        <f t="shared" si="26"/>
        <v>2018</v>
      </c>
      <c r="U1715" s="274">
        <f>VLOOKUP(A1715,'[1]SB35 Determination Data'!$B$4:$F$542,5,FALSE)</f>
        <v>2014</v>
      </c>
    </row>
    <row r="1716" spans="1:21" s="274" customFormat="1" ht="12.75" x14ac:dyDescent="0.2">
      <c r="A1716" s="274" t="s">
        <v>219</v>
      </c>
      <c r="B1716" s="274" t="s">
        <v>90</v>
      </c>
      <c r="C1716" s="274" t="s">
        <v>660</v>
      </c>
      <c r="D1716" s="295">
        <v>2018</v>
      </c>
      <c r="E1716" s="274" t="s">
        <v>650</v>
      </c>
      <c r="F1716" s="291">
        <v>4</v>
      </c>
      <c r="G1716" s="285">
        <v>0</v>
      </c>
      <c r="H1716" s="291">
        <v>0</v>
      </c>
      <c r="I1716" s="291">
        <v>0</v>
      </c>
      <c r="J1716" s="291">
        <v>3</v>
      </c>
      <c r="K1716" s="284">
        <v>0</v>
      </c>
      <c r="L1716" s="291">
        <v>0</v>
      </c>
      <c r="M1716" s="291">
        <v>0</v>
      </c>
      <c r="N1716" s="291">
        <v>4</v>
      </c>
      <c r="O1716" s="291">
        <v>0</v>
      </c>
      <c r="P1716" s="274">
        <v>8</v>
      </c>
      <c r="Q1716" s="274">
        <v>18</v>
      </c>
      <c r="R1716" s="274">
        <v>19</v>
      </c>
      <c r="S1716" s="274">
        <v>18</v>
      </c>
      <c r="T1716" s="287">
        <f t="shared" si="26"/>
        <v>2018</v>
      </c>
      <c r="U1716" s="274">
        <f>VLOOKUP(A1716,'[1]SB35 Determination Data'!$B$4:$F$542,5,FALSE)</f>
        <v>2014</v>
      </c>
    </row>
    <row r="1717" spans="1:21" s="274" customFormat="1" ht="12.75" x14ac:dyDescent="0.2">
      <c r="A1717" s="274" t="s">
        <v>449</v>
      </c>
      <c r="B1717" s="274" t="s">
        <v>481</v>
      </c>
      <c r="C1717" s="274" t="s">
        <v>649</v>
      </c>
      <c r="D1717" s="295">
        <v>2018</v>
      </c>
      <c r="E1717" s="274" t="s">
        <v>650</v>
      </c>
      <c r="F1717" s="291">
        <v>409</v>
      </c>
      <c r="G1717" s="285">
        <v>0</v>
      </c>
      <c r="H1717" s="291">
        <v>0</v>
      </c>
      <c r="I1717" s="291">
        <v>0</v>
      </c>
      <c r="J1717" s="291">
        <v>275</v>
      </c>
      <c r="K1717" s="284">
        <v>0</v>
      </c>
      <c r="L1717" s="291">
        <v>0</v>
      </c>
      <c r="M1717" s="291">
        <v>0</v>
      </c>
      <c r="N1717" s="291">
        <v>307</v>
      </c>
      <c r="O1717" s="291">
        <v>0</v>
      </c>
      <c r="P1717" s="274">
        <v>721</v>
      </c>
      <c r="Q1717" s="274">
        <v>340</v>
      </c>
      <c r="R1717" s="274">
        <v>1712</v>
      </c>
      <c r="S1717" s="274">
        <v>340</v>
      </c>
      <c r="T1717" s="287">
        <f t="shared" si="26"/>
        <v>2018</v>
      </c>
      <c r="U1717" s="274">
        <f>VLOOKUP(A1717,'[1]SB35 Determination Data'!$B$4:$F$542,5,FALSE)</f>
        <v>2014</v>
      </c>
    </row>
    <row r="1718" spans="1:21" s="274" customFormat="1" ht="12.75" x14ac:dyDescent="0.2">
      <c r="A1718" s="274" t="s">
        <v>363</v>
      </c>
      <c r="B1718" s="274" t="s">
        <v>125</v>
      </c>
      <c r="C1718" s="274" t="s">
        <v>531</v>
      </c>
      <c r="D1718" s="295">
        <v>2018</v>
      </c>
      <c r="E1718" s="274" t="s">
        <v>650</v>
      </c>
      <c r="F1718" s="291">
        <v>238</v>
      </c>
      <c r="G1718" s="285">
        <v>0</v>
      </c>
      <c r="H1718" s="291">
        <v>0</v>
      </c>
      <c r="I1718" s="291">
        <v>0</v>
      </c>
      <c r="J1718" s="291">
        <v>211</v>
      </c>
      <c r="K1718" s="284">
        <v>1</v>
      </c>
      <c r="L1718" s="291">
        <v>0</v>
      </c>
      <c r="M1718" s="291">
        <v>1</v>
      </c>
      <c r="N1718" s="291">
        <v>202</v>
      </c>
      <c r="O1718" s="291">
        <v>37</v>
      </c>
      <c r="P1718" s="274">
        <v>258</v>
      </c>
      <c r="Q1718" s="274">
        <v>58</v>
      </c>
      <c r="R1718" s="274">
        <v>909</v>
      </c>
      <c r="S1718" s="274">
        <v>96</v>
      </c>
      <c r="T1718" s="287">
        <f t="shared" si="26"/>
        <v>2018</v>
      </c>
      <c r="U1718" s="274">
        <f>VLOOKUP(A1718,'[1]SB35 Determination Data'!$B$4:$F$542,5,FALSE)</f>
        <v>2016</v>
      </c>
    </row>
    <row r="1719" spans="1:21" s="274" customFormat="1" ht="12.75" x14ac:dyDescent="0.2">
      <c r="A1719" s="274" t="s">
        <v>438</v>
      </c>
      <c r="B1719" s="274" t="s">
        <v>220</v>
      </c>
      <c r="C1719" s="274" t="s">
        <v>531</v>
      </c>
      <c r="D1719" s="295">
        <v>2018</v>
      </c>
      <c r="E1719" s="274" t="s">
        <v>650</v>
      </c>
      <c r="F1719" s="291">
        <v>4888</v>
      </c>
      <c r="G1719" s="285"/>
      <c r="H1719" s="291"/>
      <c r="I1719" s="291"/>
      <c r="J1719" s="291">
        <v>3107</v>
      </c>
      <c r="K1719" s="284"/>
      <c r="L1719" s="291"/>
      <c r="M1719" s="291"/>
      <c r="N1719" s="291">
        <v>3126</v>
      </c>
      <c r="O1719" s="291"/>
      <c r="P1719" s="274">
        <v>10462</v>
      </c>
      <c r="R1719" s="274">
        <v>21583</v>
      </c>
      <c r="T1719" s="287">
        <f t="shared" si="26"/>
        <v>2018</v>
      </c>
      <c r="U1719" s="274">
        <f>VLOOKUP(A1719,'[1]SB35 Determination Data'!$B$4:$F$542,5,FALSE)</f>
        <v>2016</v>
      </c>
    </row>
    <row r="1720" spans="1:21" s="274" customFormat="1" ht="12.75" x14ac:dyDescent="0.2">
      <c r="A1720" s="274" t="s">
        <v>452</v>
      </c>
      <c r="B1720" s="274" t="s">
        <v>403</v>
      </c>
      <c r="C1720" s="274" t="s">
        <v>531</v>
      </c>
      <c r="D1720" s="295">
        <v>2018</v>
      </c>
      <c r="E1720" s="274" t="s">
        <v>650</v>
      </c>
      <c r="F1720" s="291">
        <v>43</v>
      </c>
      <c r="G1720" s="285">
        <v>0</v>
      </c>
      <c r="H1720" s="291">
        <v>0</v>
      </c>
      <c r="I1720" s="291">
        <v>0</v>
      </c>
      <c r="J1720" s="291">
        <v>28</v>
      </c>
      <c r="K1720" s="284">
        <v>0</v>
      </c>
      <c r="L1720" s="291">
        <v>0</v>
      </c>
      <c r="M1720" s="291">
        <v>0</v>
      </c>
      <c r="N1720" s="274">
        <v>33</v>
      </c>
      <c r="O1720" s="291">
        <v>0</v>
      </c>
      <c r="P1720" s="274">
        <v>76</v>
      </c>
      <c r="Q1720" s="274">
        <v>40</v>
      </c>
      <c r="R1720" s="274">
        <v>180</v>
      </c>
      <c r="S1720" s="274">
        <v>40</v>
      </c>
      <c r="T1720" s="287">
        <f t="shared" si="26"/>
        <v>2018</v>
      </c>
      <c r="U1720" s="274">
        <f>VLOOKUP(A1720,'[1]SB35 Determination Data'!$B$4:$F$542,5,FALSE)</f>
        <v>2016</v>
      </c>
    </row>
    <row r="1721" spans="1:21" s="274" customFormat="1" ht="12.75" x14ac:dyDescent="0.2">
      <c r="A1721" s="274" t="s">
        <v>450</v>
      </c>
      <c r="B1721" s="274" t="s">
        <v>229</v>
      </c>
      <c r="C1721" s="274" t="s">
        <v>693</v>
      </c>
      <c r="D1721" s="295">
        <v>2018</v>
      </c>
      <c r="E1721" s="274" t="s">
        <v>650</v>
      </c>
      <c r="F1721" s="291">
        <v>186</v>
      </c>
      <c r="G1721" s="285">
        <v>0</v>
      </c>
      <c r="H1721" s="291">
        <v>0</v>
      </c>
      <c r="I1721" s="291">
        <v>0</v>
      </c>
      <c r="J1721" s="291">
        <v>138</v>
      </c>
      <c r="K1721" s="284">
        <v>11</v>
      </c>
      <c r="L1721" s="291">
        <v>0</v>
      </c>
      <c r="M1721" s="291">
        <v>11</v>
      </c>
      <c r="N1721" s="291">
        <v>147</v>
      </c>
      <c r="O1721" s="291">
        <v>1</v>
      </c>
      <c r="P1721" s="274">
        <v>347</v>
      </c>
      <c r="Q1721" s="274">
        <v>8</v>
      </c>
      <c r="R1721" s="274">
        <v>818</v>
      </c>
      <c r="S1721" s="274">
        <v>20</v>
      </c>
      <c r="T1721" s="287">
        <f t="shared" si="26"/>
        <v>2018</v>
      </c>
      <c r="U1721" s="274">
        <f>VLOOKUP(A1721,'[1]SB35 Determination Data'!$B$4:$F$542,5,FALSE)</f>
        <v>2016</v>
      </c>
    </row>
    <row r="1722" spans="1:21" s="274" customFormat="1" ht="12.75" x14ac:dyDescent="0.2">
      <c r="A1722" s="274" t="s">
        <v>453</v>
      </c>
      <c r="B1722" s="274" t="s">
        <v>262</v>
      </c>
      <c r="C1722" s="274" t="s">
        <v>649</v>
      </c>
      <c r="D1722" s="295">
        <v>2018</v>
      </c>
      <c r="E1722" s="274" t="s">
        <v>650</v>
      </c>
      <c r="F1722" s="291">
        <v>30</v>
      </c>
      <c r="G1722" s="285">
        <v>0</v>
      </c>
      <c r="H1722" s="291">
        <v>0</v>
      </c>
      <c r="I1722" s="291">
        <v>0</v>
      </c>
      <c r="J1722" s="291">
        <v>18</v>
      </c>
      <c r="K1722" s="284">
        <v>0</v>
      </c>
      <c r="L1722" s="291">
        <v>0</v>
      </c>
      <c r="M1722" s="291">
        <v>0</v>
      </c>
      <c r="N1722" s="291">
        <v>20</v>
      </c>
      <c r="O1722" s="291">
        <v>0</v>
      </c>
      <c r="P1722" s="274">
        <v>44</v>
      </c>
      <c r="Q1722" s="274">
        <v>19</v>
      </c>
      <c r="R1722" s="274">
        <v>112</v>
      </c>
      <c r="S1722" s="274">
        <v>19</v>
      </c>
      <c r="T1722" s="287">
        <f t="shared" si="26"/>
        <v>2018</v>
      </c>
      <c r="U1722" s="274">
        <f>VLOOKUP(A1722,'[1]SB35 Determination Data'!$B$4:$F$542,5,FALSE)</f>
        <v>2014</v>
      </c>
    </row>
    <row r="1723" spans="1:21" s="274" customFormat="1" ht="12.75" x14ac:dyDescent="0.2">
      <c r="A1723" s="274" t="s">
        <v>454</v>
      </c>
      <c r="B1723" s="274" t="s">
        <v>436</v>
      </c>
      <c r="C1723" s="274" t="s">
        <v>649</v>
      </c>
      <c r="D1723" s="295">
        <v>2018</v>
      </c>
      <c r="E1723" s="274" t="s">
        <v>650</v>
      </c>
      <c r="F1723" s="291">
        <v>1</v>
      </c>
      <c r="G1723" s="285">
        <v>2</v>
      </c>
      <c r="H1723" s="291">
        <v>0</v>
      </c>
      <c r="I1723" s="291">
        <v>2</v>
      </c>
      <c r="J1723" s="291">
        <v>1</v>
      </c>
      <c r="K1723" s="284">
        <v>2</v>
      </c>
      <c r="L1723" s="291">
        <v>0</v>
      </c>
      <c r="M1723" s="291">
        <v>2</v>
      </c>
      <c r="N1723" s="291">
        <v>1</v>
      </c>
      <c r="O1723" s="291">
        <v>3</v>
      </c>
      <c r="P1723" s="274">
        <v>1</v>
      </c>
      <c r="Q1723" s="274">
        <v>47</v>
      </c>
      <c r="R1723" s="274">
        <v>4</v>
      </c>
      <c r="S1723" s="274">
        <v>54</v>
      </c>
      <c r="T1723" s="287">
        <f t="shared" si="26"/>
        <v>2018</v>
      </c>
      <c r="U1723" s="274">
        <f>VLOOKUP(A1723,'[1]SB35 Determination Data'!$B$4:$F$542,5,FALSE)</f>
        <v>2014</v>
      </c>
    </row>
    <row r="1724" spans="1:21" s="274" customFormat="1" ht="12.75" x14ac:dyDescent="0.2">
      <c r="A1724" s="274" t="s">
        <v>456</v>
      </c>
      <c r="B1724" s="274" t="s">
        <v>262</v>
      </c>
      <c r="C1724" s="274" t="s">
        <v>649</v>
      </c>
      <c r="D1724" s="295">
        <v>2018</v>
      </c>
      <c r="E1724" s="274" t="s">
        <v>650</v>
      </c>
      <c r="F1724" s="291">
        <v>32</v>
      </c>
      <c r="G1724" s="285"/>
      <c r="H1724" s="291"/>
      <c r="I1724" s="291"/>
      <c r="J1724" s="291">
        <v>19</v>
      </c>
      <c r="K1724" s="284"/>
      <c r="L1724" s="291"/>
      <c r="M1724" s="291"/>
      <c r="N1724" s="274">
        <v>21</v>
      </c>
      <c r="O1724" s="291"/>
      <c r="P1724" s="274">
        <v>47</v>
      </c>
      <c r="R1724" s="274">
        <v>119</v>
      </c>
      <c r="T1724" s="287">
        <f t="shared" si="26"/>
        <v>2018</v>
      </c>
      <c r="U1724" s="274">
        <f>VLOOKUP(A1724,'[1]SB35 Determination Data'!$B$4:$F$542,5,FALSE)</f>
        <v>2014</v>
      </c>
    </row>
    <row r="1725" spans="1:21" s="274" customFormat="1" ht="12.75" x14ac:dyDescent="0.2">
      <c r="A1725" s="274" t="s">
        <v>458</v>
      </c>
      <c r="B1725" s="274" t="s">
        <v>557</v>
      </c>
      <c r="C1725" s="274" t="s">
        <v>758</v>
      </c>
      <c r="D1725" s="295">
        <v>2018</v>
      </c>
      <c r="E1725" s="274" t="s">
        <v>650</v>
      </c>
      <c r="F1725" s="291">
        <v>430</v>
      </c>
      <c r="G1725" s="285">
        <v>0</v>
      </c>
      <c r="H1725" s="291">
        <v>0</v>
      </c>
      <c r="I1725" s="291">
        <v>0</v>
      </c>
      <c r="J1725" s="291">
        <v>326</v>
      </c>
      <c r="K1725" s="284">
        <v>0</v>
      </c>
      <c r="L1725" s="291">
        <v>0</v>
      </c>
      <c r="M1725" s="291">
        <v>0</v>
      </c>
      <c r="N1725" s="274">
        <v>302</v>
      </c>
      <c r="O1725" s="291">
        <v>0</v>
      </c>
      <c r="P1725" s="274">
        <v>664</v>
      </c>
      <c r="Q1725" s="274">
        <v>122</v>
      </c>
      <c r="R1725" s="274">
        <v>1722</v>
      </c>
      <c r="S1725" s="274">
        <v>122</v>
      </c>
      <c r="T1725" s="287">
        <f t="shared" si="26"/>
        <v>2018</v>
      </c>
      <c r="U1725" s="274">
        <f>VLOOKUP(A1725,'[1]SB35 Determination Data'!$B$4:$F$542,5,FALSE)</f>
        <v>2013</v>
      </c>
    </row>
    <row r="1726" spans="1:21" s="274" customFormat="1" ht="12.75" x14ac:dyDescent="0.2">
      <c r="A1726" s="274" t="s">
        <v>460</v>
      </c>
      <c r="B1726" s="274" t="s">
        <v>436</v>
      </c>
      <c r="C1726" s="274" t="s">
        <v>649</v>
      </c>
      <c r="D1726" s="295">
        <v>2018</v>
      </c>
      <c r="E1726" s="274" t="s">
        <v>650</v>
      </c>
      <c r="F1726" s="291">
        <v>2</v>
      </c>
      <c r="G1726" s="285"/>
      <c r="H1726" s="291"/>
      <c r="I1726" s="291"/>
      <c r="J1726" s="291">
        <v>2</v>
      </c>
      <c r="K1726" s="284"/>
      <c r="L1726" s="291"/>
      <c r="M1726" s="291"/>
      <c r="N1726" s="291">
        <v>2</v>
      </c>
      <c r="O1726" s="291"/>
      <c r="P1726" s="274">
        <v>3</v>
      </c>
      <c r="R1726" s="274">
        <v>9</v>
      </c>
      <c r="T1726" s="287">
        <f t="shared" si="26"/>
        <v>2018</v>
      </c>
      <c r="U1726" s="274">
        <f>VLOOKUP(A1726,'[1]SB35 Determination Data'!$B$4:$F$542,5,FALSE)</f>
        <v>2014</v>
      </c>
    </row>
    <row r="1727" spans="1:21" s="274" customFormat="1" ht="12.75" x14ac:dyDescent="0.2">
      <c r="A1727" s="274" t="s">
        <v>462</v>
      </c>
      <c r="B1727" s="274" t="s">
        <v>481</v>
      </c>
      <c r="C1727" s="274" t="s">
        <v>649</v>
      </c>
      <c r="D1727" s="295">
        <v>2018</v>
      </c>
      <c r="E1727" s="274" t="s">
        <v>650</v>
      </c>
      <c r="F1727" s="291">
        <v>91</v>
      </c>
      <c r="G1727" s="285">
        <v>0</v>
      </c>
      <c r="H1727" s="291">
        <v>0</v>
      </c>
      <c r="I1727" s="291">
        <v>0</v>
      </c>
      <c r="J1727" s="291">
        <v>61</v>
      </c>
      <c r="K1727" s="284">
        <v>0</v>
      </c>
      <c r="L1727" s="291">
        <v>0</v>
      </c>
      <c r="M1727" s="291">
        <v>0</v>
      </c>
      <c r="N1727" s="291">
        <v>66</v>
      </c>
      <c r="O1727" s="291">
        <v>15</v>
      </c>
      <c r="P1727" s="274">
        <v>146</v>
      </c>
      <c r="Q1727" s="274">
        <v>45</v>
      </c>
      <c r="R1727" s="274">
        <v>364</v>
      </c>
      <c r="S1727" s="274">
        <v>60</v>
      </c>
      <c r="T1727" s="287">
        <f t="shared" si="26"/>
        <v>2018</v>
      </c>
      <c r="U1727" s="274">
        <f>VLOOKUP(A1727,'[1]SB35 Determination Data'!$B$4:$F$542,5,FALSE)</f>
        <v>2014</v>
      </c>
    </row>
    <row r="1728" spans="1:21" s="274" customFormat="1" ht="12.75" x14ac:dyDescent="0.2">
      <c r="A1728" s="274" t="s">
        <v>287</v>
      </c>
      <c r="B1728" s="274" t="s">
        <v>120</v>
      </c>
      <c r="C1728" s="274" t="s">
        <v>654</v>
      </c>
      <c r="D1728" s="295">
        <v>2018</v>
      </c>
      <c r="E1728" s="274" t="s">
        <v>650</v>
      </c>
      <c r="F1728" s="291">
        <v>138</v>
      </c>
      <c r="G1728" s="285">
        <v>0</v>
      </c>
      <c r="H1728" s="291">
        <v>0</v>
      </c>
      <c r="I1728" s="291">
        <v>0</v>
      </c>
      <c r="J1728" s="291">
        <v>78</v>
      </c>
      <c r="K1728" s="284">
        <v>0</v>
      </c>
      <c r="L1728" s="291">
        <v>0</v>
      </c>
      <c r="M1728" s="291">
        <v>0</v>
      </c>
      <c r="N1728" s="291">
        <v>85</v>
      </c>
      <c r="O1728" s="291">
        <v>2</v>
      </c>
      <c r="P1728" s="274">
        <v>99</v>
      </c>
      <c r="Q1728" s="274">
        <v>29</v>
      </c>
      <c r="R1728" s="274">
        <v>400</v>
      </c>
      <c r="S1728" s="274">
        <v>31</v>
      </c>
      <c r="T1728" s="287">
        <f t="shared" si="26"/>
        <v>2018</v>
      </c>
      <c r="U1728" s="274">
        <f>VLOOKUP(A1728,'[1]SB35 Determination Data'!$B$4:$F$542,5,FALSE)</f>
        <v>2015</v>
      </c>
    </row>
    <row r="1729" spans="1:21" s="274" customFormat="1" ht="12.75" x14ac:dyDescent="0.2">
      <c r="A1729" s="274" t="s">
        <v>464</v>
      </c>
      <c r="B1729" s="274" t="s">
        <v>436</v>
      </c>
      <c r="C1729" s="274" t="s">
        <v>649</v>
      </c>
      <c r="D1729" s="295">
        <v>2018</v>
      </c>
      <c r="E1729" s="274" t="s">
        <v>650</v>
      </c>
      <c r="F1729" s="291">
        <v>1</v>
      </c>
      <c r="G1729" s="285">
        <v>0</v>
      </c>
      <c r="H1729" s="291">
        <v>0</v>
      </c>
      <c r="I1729" s="291">
        <v>0</v>
      </c>
      <c r="J1729" s="291">
        <v>1</v>
      </c>
      <c r="K1729" s="284">
        <v>1</v>
      </c>
      <c r="L1729" s="291">
        <v>1</v>
      </c>
      <c r="M1729" s="291">
        <v>0</v>
      </c>
      <c r="N1729" s="291">
        <v>0</v>
      </c>
      <c r="O1729" s="291">
        <v>4</v>
      </c>
      <c r="P1729" s="274">
        <v>0</v>
      </c>
      <c r="Q1729" s="274">
        <v>7</v>
      </c>
      <c r="R1729" s="274">
        <v>2</v>
      </c>
      <c r="S1729" s="274">
        <v>12</v>
      </c>
      <c r="T1729" s="287">
        <f t="shared" si="26"/>
        <v>2018</v>
      </c>
      <c r="U1729" s="274">
        <f>VLOOKUP(A1729,'[1]SB35 Determination Data'!$B$4:$F$542,5,FALSE)</f>
        <v>2014</v>
      </c>
    </row>
    <row r="1730" spans="1:21" s="274" customFormat="1" ht="12.75" x14ac:dyDescent="0.2">
      <c r="A1730" s="274" t="s">
        <v>466</v>
      </c>
      <c r="B1730" s="274" t="s">
        <v>436</v>
      </c>
      <c r="C1730" s="274" t="s">
        <v>649</v>
      </c>
      <c r="D1730" s="295">
        <v>2018</v>
      </c>
      <c r="E1730" s="274" t="s">
        <v>650</v>
      </c>
      <c r="F1730" s="291">
        <v>43</v>
      </c>
      <c r="G1730" s="285">
        <v>9</v>
      </c>
      <c r="H1730" s="291">
        <v>9</v>
      </c>
      <c r="I1730" s="291">
        <v>0</v>
      </c>
      <c r="J1730" s="291">
        <v>30</v>
      </c>
      <c r="K1730" s="284">
        <v>0</v>
      </c>
      <c r="L1730" s="291">
        <v>0</v>
      </c>
      <c r="M1730" s="291">
        <v>0</v>
      </c>
      <c r="N1730" s="291">
        <v>34</v>
      </c>
      <c r="O1730" s="291">
        <v>0</v>
      </c>
      <c r="P1730" s="274">
        <v>75</v>
      </c>
      <c r="Q1730" s="274">
        <v>291</v>
      </c>
      <c r="R1730" s="274">
        <v>182</v>
      </c>
      <c r="S1730" s="274">
        <v>300</v>
      </c>
      <c r="T1730" s="287">
        <f t="shared" si="26"/>
        <v>2018</v>
      </c>
      <c r="U1730" s="274">
        <f>VLOOKUP(A1730,'[1]SB35 Determination Data'!$B$4:$F$542,5,FALSE)</f>
        <v>2014</v>
      </c>
    </row>
    <row r="1731" spans="1:21" s="274" customFormat="1" ht="12.75" x14ac:dyDescent="0.2">
      <c r="A1731" s="274" t="s">
        <v>469</v>
      </c>
      <c r="B1731" s="274" t="s">
        <v>436</v>
      </c>
      <c r="C1731" s="274" t="s">
        <v>649</v>
      </c>
      <c r="D1731" s="295">
        <v>2018</v>
      </c>
      <c r="E1731" s="274" t="s">
        <v>650</v>
      </c>
      <c r="F1731" s="291">
        <v>1</v>
      </c>
      <c r="G1731" s="285"/>
      <c r="H1731" s="291"/>
      <c r="I1731" s="291"/>
      <c r="J1731" s="291">
        <v>1</v>
      </c>
      <c r="K1731" s="284"/>
      <c r="L1731" s="291"/>
      <c r="M1731" s="291"/>
      <c r="N1731" s="291">
        <v>0</v>
      </c>
      <c r="O1731" s="291"/>
      <c r="P1731" s="274">
        <v>0</v>
      </c>
      <c r="R1731" s="274">
        <v>2</v>
      </c>
      <c r="T1731" s="287">
        <f t="shared" si="26"/>
        <v>2018</v>
      </c>
      <c r="U1731" s="274">
        <f>VLOOKUP(A1731,'[1]SB35 Determination Data'!$B$4:$F$542,5,FALSE)</f>
        <v>2014</v>
      </c>
    </row>
    <row r="1732" spans="1:21" s="274" customFormat="1" ht="12.75" x14ac:dyDescent="0.2">
      <c r="A1732" s="274" t="s">
        <v>457</v>
      </c>
      <c r="B1732" s="274" t="s">
        <v>240</v>
      </c>
      <c r="C1732" s="274" t="s">
        <v>660</v>
      </c>
      <c r="D1732" s="295">
        <v>2018</v>
      </c>
      <c r="E1732" s="274" t="s">
        <v>650</v>
      </c>
      <c r="F1732" s="291">
        <v>368</v>
      </c>
      <c r="G1732" s="285">
        <v>8</v>
      </c>
      <c r="H1732" s="291">
        <v>0</v>
      </c>
      <c r="I1732" s="291">
        <v>8</v>
      </c>
      <c r="J1732" s="291">
        <v>231</v>
      </c>
      <c r="K1732" s="284">
        <v>17</v>
      </c>
      <c r="L1732" s="291">
        <v>0</v>
      </c>
      <c r="M1732" s="291">
        <v>17</v>
      </c>
      <c r="N1732" s="291">
        <v>256</v>
      </c>
      <c r="O1732" s="291">
        <v>22</v>
      </c>
      <c r="P1732" s="274">
        <v>601</v>
      </c>
      <c r="Q1732" s="274">
        <v>16</v>
      </c>
      <c r="R1732" s="274">
        <v>1456</v>
      </c>
      <c r="S1732" s="274">
        <v>63</v>
      </c>
      <c r="T1732" s="287">
        <f t="shared" ref="T1732:T1795" si="27">IF(D1732&gt;U1732,D1732,U1732)</f>
        <v>2018</v>
      </c>
      <c r="U1732" s="274">
        <f>VLOOKUP(A1732,'[1]SB35 Determination Data'!$B$4:$F$542,5,FALSE)</f>
        <v>2014</v>
      </c>
    </row>
    <row r="1733" spans="1:21" s="274" customFormat="1" ht="12.75" x14ac:dyDescent="0.2">
      <c r="A1733" s="274" t="s">
        <v>470</v>
      </c>
      <c r="B1733" s="274" t="s">
        <v>481</v>
      </c>
      <c r="C1733" s="274" t="s">
        <v>649</v>
      </c>
      <c r="D1733" s="295">
        <v>2018</v>
      </c>
      <c r="E1733" s="274" t="s">
        <v>650</v>
      </c>
      <c r="F1733" s="291">
        <v>1196</v>
      </c>
      <c r="G1733" s="285">
        <v>0</v>
      </c>
      <c r="H1733" s="291">
        <v>0</v>
      </c>
      <c r="I1733" s="291">
        <v>0</v>
      </c>
      <c r="J1733" s="291">
        <v>801</v>
      </c>
      <c r="K1733" s="284">
        <v>2</v>
      </c>
      <c r="L1733" s="291">
        <v>0</v>
      </c>
      <c r="M1733" s="291">
        <v>2</v>
      </c>
      <c r="N1733" s="291">
        <v>897</v>
      </c>
      <c r="O1733" s="291">
        <v>56</v>
      </c>
      <c r="P1733" s="274">
        <v>2035</v>
      </c>
      <c r="Q1733" s="274">
        <v>286</v>
      </c>
      <c r="R1733" s="274">
        <v>4929</v>
      </c>
      <c r="S1733" s="274">
        <v>344</v>
      </c>
      <c r="T1733" s="287">
        <f t="shared" si="27"/>
        <v>2018</v>
      </c>
      <c r="U1733" s="274">
        <f>VLOOKUP(A1733,'[1]SB35 Determination Data'!$B$4:$F$542,5,FALSE)</f>
        <v>2014</v>
      </c>
    </row>
    <row r="1734" spans="1:21" s="274" customFormat="1" ht="12.75" x14ac:dyDescent="0.2">
      <c r="A1734" s="274" t="s">
        <v>471</v>
      </c>
      <c r="B1734" s="274" t="s">
        <v>436</v>
      </c>
      <c r="C1734" s="274" t="s">
        <v>649</v>
      </c>
      <c r="D1734" s="295">
        <v>2018</v>
      </c>
      <c r="E1734" s="274" t="s">
        <v>650</v>
      </c>
      <c r="F1734" s="291">
        <v>647</v>
      </c>
      <c r="G1734" s="285">
        <v>0</v>
      </c>
      <c r="H1734" s="291">
        <v>0</v>
      </c>
      <c r="I1734" s="291">
        <v>0</v>
      </c>
      <c r="J1734" s="291">
        <v>450</v>
      </c>
      <c r="K1734" s="284">
        <v>0</v>
      </c>
      <c r="L1734" s="291">
        <v>0</v>
      </c>
      <c r="M1734" s="291">
        <v>0</v>
      </c>
      <c r="N1734" s="291">
        <v>497</v>
      </c>
      <c r="O1734" s="291">
        <v>1</v>
      </c>
      <c r="P1734" s="274">
        <v>1133</v>
      </c>
      <c r="Q1734" s="274">
        <v>237</v>
      </c>
      <c r="R1734" s="274">
        <v>2727</v>
      </c>
      <c r="S1734" s="274">
        <v>238</v>
      </c>
      <c r="T1734" s="287">
        <f t="shared" si="27"/>
        <v>2018</v>
      </c>
      <c r="U1734" s="274">
        <f>VLOOKUP(A1734,'[1]SB35 Determination Data'!$B$4:$F$542,5,FALSE)</f>
        <v>2014</v>
      </c>
    </row>
    <row r="1735" spans="1:21" s="274" customFormat="1" ht="12.75" x14ac:dyDescent="0.2">
      <c r="A1735" s="274" t="s">
        <v>472</v>
      </c>
      <c r="B1735" s="274" t="s">
        <v>262</v>
      </c>
      <c r="C1735" s="274" t="s">
        <v>649</v>
      </c>
      <c r="D1735" s="295">
        <v>2018</v>
      </c>
      <c r="E1735" s="274" t="s">
        <v>650</v>
      </c>
      <c r="F1735" s="291">
        <v>107</v>
      </c>
      <c r="G1735" s="285">
        <v>9</v>
      </c>
      <c r="H1735" s="291">
        <v>0</v>
      </c>
      <c r="I1735" s="291">
        <v>9</v>
      </c>
      <c r="J1735" s="291">
        <v>63</v>
      </c>
      <c r="K1735" s="284">
        <v>0</v>
      </c>
      <c r="L1735" s="291">
        <v>0</v>
      </c>
      <c r="M1735" s="291">
        <v>0</v>
      </c>
      <c r="N1735" s="291">
        <v>67</v>
      </c>
      <c r="O1735" s="291">
        <v>1</v>
      </c>
      <c r="P1735" s="274">
        <v>166</v>
      </c>
      <c r="Q1735" s="274">
        <v>0</v>
      </c>
      <c r="R1735" s="274">
        <v>403</v>
      </c>
      <c r="S1735" s="274">
        <v>10</v>
      </c>
      <c r="T1735" s="287">
        <f t="shared" si="27"/>
        <v>2018</v>
      </c>
      <c r="U1735" s="274">
        <f>VLOOKUP(A1735,'[1]SB35 Determination Data'!$B$4:$F$542,5,FALSE)</f>
        <v>2014</v>
      </c>
    </row>
    <row r="1736" spans="1:21" s="274" customFormat="1" ht="12.75" x14ac:dyDescent="0.2">
      <c r="A1736" s="274" t="s">
        <v>473</v>
      </c>
      <c r="B1736" s="274" t="s">
        <v>262</v>
      </c>
      <c r="C1736" s="274" t="s">
        <v>649</v>
      </c>
      <c r="D1736" s="295">
        <v>2018</v>
      </c>
      <c r="E1736" s="274" t="s">
        <v>650</v>
      </c>
      <c r="F1736" s="291">
        <v>627</v>
      </c>
      <c r="G1736" s="285">
        <v>135</v>
      </c>
      <c r="H1736" s="291">
        <v>135</v>
      </c>
      <c r="I1736" s="291">
        <v>0</v>
      </c>
      <c r="J1736" s="291">
        <v>384</v>
      </c>
      <c r="K1736" s="284">
        <v>40</v>
      </c>
      <c r="L1736" s="291">
        <v>40</v>
      </c>
      <c r="M1736" s="291">
        <v>0</v>
      </c>
      <c r="N1736" s="291">
        <v>413</v>
      </c>
      <c r="O1736" s="291">
        <v>0</v>
      </c>
      <c r="P1736" s="274">
        <v>1086</v>
      </c>
      <c r="Q1736" s="274">
        <v>33</v>
      </c>
      <c r="R1736" s="274">
        <v>2510</v>
      </c>
      <c r="S1736" s="274">
        <v>208</v>
      </c>
      <c r="T1736" s="287">
        <f t="shared" si="27"/>
        <v>2018</v>
      </c>
      <c r="U1736" s="274">
        <f>VLOOKUP(A1736,'[1]SB35 Determination Data'!$B$4:$F$542,5,FALSE)</f>
        <v>2014</v>
      </c>
    </row>
    <row r="1737" spans="1:21" s="274" customFormat="1" ht="12.75" x14ac:dyDescent="0.2">
      <c r="A1737" s="274" t="s">
        <v>476</v>
      </c>
      <c r="B1737" s="274" t="s">
        <v>301</v>
      </c>
      <c r="C1737" s="274" t="s">
        <v>654</v>
      </c>
      <c r="D1737" s="295">
        <v>2018</v>
      </c>
      <c r="E1737" s="274" t="s">
        <v>650</v>
      </c>
      <c r="F1737" s="291">
        <v>40</v>
      </c>
      <c r="G1737" s="285">
        <v>1</v>
      </c>
      <c r="H1737" s="291">
        <v>0</v>
      </c>
      <c r="I1737" s="291">
        <v>1</v>
      </c>
      <c r="J1737" s="291">
        <v>20</v>
      </c>
      <c r="K1737" s="284">
        <v>0</v>
      </c>
      <c r="L1737" s="291">
        <v>0</v>
      </c>
      <c r="M1737" s="291">
        <v>0</v>
      </c>
      <c r="N1737" s="291">
        <v>21</v>
      </c>
      <c r="O1737" s="291">
        <v>0</v>
      </c>
      <c r="P1737" s="274">
        <v>51</v>
      </c>
      <c r="Q1737" s="274">
        <v>3</v>
      </c>
      <c r="R1737" s="274">
        <v>132</v>
      </c>
      <c r="S1737" s="274">
        <v>4</v>
      </c>
      <c r="T1737" s="287">
        <f t="shared" si="27"/>
        <v>2018</v>
      </c>
      <c r="U1737" s="274">
        <f>VLOOKUP(A1737,'[1]SB35 Determination Data'!$B$4:$F$542,5,FALSE)</f>
        <v>2015</v>
      </c>
    </row>
    <row r="1738" spans="1:21" s="274" customFormat="1" ht="12.75" x14ac:dyDescent="0.2">
      <c r="A1738" s="274" t="s">
        <v>479</v>
      </c>
      <c r="B1738" s="274" t="s">
        <v>383</v>
      </c>
      <c r="C1738" s="274" t="s">
        <v>531</v>
      </c>
      <c r="D1738" s="295">
        <v>2018</v>
      </c>
      <c r="E1738" s="274" t="s">
        <v>650</v>
      </c>
      <c r="F1738" s="291">
        <v>1019</v>
      </c>
      <c r="G1738" s="285">
        <v>0</v>
      </c>
      <c r="H1738" s="291">
        <v>0</v>
      </c>
      <c r="I1738" s="291">
        <v>0</v>
      </c>
      <c r="J1738" s="291">
        <v>759</v>
      </c>
      <c r="K1738" s="284">
        <v>0</v>
      </c>
      <c r="L1738" s="291">
        <v>0</v>
      </c>
      <c r="M1738" s="291">
        <v>0</v>
      </c>
      <c r="N1738" s="291">
        <v>957</v>
      </c>
      <c r="O1738" s="291">
        <v>0</v>
      </c>
      <c r="P1738" s="274">
        <v>2421</v>
      </c>
      <c r="Q1738" s="274">
        <v>383</v>
      </c>
      <c r="R1738" s="274">
        <v>5156</v>
      </c>
      <c r="S1738" s="274">
        <v>383</v>
      </c>
      <c r="T1738" s="287">
        <f t="shared" si="27"/>
        <v>2018</v>
      </c>
      <c r="U1738" s="274">
        <f>VLOOKUP(A1738,'[1]SB35 Determination Data'!$B$4:$F$542,5,FALSE)</f>
        <v>2016</v>
      </c>
    </row>
    <row r="1739" spans="1:21" s="274" customFormat="1" ht="12.75" x14ac:dyDescent="0.2">
      <c r="A1739" s="274" t="s">
        <v>474</v>
      </c>
      <c r="B1739" s="274" t="s">
        <v>262</v>
      </c>
      <c r="C1739" s="274" t="s">
        <v>649</v>
      </c>
      <c r="D1739" s="295">
        <v>2018</v>
      </c>
      <c r="E1739" s="274" t="s">
        <v>650</v>
      </c>
      <c r="F1739" s="291">
        <v>96</v>
      </c>
      <c r="G1739" s="285">
        <v>0</v>
      </c>
      <c r="H1739" s="291">
        <v>0</v>
      </c>
      <c r="I1739" s="291">
        <v>0</v>
      </c>
      <c r="J1739" s="291">
        <v>57</v>
      </c>
      <c r="K1739" s="284">
        <v>0</v>
      </c>
      <c r="L1739" s="291">
        <v>0</v>
      </c>
      <c r="M1739" s="291">
        <v>0</v>
      </c>
      <c r="N1739" s="291">
        <v>62</v>
      </c>
      <c r="O1739" s="291">
        <v>0</v>
      </c>
      <c r="P1739" s="274">
        <v>166</v>
      </c>
      <c r="Q1739" s="274">
        <v>20</v>
      </c>
      <c r="R1739" s="274">
        <v>381</v>
      </c>
      <c r="S1739" s="274">
        <v>20</v>
      </c>
      <c r="T1739" s="287">
        <f t="shared" si="27"/>
        <v>2018</v>
      </c>
      <c r="U1739" s="274">
        <f>VLOOKUP(A1739,'[1]SB35 Determination Data'!$B$4:$F$542,5,FALSE)</f>
        <v>2014</v>
      </c>
    </row>
    <row r="1740" spans="1:21" s="274" customFormat="1" ht="12.75" x14ac:dyDescent="0.2">
      <c r="A1740" s="274" t="s">
        <v>485</v>
      </c>
      <c r="B1740" s="274" t="s">
        <v>557</v>
      </c>
      <c r="C1740" s="274" t="s">
        <v>758</v>
      </c>
      <c r="D1740" s="295">
        <v>2018</v>
      </c>
      <c r="E1740" s="274" t="s">
        <v>650</v>
      </c>
      <c r="F1740" s="291">
        <v>77</v>
      </c>
      <c r="G1740" s="285">
        <v>0</v>
      </c>
      <c r="H1740" s="291">
        <v>0</v>
      </c>
      <c r="I1740" s="291">
        <v>0</v>
      </c>
      <c r="J1740" s="291">
        <v>59</v>
      </c>
      <c r="K1740" s="284">
        <v>1</v>
      </c>
      <c r="L1740" s="291">
        <v>0</v>
      </c>
      <c r="M1740" s="291">
        <v>1</v>
      </c>
      <c r="N1740" s="291">
        <v>54</v>
      </c>
      <c r="O1740" s="291">
        <v>24</v>
      </c>
      <c r="P1740" s="274">
        <v>119</v>
      </c>
      <c r="Q1740" s="274">
        <v>3</v>
      </c>
      <c r="R1740" s="274">
        <v>309</v>
      </c>
      <c r="S1740" s="274">
        <v>28</v>
      </c>
      <c r="T1740" s="287">
        <f t="shared" si="27"/>
        <v>2018</v>
      </c>
      <c r="U1740" s="274">
        <f>VLOOKUP(A1740,'[1]SB35 Determination Data'!$B$4:$F$542,5,FALSE)</f>
        <v>2013</v>
      </c>
    </row>
    <row r="1741" spans="1:21" s="274" customFormat="1" ht="12.75" x14ac:dyDescent="0.2">
      <c r="A1741" s="274" t="s">
        <v>492</v>
      </c>
      <c r="B1741" s="274" t="s">
        <v>714</v>
      </c>
      <c r="C1741" s="274" t="s">
        <v>531</v>
      </c>
      <c r="D1741" s="295">
        <v>2018</v>
      </c>
      <c r="E1741" s="274" t="s">
        <v>650</v>
      </c>
      <c r="F1741" s="291">
        <v>80</v>
      </c>
      <c r="G1741" s="285">
        <v>0</v>
      </c>
      <c r="H1741" s="291">
        <v>0</v>
      </c>
      <c r="I1741" s="291">
        <v>0</v>
      </c>
      <c r="J1741" s="291">
        <v>80</v>
      </c>
      <c r="K1741" s="284">
        <v>1</v>
      </c>
      <c r="L1741" s="291">
        <v>0</v>
      </c>
      <c r="M1741" s="291">
        <v>1</v>
      </c>
      <c r="N1741" s="274">
        <v>82</v>
      </c>
      <c r="O1741" s="291">
        <v>20</v>
      </c>
      <c r="P1741" s="274">
        <v>348</v>
      </c>
      <c r="Q1741" s="274">
        <v>0</v>
      </c>
      <c r="R1741" s="274">
        <v>590</v>
      </c>
      <c r="S1741" s="274">
        <v>21</v>
      </c>
      <c r="T1741" s="287">
        <f t="shared" si="27"/>
        <v>2018</v>
      </c>
      <c r="U1741" s="274">
        <f>VLOOKUP(A1741,'[1]SB35 Determination Data'!$B$4:$F$542,5,FALSE)</f>
        <v>2016</v>
      </c>
    </row>
    <row r="1742" spans="1:21" s="274" customFormat="1" ht="12.75" x14ac:dyDescent="0.2">
      <c r="A1742" s="274" t="s">
        <v>494</v>
      </c>
      <c r="B1742" s="274" t="s">
        <v>691</v>
      </c>
      <c r="C1742" s="274" t="s">
        <v>685</v>
      </c>
      <c r="D1742" s="295">
        <v>2018</v>
      </c>
      <c r="E1742" s="274" t="s">
        <v>650</v>
      </c>
      <c r="F1742" s="291">
        <v>104</v>
      </c>
      <c r="G1742" s="285">
        <v>0</v>
      </c>
      <c r="H1742" s="291">
        <v>0</v>
      </c>
      <c r="I1742" s="291">
        <v>0</v>
      </c>
      <c r="J1742" s="291">
        <v>72</v>
      </c>
      <c r="K1742" s="284">
        <v>0</v>
      </c>
      <c r="L1742" s="291">
        <v>0</v>
      </c>
      <c r="M1742" s="291">
        <v>0</v>
      </c>
      <c r="N1742" s="291">
        <v>83</v>
      </c>
      <c r="O1742" s="291">
        <v>0</v>
      </c>
      <c r="P1742" s="274">
        <v>190</v>
      </c>
      <c r="Q1742" s="274">
        <v>52</v>
      </c>
      <c r="R1742" s="274">
        <v>449</v>
      </c>
      <c r="S1742" s="274">
        <v>52</v>
      </c>
      <c r="T1742" s="287">
        <f t="shared" si="27"/>
        <v>2018</v>
      </c>
      <c r="U1742" s="274">
        <f>VLOOKUP(A1742,'[1]SB35 Determination Data'!$B$4:$F$542,5,FALSE)</f>
        <v>2014</v>
      </c>
    </row>
    <row r="1743" spans="1:21" s="274" customFormat="1" ht="12.75" x14ac:dyDescent="0.2">
      <c r="A1743" s="274" t="s">
        <v>183</v>
      </c>
      <c r="B1743" s="274" t="s">
        <v>40</v>
      </c>
      <c r="C1743" s="274" t="s">
        <v>654</v>
      </c>
      <c r="D1743" s="295">
        <v>2018</v>
      </c>
      <c r="E1743" s="274" t="s">
        <v>650</v>
      </c>
      <c r="F1743" s="291">
        <v>839</v>
      </c>
      <c r="G1743" s="285">
        <v>34</v>
      </c>
      <c r="H1743" s="291">
        <v>34</v>
      </c>
      <c r="I1743" s="291">
        <v>0</v>
      </c>
      <c r="J1743" s="291">
        <v>474</v>
      </c>
      <c r="K1743" s="284">
        <v>10</v>
      </c>
      <c r="L1743" s="291">
        <v>10</v>
      </c>
      <c r="M1743" s="291">
        <v>0</v>
      </c>
      <c r="N1743" s="291">
        <v>496</v>
      </c>
      <c r="O1743" s="291">
        <v>26</v>
      </c>
      <c r="P1743" s="274">
        <v>920</v>
      </c>
      <c r="Q1743" s="274">
        <v>235</v>
      </c>
      <c r="R1743" s="274">
        <v>2729</v>
      </c>
      <c r="S1743" s="274">
        <v>305</v>
      </c>
      <c r="T1743" s="287">
        <f t="shared" si="27"/>
        <v>2018</v>
      </c>
      <c r="U1743" s="274">
        <f>VLOOKUP(A1743,'[1]SB35 Determination Data'!$B$4:$F$542,5,FALSE)</f>
        <v>2015</v>
      </c>
    </row>
    <row r="1744" spans="1:21" s="274" customFormat="1" ht="12.75" x14ac:dyDescent="0.2">
      <c r="A1744" s="274" t="s">
        <v>501</v>
      </c>
      <c r="B1744" s="274" t="s">
        <v>383</v>
      </c>
      <c r="C1744" s="274" t="s">
        <v>531</v>
      </c>
      <c r="D1744" s="295">
        <v>2018</v>
      </c>
      <c r="E1744" s="274" t="s">
        <v>650</v>
      </c>
      <c r="F1744" s="291">
        <v>497</v>
      </c>
      <c r="G1744" s="285">
        <v>0</v>
      </c>
      <c r="H1744" s="291">
        <v>0</v>
      </c>
      <c r="I1744" s="291">
        <v>0</v>
      </c>
      <c r="J1744" s="291">
        <v>331</v>
      </c>
      <c r="K1744" s="284">
        <v>0</v>
      </c>
      <c r="L1744" s="291">
        <v>0</v>
      </c>
      <c r="M1744" s="291">
        <v>0</v>
      </c>
      <c r="N1744" s="291">
        <v>333</v>
      </c>
      <c r="O1744" s="291">
        <v>48</v>
      </c>
      <c r="P1744" s="274">
        <v>770</v>
      </c>
      <c r="Q1744" s="274">
        <v>170</v>
      </c>
      <c r="R1744" s="274">
        <v>1931</v>
      </c>
      <c r="S1744" s="274">
        <v>218</v>
      </c>
      <c r="T1744" s="287">
        <f t="shared" si="27"/>
        <v>2018</v>
      </c>
      <c r="U1744" s="274">
        <f>VLOOKUP(A1744,'[1]SB35 Determination Data'!$B$4:$F$542,5,FALSE)</f>
        <v>2016</v>
      </c>
    </row>
    <row r="1745" spans="1:21" s="274" customFormat="1" ht="12.75" x14ac:dyDescent="0.2">
      <c r="A1745" s="274" t="s">
        <v>503</v>
      </c>
      <c r="B1745" s="274" t="s">
        <v>542</v>
      </c>
      <c r="C1745" s="274" t="s">
        <v>649</v>
      </c>
      <c r="D1745" s="295">
        <v>2018</v>
      </c>
      <c r="E1745" s="274" t="s">
        <v>650</v>
      </c>
      <c r="F1745" s="291">
        <v>254</v>
      </c>
      <c r="G1745" s="285">
        <v>36</v>
      </c>
      <c r="H1745" s="291">
        <v>0</v>
      </c>
      <c r="I1745" s="291">
        <v>36</v>
      </c>
      <c r="J1745" s="291">
        <v>177</v>
      </c>
      <c r="K1745" s="284">
        <v>50</v>
      </c>
      <c r="L1745" s="291">
        <v>0</v>
      </c>
      <c r="M1745" s="291">
        <v>50</v>
      </c>
      <c r="N1745" s="291">
        <v>202</v>
      </c>
      <c r="O1745" s="291">
        <v>1</v>
      </c>
      <c r="P1745" s="274">
        <v>462</v>
      </c>
      <c r="Q1745" s="274">
        <v>40</v>
      </c>
      <c r="R1745" s="274">
        <v>1095</v>
      </c>
      <c r="S1745" s="274">
        <v>127</v>
      </c>
      <c r="T1745" s="287">
        <f t="shared" si="27"/>
        <v>2018</v>
      </c>
      <c r="U1745" s="274">
        <f>VLOOKUP(A1745,'[1]SB35 Determination Data'!$B$4:$F$542,5,FALSE)</f>
        <v>2014</v>
      </c>
    </row>
    <row r="1746" spans="1:21" s="274" customFormat="1" ht="12.75" x14ac:dyDescent="0.2">
      <c r="A1746" s="274" t="s">
        <v>475</v>
      </c>
      <c r="B1746" s="274" t="s">
        <v>262</v>
      </c>
      <c r="C1746" s="274" t="s">
        <v>649</v>
      </c>
      <c r="D1746" s="295">
        <v>2018</v>
      </c>
      <c r="E1746" s="274" t="s">
        <v>650</v>
      </c>
      <c r="F1746" s="291">
        <v>12</v>
      </c>
      <c r="G1746" s="285">
        <v>0</v>
      </c>
      <c r="H1746" s="291">
        <v>0</v>
      </c>
      <c r="I1746" s="291">
        <v>0</v>
      </c>
      <c r="J1746" s="291">
        <v>7</v>
      </c>
      <c r="K1746" s="284">
        <v>3</v>
      </c>
      <c r="L1746" s="291">
        <v>0</v>
      </c>
      <c r="M1746" s="291">
        <v>3</v>
      </c>
      <c r="N1746" s="274">
        <v>8</v>
      </c>
      <c r="O1746" s="291">
        <v>0</v>
      </c>
      <c r="P1746" s="274">
        <v>20</v>
      </c>
      <c r="Q1746" s="274">
        <v>20</v>
      </c>
      <c r="R1746" s="274">
        <v>47</v>
      </c>
      <c r="S1746" s="274">
        <v>23</v>
      </c>
      <c r="T1746" s="287">
        <f t="shared" si="27"/>
        <v>2018</v>
      </c>
      <c r="U1746" s="274">
        <f>VLOOKUP(A1746,'[1]SB35 Determination Data'!$B$4:$F$542,5,FALSE)</f>
        <v>2014</v>
      </c>
    </row>
    <row r="1747" spans="1:21" s="274" customFormat="1" ht="12.75" x14ac:dyDescent="0.2">
      <c r="A1747" s="274" t="s">
        <v>507</v>
      </c>
      <c r="B1747" s="274" t="s">
        <v>602</v>
      </c>
      <c r="C1747" s="274" t="s">
        <v>732</v>
      </c>
      <c r="D1747" s="295">
        <v>2018</v>
      </c>
      <c r="E1747" s="274" t="s">
        <v>650</v>
      </c>
      <c r="F1747" s="291">
        <v>126</v>
      </c>
      <c r="G1747" s="285">
        <v>0</v>
      </c>
      <c r="H1747" s="291">
        <v>0</v>
      </c>
      <c r="I1747" s="291">
        <v>0</v>
      </c>
      <c r="J1747" s="291">
        <v>84</v>
      </c>
      <c r="K1747" s="284">
        <v>0</v>
      </c>
      <c r="L1747" s="291">
        <v>0</v>
      </c>
      <c r="M1747" s="291">
        <v>0</v>
      </c>
      <c r="N1747" s="274">
        <v>95</v>
      </c>
      <c r="O1747" s="291">
        <v>5</v>
      </c>
      <c r="P1747" s="274">
        <v>221</v>
      </c>
      <c r="Q1747" s="274">
        <v>0</v>
      </c>
      <c r="R1747" s="274">
        <v>526</v>
      </c>
      <c r="S1747" s="274">
        <v>5</v>
      </c>
      <c r="T1747" s="287">
        <f t="shared" si="27"/>
        <v>2018</v>
      </c>
      <c r="U1747" s="274">
        <f>VLOOKUP(A1747,'[1]SB35 Determination Data'!$B$4:$F$542,5,FALSE)</f>
        <v>2015</v>
      </c>
    </row>
    <row r="1748" spans="1:21" s="274" customFormat="1" ht="12.75" x14ac:dyDescent="0.2">
      <c r="A1748" s="274" t="s">
        <v>477</v>
      </c>
      <c r="B1748" s="274" t="s">
        <v>262</v>
      </c>
      <c r="C1748" s="274" t="s">
        <v>649</v>
      </c>
      <c r="D1748" s="295">
        <v>2018</v>
      </c>
      <c r="E1748" s="274" t="s">
        <v>650</v>
      </c>
      <c r="F1748" s="291">
        <v>1773</v>
      </c>
      <c r="G1748" s="285">
        <v>11</v>
      </c>
      <c r="H1748" s="291">
        <v>11</v>
      </c>
      <c r="I1748" s="291">
        <v>0</v>
      </c>
      <c r="J1748" s="291">
        <v>1066</v>
      </c>
      <c r="K1748" s="284">
        <v>36</v>
      </c>
      <c r="L1748" s="291">
        <v>36</v>
      </c>
      <c r="M1748" s="291">
        <v>0</v>
      </c>
      <c r="N1748" s="291">
        <v>1170</v>
      </c>
      <c r="O1748" s="291">
        <v>0</v>
      </c>
      <c r="P1748" s="274">
        <v>3039</v>
      </c>
      <c r="Q1748" s="274">
        <v>222</v>
      </c>
      <c r="R1748" s="274">
        <v>7048</v>
      </c>
      <c r="S1748" s="274">
        <v>269</v>
      </c>
      <c r="T1748" s="287">
        <f t="shared" si="27"/>
        <v>2018</v>
      </c>
      <c r="U1748" s="274">
        <f>VLOOKUP(A1748,'[1]SB35 Determination Data'!$B$4:$F$542,5,FALSE)</f>
        <v>2014</v>
      </c>
    </row>
    <row r="1749" spans="1:21" s="274" customFormat="1" ht="12.75" x14ac:dyDescent="0.2">
      <c r="A1749" s="274" t="s">
        <v>513</v>
      </c>
      <c r="B1749" s="274" t="s">
        <v>451</v>
      </c>
      <c r="C1749" s="274" t="s">
        <v>685</v>
      </c>
      <c r="D1749" s="295">
        <v>2018</v>
      </c>
      <c r="E1749" s="274" t="s">
        <v>650</v>
      </c>
      <c r="F1749" s="291">
        <v>39</v>
      </c>
      <c r="G1749" s="285"/>
      <c r="H1749" s="291"/>
      <c r="I1749" s="291"/>
      <c r="J1749" s="291">
        <v>27</v>
      </c>
      <c r="K1749" s="284"/>
      <c r="L1749" s="291"/>
      <c r="M1749" s="291"/>
      <c r="N1749" s="291">
        <v>29</v>
      </c>
      <c r="O1749" s="291"/>
      <c r="P1749" s="274">
        <v>59</v>
      </c>
      <c r="R1749" s="274">
        <v>154</v>
      </c>
      <c r="T1749" s="287">
        <f t="shared" si="27"/>
        <v>2018</v>
      </c>
      <c r="U1749" s="274">
        <f>VLOOKUP(A1749,'[1]SB35 Determination Data'!$B$4:$F$542,5,FALSE)</f>
        <v>2014</v>
      </c>
    </row>
    <row r="1750" spans="1:21" s="274" customFormat="1" ht="12.75" x14ac:dyDescent="0.2">
      <c r="A1750" s="274" t="s">
        <v>518</v>
      </c>
      <c r="B1750" s="274" t="s">
        <v>614</v>
      </c>
      <c r="C1750" s="274" t="s">
        <v>654</v>
      </c>
      <c r="D1750" s="295">
        <v>2018</v>
      </c>
      <c r="E1750" s="274" t="s">
        <v>650</v>
      </c>
      <c r="F1750" s="291">
        <v>169</v>
      </c>
      <c r="G1750" s="285">
        <v>0</v>
      </c>
      <c r="H1750" s="291">
        <v>0</v>
      </c>
      <c r="I1750" s="291">
        <v>0</v>
      </c>
      <c r="J1750" s="291">
        <v>99</v>
      </c>
      <c r="K1750" s="284">
        <v>10</v>
      </c>
      <c r="L1750" s="291">
        <v>2</v>
      </c>
      <c r="M1750" s="291">
        <v>8</v>
      </c>
      <c r="N1750" s="291">
        <v>112</v>
      </c>
      <c r="O1750" s="291">
        <v>1</v>
      </c>
      <c r="P1750" s="274">
        <v>97</v>
      </c>
      <c r="Q1750" s="274">
        <v>60</v>
      </c>
      <c r="R1750" s="274">
        <v>477</v>
      </c>
      <c r="S1750" s="274">
        <v>71</v>
      </c>
      <c r="T1750" s="287">
        <f t="shared" si="27"/>
        <v>2018</v>
      </c>
      <c r="U1750" s="274">
        <f>VLOOKUP(A1750,'[1]SB35 Determination Data'!$B$4:$F$542,5,FALSE)</f>
        <v>2015</v>
      </c>
    </row>
    <row r="1751" spans="1:21" s="274" customFormat="1" ht="12.75" x14ac:dyDescent="0.2">
      <c r="A1751" s="274" t="s">
        <v>521</v>
      </c>
      <c r="B1751" s="274" t="s">
        <v>614</v>
      </c>
      <c r="C1751" s="274" t="s">
        <v>654</v>
      </c>
      <c r="D1751" s="295">
        <v>2018</v>
      </c>
      <c r="E1751" s="274" t="s">
        <v>650</v>
      </c>
      <c r="F1751" s="291">
        <v>46</v>
      </c>
      <c r="G1751" s="285">
        <v>3</v>
      </c>
      <c r="H1751" s="291">
        <v>0</v>
      </c>
      <c r="I1751" s="291">
        <v>3</v>
      </c>
      <c r="J1751" s="291">
        <v>28</v>
      </c>
      <c r="K1751" s="284">
        <v>1</v>
      </c>
      <c r="L1751" s="291">
        <v>0</v>
      </c>
      <c r="M1751" s="291">
        <v>1</v>
      </c>
      <c r="N1751" s="291">
        <v>32</v>
      </c>
      <c r="O1751" s="291">
        <v>1</v>
      </c>
      <c r="P1751" s="274">
        <v>15</v>
      </c>
      <c r="Q1751" s="274">
        <v>23</v>
      </c>
      <c r="R1751" s="274">
        <v>121</v>
      </c>
      <c r="S1751" s="274">
        <v>28</v>
      </c>
      <c r="T1751" s="287">
        <f t="shared" si="27"/>
        <v>2018</v>
      </c>
      <c r="U1751" s="274">
        <f>VLOOKUP(A1751,'[1]SB35 Determination Data'!$B$4:$F$542,5,FALSE)</f>
        <v>2015</v>
      </c>
    </row>
    <row r="1752" spans="1:21" s="274" customFormat="1" ht="12.75" x14ac:dyDescent="0.2">
      <c r="A1752" s="274" t="s">
        <v>262</v>
      </c>
      <c r="B1752" s="274" t="s">
        <v>262</v>
      </c>
      <c r="C1752" s="274" t="s">
        <v>649</v>
      </c>
      <c r="D1752" s="295">
        <v>2018</v>
      </c>
      <c r="E1752" s="274" t="s">
        <v>650</v>
      </c>
      <c r="F1752" s="291">
        <v>20427</v>
      </c>
      <c r="G1752" s="285">
        <v>1101</v>
      </c>
      <c r="H1752" s="291">
        <v>1101</v>
      </c>
      <c r="I1752" s="291">
        <v>0</v>
      </c>
      <c r="J1752" s="291">
        <v>12435</v>
      </c>
      <c r="K1752" s="284">
        <v>326</v>
      </c>
      <c r="L1752" s="291">
        <v>326</v>
      </c>
      <c r="M1752" s="291">
        <v>0</v>
      </c>
      <c r="N1752" s="274">
        <v>13728</v>
      </c>
      <c r="O1752" s="291">
        <v>168</v>
      </c>
      <c r="P1752" s="274">
        <v>35412</v>
      </c>
      <c r="Q1752" s="274">
        <v>19236</v>
      </c>
      <c r="R1752" s="274">
        <v>82002</v>
      </c>
      <c r="S1752" s="274">
        <v>20831</v>
      </c>
      <c r="T1752" s="287">
        <f t="shared" si="27"/>
        <v>2018</v>
      </c>
      <c r="U1752" s="274">
        <f>VLOOKUP(A1752,'[1]SB35 Determination Data'!$B$4:$F$542,5,FALSE)</f>
        <v>2014</v>
      </c>
    </row>
    <row r="1753" spans="1:21" s="274" customFormat="1" ht="12.75" x14ac:dyDescent="0.2">
      <c r="A1753" s="274" t="s">
        <v>480</v>
      </c>
      <c r="B1753" s="274" t="s">
        <v>262</v>
      </c>
      <c r="C1753" s="274" t="s">
        <v>649</v>
      </c>
      <c r="D1753" s="295">
        <v>2018</v>
      </c>
      <c r="E1753" s="274" t="s">
        <v>650</v>
      </c>
      <c r="F1753" s="291">
        <v>7417</v>
      </c>
      <c r="G1753" s="285">
        <v>38</v>
      </c>
      <c r="H1753" s="291">
        <v>38</v>
      </c>
      <c r="I1753" s="291">
        <v>0</v>
      </c>
      <c r="J1753" s="291">
        <v>4287</v>
      </c>
      <c r="K1753" s="284">
        <v>14</v>
      </c>
      <c r="L1753" s="291">
        <v>14</v>
      </c>
      <c r="M1753" s="291">
        <v>0</v>
      </c>
      <c r="N1753" s="291">
        <v>4938</v>
      </c>
      <c r="O1753" s="291">
        <v>19</v>
      </c>
      <c r="P1753" s="274">
        <v>10844</v>
      </c>
      <c r="Q1753" s="274">
        <v>562</v>
      </c>
      <c r="R1753" s="274">
        <v>27486</v>
      </c>
      <c r="S1753" s="274">
        <v>633</v>
      </c>
      <c r="T1753" s="287">
        <f t="shared" si="27"/>
        <v>2018</v>
      </c>
      <c r="U1753" s="274">
        <f>VLOOKUP(A1753,'[1]SB35 Determination Data'!$B$4:$F$542,5,FALSE)</f>
        <v>2014</v>
      </c>
    </row>
    <row r="1754" spans="1:21" s="274" customFormat="1" ht="12.75" x14ac:dyDescent="0.2">
      <c r="A1754" s="274" t="s">
        <v>523</v>
      </c>
      <c r="B1754" s="274" t="s">
        <v>353</v>
      </c>
      <c r="C1754" s="274" t="s">
        <v>682</v>
      </c>
      <c r="D1754" s="295">
        <v>2018</v>
      </c>
      <c r="E1754" s="274" t="s">
        <v>650</v>
      </c>
      <c r="F1754" s="291">
        <v>604</v>
      </c>
      <c r="G1754" s="285">
        <v>0</v>
      </c>
      <c r="H1754" s="291">
        <v>0</v>
      </c>
      <c r="I1754" s="291">
        <v>0</v>
      </c>
      <c r="J1754" s="291">
        <v>431</v>
      </c>
      <c r="K1754" s="284">
        <v>1</v>
      </c>
      <c r="L1754" s="291">
        <v>0</v>
      </c>
      <c r="M1754" s="291">
        <v>1</v>
      </c>
      <c r="N1754" s="291">
        <v>396</v>
      </c>
      <c r="O1754" s="291">
        <v>4</v>
      </c>
      <c r="P1754" s="274">
        <v>1049</v>
      </c>
      <c r="Q1754" s="274">
        <v>258</v>
      </c>
      <c r="R1754" s="274">
        <v>2480</v>
      </c>
      <c r="S1754" s="274">
        <v>263</v>
      </c>
      <c r="T1754" s="287">
        <f t="shared" si="27"/>
        <v>2018</v>
      </c>
      <c r="U1754" s="274">
        <f>VLOOKUP(A1754,'[1]SB35 Determination Data'!$B$4:$F$542,5,FALSE)</f>
        <v>2016</v>
      </c>
    </row>
    <row r="1755" spans="1:21" s="274" customFormat="1" ht="12.75" x14ac:dyDescent="0.2">
      <c r="A1755" s="274" t="s">
        <v>524</v>
      </c>
      <c r="B1755" s="274" t="s">
        <v>614</v>
      </c>
      <c r="C1755" s="274" t="s">
        <v>654</v>
      </c>
      <c r="D1755" s="295">
        <v>2018</v>
      </c>
      <c r="E1755" s="274" t="s">
        <v>650</v>
      </c>
      <c r="F1755" s="291">
        <v>201</v>
      </c>
      <c r="G1755" s="285">
        <v>0</v>
      </c>
      <c r="H1755" s="291">
        <v>0</v>
      </c>
      <c r="I1755" s="291">
        <v>0</v>
      </c>
      <c r="J1755" s="291">
        <v>112</v>
      </c>
      <c r="K1755" s="284">
        <v>0</v>
      </c>
      <c r="L1755" s="291">
        <v>0</v>
      </c>
      <c r="M1755" s="291">
        <v>0</v>
      </c>
      <c r="N1755" s="291">
        <v>132</v>
      </c>
      <c r="O1755" s="291">
        <v>16</v>
      </c>
      <c r="P1755" s="274">
        <v>174</v>
      </c>
      <c r="Q1755" s="274">
        <v>7</v>
      </c>
      <c r="R1755" s="274">
        <v>619</v>
      </c>
      <c r="S1755" s="274">
        <v>23</v>
      </c>
      <c r="T1755" s="287">
        <f t="shared" si="27"/>
        <v>2018</v>
      </c>
      <c r="U1755" s="274">
        <f>VLOOKUP(A1755,'[1]SB35 Determination Data'!$B$4:$F$542,5,FALSE)</f>
        <v>2015</v>
      </c>
    </row>
    <row r="1756" spans="1:21" s="274" customFormat="1" ht="12.75" x14ac:dyDescent="0.2">
      <c r="A1756" s="274" t="s">
        <v>526</v>
      </c>
      <c r="B1756" s="274" t="s">
        <v>262</v>
      </c>
      <c r="C1756" s="274" t="s">
        <v>649</v>
      </c>
      <c r="D1756" s="295">
        <v>2018</v>
      </c>
      <c r="E1756" s="274" t="s">
        <v>650</v>
      </c>
      <c r="F1756" s="291">
        <v>123</v>
      </c>
      <c r="G1756" s="285"/>
      <c r="H1756" s="291"/>
      <c r="I1756" s="291"/>
      <c r="J1756" s="291">
        <v>72</v>
      </c>
      <c r="K1756" s="284"/>
      <c r="L1756" s="291"/>
      <c r="M1756" s="291"/>
      <c r="N1756" s="291">
        <v>81</v>
      </c>
      <c r="O1756" s="291"/>
      <c r="P1756" s="274">
        <v>218</v>
      </c>
      <c r="R1756" s="274">
        <v>494</v>
      </c>
      <c r="T1756" s="287">
        <f t="shared" si="27"/>
        <v>2018</v>
      </c>
      <c r="U1756" s="274">
        <f>VLOOKUP(A1756,'[1]SB35 Determination Data'!$B$4:$F$542,5,FALSE)</f>
        <v>2014</v>
      </c>
    </row>
    <row r="1757" spans="1:21" s="274" customFormat="1" ht="12.75" x14ac:dyDescent="0.2">
      <c r="A1757" s="274" t="s">
        <v>281</v>
      </c>
      <c r="B1757" s="274" t="s">
        <v>281</v>
      </c>
      <c r="C1757" s="274" t="s">
        <v>660</v>
      </c>
      <c r="D1757" s="295">
        <v>2018</v>
      </c>
      <c r="E1757" s="274" t="s">
        <v>650</v>
      </c>
      <c r="F1757" s="291">
        <v>1352</v>
      </c>
      <c r="G1757" s="285">
        <v>0</v>
      </c>
      <c r="H1757" s="291">
        <v>0</v>
      </c>
      <c r="I1757" s="291">
        <v>0</v>
      </c>
      <c r="J1757" s="291">
        <v>1056</v>
      </c>
      <c r="K1757" s="284">
        <v>0</v>
      </c>
      <c r="L1757" s="291">
        <v>0</v>
      </c>
      <c r="M1757" s="291">
        <v>0</v>
      </c>
      <c r="N1757" s="291">
        <v>1091</v>
      </c>
      <c r="O1757" s="291">
        <v>0</v>
      </c>
      <c r="P1757" s="274">
        <v>2600</v>
      </c>
      <c r="Q1757" s="274">
        <v>69</v>
      </c>
      <c r="R1757" s="274">
        <v>6099</v>
      </c>
      <c r="S1757" s="274">
        <v>69</v>
      </c>
      <c r="T1757" s="287">
        <f t="shared" si="27"/>
        <v>2018</v>
      </c>
      <c r="U1757" s="274">
        <f>VLOOKUP(A1757,'[1]SB35 Determination Data'!$B$4:$F$542,5,FALSE)</f>
        <v>2016</v>
      </c>
    </row>
    <row r="1758" spans="1:21" s="274" customFormat="1" ht="12.75" x14ac:dyDescent="0.2">
      <c r="A1758" s="274" t="s">
        <v>527</v>
      </c>
      <c r="B1758" s="274" t="s">
        <v>281</v>
      </c>
      <c r="C1758" s="274" t="s">
        <v>693</v>
      </c>
      <c r="D1758" s="295">
        <v>2018</v>
      </c>
      <c r="E1758" s="274" t="s">
        <v>650</v>
      </c>
      <c r="F1758" s="291">
        <v>1285</v>
      </c>
      <c r="G1758" s="285">
        <v>0</v>
      </c>
      <c r="H1758" s="291">
        <v>0</v>
      </c>
      <c r="I1758" s="291">
        <v>0</v>
      </c>
      <c r="J1758" s="291">
        <v>984</v>
      </c>
      <c r="K1758" s="284">
        <v>10</v>
      </c>
      <c r="L1758" s="291">
        <v>0</v>
      </c>
      <c r="M1758" s="291">
        <v>10</v>
      </c>
      <c r="N1758" s="291">
        <v>1015</v>
      </c>
      <c r="O1758" s="291">
        <v>0</v>
      </c>
      <c r="P1758" s="274">
        <v>2398</v>
      </c>
      <c r="Q1758" s="274">
        <v>295</v>
      </c>
      <c r="R1758" s="274">
        <v>5682</v>
      </c>
      <c r="S1758" s="274">
        <v>305</v>
      </c>
      <c r="T1758" s="287">
        <f t="shared" si="27"/>
        <v>2018</v>
      </c>
      <c r="U1758" s="274">
        <f>VLOOKUP(A1758,'[1]SB35 Determination Data'!$B$4:$F$542,5,FALSE)</f>
        <v>2016</v>
      </c>
    </row>
    <row r="1759" spans="1:21" s="274" customFormat="1" ht="12.75" x14ac:dyDescent="0.2">
      <c r="A1759" s="274" t="s">
        <v>482</v>
      </c>
      <c r="B1759" s="274" t="s">
        <v>262</v>
      </c>
      <c r="C1759" s="274" t="s">
        <v>649</v>
      </c>
      <c r="D1759" s="295">
        <v>2018</v>
      </c>
      <c r="E1759" s="274" t="s">
        <v>650</v>
      </c>
      <c r="F1759" s="291">
        <v>1</v>
      </c>
      <c r="G1759" s="285">
        <v>0</v>
      </c>
      <c r="H1759" s="291">
        <v>0</v>
      </c>
      <c r="I1759" s="291">
        <v>0</v>
      </c>
      <c r="J1759" s="291">
        <v>1</v>
      </c>
      <c r="K1759" s="284">
        <v>0</v>
      </c>
      <c r="L1759" s="291">
        <v>0</v>
      </c>
      <c r="M1759" s="291">
        <v>0</v>
      </c>
      <c r="N1759" s="274">
        <v>0</v>
      </c>
      <c r="O1759" s="291">
        <v>0</v>
      </c>
      <c r="P1759" s="274">
        <v>0</v>
      </c>
      <c r="Q1759" s="274">
        <v>17</v>
      </c>
      <c r="R1759" s="274">
        <v>2</v>
      </c>
      <c r="S1759" s="274">
        <v>17</v>
      </c>
      <c r="T1759" s="287">
        <f t="shared" si="27"/>
        <v>2018</v>
      </c>
      <c r="U1759" s="274">
        <f>VLOOKUP(A1759,'[1]SB35 Determination Data'!$B$4:$F$542,5,FALSE)</f>
        <v>2014</v>
      </c>
    </row>
    <row r="1760" spans="1:21" s="274" customFormat="1" ht="12.75" x14ac:dyDescent="0.2">
      <c r="A1760" s="274" t="s">
        <v>528</v>
      </c>
      <c r="B1760" s="274" t="s">
        <v>390</v>
      </c>
      <c r="C1760" s="274" t="s">
        <v>660</v>
      </c>
      <c r="D1760" s="295">
        <v>2018</v>
      </c>
      <c r="E1760" s="274" t="s">
        <v>650</v>
      </c>
      <c r="F1760" s="291">
        <v>17</v>
      </c>
      <c r="G1760" s="285">
        <v>0</v>
      </c>
      <c r="H1760" s="291">
        <v>0</v>
      </c>
      <c r="I1760" s="291">
        <v>0</v>
      </c>
      <c r="J1760" s="291">
        <v>12</v>
      </c>
      <c r="K1760" s="284">
        <v>0</v>
      </c>
      <c r="L1760" s="291">
        <v>0</v>
      </c>
      <c r="M1760" s="291">
        <v>0</v>
      </c>
      <c r="N1760" s="291">
        <v>14</v>
      </c>
      <c r="O1760" s="291">
        <v>0</v>
      </c>
      <c r="P1760" s="274">
        <v>31</v>
      </c>
      <c r="Q1760" s="274">
        <v>38</v>
      </c>
      <c r="R1760" s="274">
        <v>74</v>
      </c>
      <c r="S1760" s="274">
        <v>38</v>
      </c>
      <c r="T1760" s="287">
        <f t="shared" si="27"/>
        <v>2018</v>
      </c>
      <c r="U1760" s="274">
        <f>VLOOKUP(A1760,'[1]SB35 Determination Data'!$B$4:$F$542,5,FALSE)</f>
        <v>2014</v>
      </c>
    </row>
    <row r="1761" spans="1:21" s="274" customFormat="1" ht="12.75" x14ac:dyDescent="0.2">
      <c r="A1761" s="274" t="s">
        <v>483</v>
      </c>
      <c r="B1761" s="274" t="s">
        <v>262</v>
      </c>
      <c r="C1761" s="274" t="s">
        <v>649</v>
      </c>
      <c r="D1761" s="295">
        <v>2018</v>
      </c>
      <c r="E1761" s="274" t="s">
        <v>650</v>
      </c>
      <c r="F1761" s="291">
        <v>10</v>
      </c>
      <c r="G1761" s="285">
        <v>0</v>
      </c>
      <c r="H1761" s="291">
        <v>0</v>
      </c>
      <c r="I1761" s="291">
        <v>0</v>
      </c>
      <c r="J1761" s="291">
        <v>6</v>
      </c>
      <c r="K1761" s="284">
        <v>0</v>
      </c>
      <c r="L1761" s="291">
        <v>0</v>
      </c>
      <c r="M1761" s="291">
        <v>0</v>
      </c>
      <c r="N1761" s="291">
        <v>7</v>
      </c>
      <c r="O1761" s="291">
        <v>0</v>
      </c>
      <c r="P1761" s="274">
        <v>15</v>
      </c>
      <c r="Q1761" s="274">
        <v>43</v>
      </c>
      <c r="R1761" s="274">
        <v>38</v>
      </c>
      <c r="S1761" s="274">
        <v>43</v>
      </c>
      <c r="T1761" s="287">
        <f t="shared" si="27"/>
        <v>2018</v>
      </c>
      <c r="U1761" s="274">
        <f>VLOOKUP(A1761,'[1]SB35 Determination Data'!$B$4:$F$542,5,FALSE)</f>
        <v>2014</v>
      </c>
    </row>
    <row r="1762" spans="1:21" s="274" customFormat="1" ht="12.75" x14ac:dyDescent="0.2">
      <c r="A1762" s="274" t="s">
        <v>529</v>
      </c>
      <c r="B1762" s="274" t="s">
        <v>383</v>
      </c>
      <c r="C1762" s="274" t="s">
        <v>531</v>
      </c>
      <c r="D1762" s="295">
        <v>2018</v>
      </c>
      <c r="E1762" s="274" t="s">
        <v>650</v>
      </c>
      <c r="F1762" s="291">
        <v>925</v>
      </c>
      <c r="G1762" s="285">
        <v>4</v>
      </c>
      <c r="H1762" s="291">
        <v>0</v>
      </c>
      <c r="I1762" s="291">
        <v>4</v>
      </c>
      <c r="J1762" s="291">
        <v>693</v>
      </c>
      <c r="K1762" s="284">
        <v>5</v>
      </c>
      <c r="L1762" s="291">
        <v>0</v>
      </c>
      <c r="M1762" s="291">
        <v>5</v>
      </c>
      <c r="N1762" s="274">
        <v>825</v>
      </c>
      <c r="O1762" s="291">
        <v>4</v>
      </c>
      <c r="P1762" s="274">
        <v>1958</v>
      </c>
      <c r="Q1762" s="274">
        <v>476</v>
      </c>
      <c r="R1762" s="274">
        <v>4401</v>
      </c>
      <c r="S1762" s="274">
        <v>489</v>
      </c>
      <c r="T1762" s="287">
        <f t="shared" si="27"/>
        <v>2018</v>
      </c>
      <c r="U1762" s="274">
        <f>VLOOKUP(A1762,'[1]SB35 Determination Data'!$B$4:$F$542,5,FALSE)</f>
        <v>2016</v>
      </c>
    </row>
    <row r="1763" spans="1:21" s="274" customFormat="1" ht="12.75" x14ac:dyDescent="0.2">
      <c r="A1763" s="274" t="s">
        <v>533</v>
      </c>
      <c r="B1763" s="274" t="s">
        <v>301</v>
      </c>
      <c r="C1763" s="274" t="s">
        <v>654</v>
      </c>
      <c r="D1763" s="295">
        <v>2018</v>
      </c>
      <c r="E1763" s="274" t="s">
        <v>650</v>
      </c>
      <c r="F1763" s="291">
        <v>55</v>
      </c>
      <c r="G1763" s="285">
        <v>8</v>
      </c>
      <c r="H1763" s="291">
        <v>1</v>
      </c>
      <c r="I1763" s="291">
        <v>7</v>
      </c>
      <c r="J1763" s="291">
        <v>32</v>
      </c>
      <c r="K1763" s="284">
        <v>0</v>
      </c>
      <c r="L1763" s="291">
        <v>0</v>
      </c>
      <c r="M1763" s="291">
        <v>0</v>
      </c>
      <c r="N1763" s="291">
        <v>37</v>
      </c>
      <c r="O1763" s="291">
        <v>3</v>
      </c>
      <c r="P1763" s="274">
        <v>61</v>
      </c>
      <c r="Q1763" s="274">
        <v>36</v>
      </c>
      <c r="R1763" s="274">
        <v>185</v>
      </c>
      <c r="S1763" s="274">
        <v>47</v>
      </c>
      <c r="T1763" s="287">
        <f t="shared" si="27"/>
        <v>2018</v>
      </c>
      <c r="U1763" s="274">
        <f>VLOOKUP(A1763,'[1]SB35 Determination Data'!$B$4:$F$542,5,FALSE)</f>
        <v>2015</v>
      </c>
    </row>
    <row r="1764" spans="1:21" s="274" customFormat="1" ht="12.75" x14ac:dyDescent="0.2">
      <c r="A1764" s="274" t="s">
        <v>534</v>
      </c>
      <c r="B1764" s="274" t="s">
        <v>403</v>
      </c>
      <c r="C1764" s="274" t="s">
        <v>531</v>
      </c>
      <c r="D1764" s="295">
        <v>2018</v>
      </c>
      <c r="E1764" s="274" t="s">
        <v>650</v>
      </c>
      <c r="F1764" s="291">
        <v>315</v>
      </c>
      <c r="G1764" s="285">
        <v>0</v>
      </c>
      <c r="H1764" s="291">
        <v>0</v>
      </c>
      <c r="I1764" s="291">
        <v>0</v>
      </c>
      <c r="J1764" s="291">
        <v>206</v>
      </c>
      <c r="K1764" s="284">
        <v>0</v>
      </c>
      <c r="L1764" s="291">
        <v>0</v>
      </c>
      <c r="M1764" s="291">
        <v>0</v>
      </c>
      <c r="N1764" s="291">
        <v>239</v>
      </c>
      <c r="O1764" s="291">
        <v>0</v>
      </c>
      <c r="P1764" s="274">
        <v>548</v>
      </c>
      <c r="Q1764" s="274">
        <v>121</v>
      </c>
      <c r="R1764" s="274">
        <v>1308</v>
      </c>
      <c r="S1764" s="274">
        <v>121</v>
      </c>
      <c r="T1764" s="287">
        <f t="shared" si="27"/>
        <v>2018</v>
      </c>
      <c r="U1764" s="274">
        <f>VLOOKUP(A1764,'[1]SB35 Determination Data'!$B$4:$F$542,5,FALSE)</f>
        <v>2016</v>
      </c>
    </row>
    <row r="1765" spans="1:21" s="274" customFormat="1" ht="12.75" x14ac:dyDescent="0.2">
      <c r="A1765" s="274" t="s">
        <v>535</v>
      </c>
      <c r="B1765" s="274" t="s">
        <v>317</v>
      </c>
      <c r="C1765" s="274" t="s">
        <v>660</v>
      </c>
      <c r="D1765" s="295">
        <v>2018</v>
      </c>
      <c r="E1765" s="274" t="s">
        <v>650</v>
      </c>
      <c r="F1765" s="291">
        <v>265</v>
      </c>
      <c r="G1765" s="285">
        <v>0</v>
      </c>
      <c r="H1765" s="291">
        <v>0</v>
      </c>
      <c r="I1765" s="291">
        <v>0</v>
      </c>
      <c r="J1765" s="291">
        <v>130</v>
      </c>
      <c r="K1765" s="284">
        <v>0</v>
      </c>
      <c r="L1765" s="291">
        <v>0</v>
      </c>
      <c r="M1765" s="291">
        <v>0</v>
      </c>
      <c r="N1765" s="291">
        <v>180</v>
      </c>
      <c r="O1765" s="291">
        <v>0</v>
      </c>
      <c r="P1765" s="274">
        <v>420</v>
      </c>
      <c r="Q1765" s="274">
        <v>56</v>
      </c>
      <c r="R1765" s="274">
        <v>995</v>
      </c>
      <c r="S1765" s="274">
        <v>56</v>
      </c>
      <c r="T1765" s="287">
        <f t="shared" si="27"/>
        <v>2018</v>
      </c>
      <c r="U1765" s="274">
        <f>VLOOKUP(A1765,'[1]SB35 Determination Data'!$B$4:$F$542,5,FALSE)</f>
        <v>2014</v>
      </c>
    </row>
    <row r="1766" spans="1:21" s="274" customFormat="1" ht="12.75" x14ac:dyDescent="0.2">
      <c r="A1766" s="274" t="s">
        <v>290</v>
      </c>
      <c r="B1766" s="274" t="s">
        <v>120</v>
      </c>
      <c r="C1766" s="274" t="s">
        <v>654</v>
      </c>
      <c r="D1766" s="295">
        <v>2018</v>
      </c>
      <c r="E1766" s="274" t="s">
        <v>650</v>
      </c>
      <c r="F1766" s="291">
        <v>124</v>
      </c>
      <c r="G1766" s="285">
        <v>0</v>
      </c>
      <c r="H1766" s="291">
        <v>0</v>
      </c>
      <c r="I1766" s="291">
        <v>0</v>
      </c>
      <c r="J1766" s="291">
        <v>72</v>
      </c>
      <c r="K1766" s="284">
        <v>0</v>
      </c>
      <c r="L1766" s="291">
        <v>0</v>
      </c>
      <c r="M1766" s="291">
        <v>0</v>
      </c>
      <c r="N1766" s="274">
        <v>78</v>
      </c>
      <c r="O1766" s="291">
        <v>0</v>
      </c>
      <c r="P1766" s="274">
        <v>195</v>
      </c>
      <c r="Q1766" s="274">
        <v>5</v>
      </c>
      <c r="R1766" s="274">
        <v>469</v>
      </c>
      <c r="S1766" s="274">
        <v>5</v>
      </c>
      <c r="T1766" s="287">
        <f t="shared" si="27"/>
        <v>2018</v>
      </c>
      <c r="U1766" s="274">
        <f>VLOOKUP(A1766,'[1]SB35 Determination Data'!$B$4:$F$542,5,FALSE)</f>
        <v>2015</v>
      </c>
    </row>
    <row r="1767" spans="1:21" s="274" customFormat="1" ht="12.75" x14ac:dyDescent="0.2">
      <c r="A1767" s="274" t="s">
        <v>536</v>
      </c>
      <c r="B1767" s="274" t="s">
        <v>759</v>
      </c>
      <c r="C1767" s="274" t="s">
        <v>685</v>
      </c>
      <c r="D1767" s="295">
        <v>2018</v>
      </c>
      <c r="E1767" s="274" t="s">
        <v>650</v>
      </c>
      <c r="F1767" s="291">
        <v>12</v>
      </c>
      <c r="G1767" s="285">
        <v>0</v>
      </c>
      <c r="H1767" s="291">
        <v>0</v>
      </c>
      <c r="I1767" s="291">
        <v>0</v>
      </c>
      <c r="J1767" s="291">
        <v>8</v>
      </c>
      <c r="K1767" s="284">
        <v>0</v>
      </c>
      <c r="L1767" s="291">
        <v>0</v>
      </c>
      <c r="M1767" s="291">
        <v>0</v>
      </c>
      <c r="N1767" s="291">
        <v>13</v>
      </c>
      <c r="O1767" s="291">
        <v>0</v>
      </c>
      <c r="P1767" s="274">
        <v>39</v>
      </c>
      <c r="Q1767" s="274">
        <v>4</v>
      </c>
      <c r="R1767" s="274">
        <v>72</v>
      </c>
      <c r="S1767" s="274">
        <v>4</v>
      </c>
      <c r="T1767" s="287">
        <f t="shared" si="27"/>
        <v>2018</v>
      </c>
      <c r="U1767" s="274">
        <f>VLOOKUP(A1767,'[1]SB35 Determination Data'!$B$4:$F$542,5,FALSE)</f>
        <v>2014</v>
      </c>
    </row>
    <row r="1768" spans="1:21" s="274" customFormat="1" ht="12.75" x14ac:dyDescent="0.2">
      <c r="A1768" s="274" t="s">
        <v>540</v>
      </c>
      <c r="B1768" s="274" t="s">
        <v>481</v>
      </c>
      <c r="C1768" s="274" t="s">
        <v>649</v>
      </c>
      <c r="D1768" s="295">
        <v>2018</v>
      </c>
      <c r="E1768" s="274" t="s">
        <v>650</v>
      </c>
      <c r="F1768" s="291">
        <v>1488</v>
      </c>
      <c r="G1768" s="285">
        <v>0</v>
      </c>
      <c r="H1768" s="291">
        <v>0</v>
      </c>
      <c r="I1768" s="291">
        <v>0</v>
      </c>
      <c r="J1768" s="291">
        <v>1007</v>
      </c>
      <c r="K1768" s="284">
        <v>1</v>
      </c>
      <c r="L1768" s="291">
        <v>0</v>
      </c>
      <c r="M1768" s="291">
        <v>1</v>
      </c>
      <c r="N1768" s="291">
        <v>1140</v>
      </c>
      <c r="O1768" s="291">
        <v>181</v>
      </c>
      <c r="P1768" s="274">
        <v>2610</v>
      </c>
      <c r="Q1768" s="274">
        <v>759</v>
      </c>
      <c r="R1768" s="274">
        <v>6245</v>
      </c>
      <c r="S1768" s="274">
        <v>941</v>
      </c>
      <c r="T1768" s="287">
        <f t="shared" si="27"/>
        <v>2018</v>
      </c>
      <c r="U1768" s="274">
        <f>VLOOKUP(A1768,'[1]SB35 Determination Data'!$B$4:$F$542,5,FALSE)</f>
        <v>2014</v>
      </c>
    </row>
    <row r="1769" spans="1:21" s="274" customFormat="1" ht="12.75" x14ac:dyDescent="0.2">
      <c r="A1769" s="274" t="s">
        <v>541</v>
      </c>
      <c r="B1769" s="274" t="s">
        <v>595</v>
      </c>
      <c r="C1769" s="274" t="s">
        <v>654</v>
      </c>
      <c r="D1769" s="295">
        <v>2018</v>
      </c>
      <c r="E1769" s="274" t="s">
        <v>650</v>
      </c>
      <c r="F1769" s="291">
        <v>233</v>
      </c>
      <c r="G1769" s="285">
        <v>9</v>
      </c>
      <c r="H1769" s="291">
        <v>0</v>
      </c>
      <c r="I1769" s="291">
        <v>9</v>
      </c>
      <c r="J1769" s="291">
        <v>129</v>
      </c>
      <c r="K1769" s="284">
        <v>6</v>
      </c>
      <c r="L1769" s="291">
        <v>1</v>
      </c>
      <c r="M1769" s="291">
        <v>5</v>
      </c>
      <c r="N1769" s="274">
        <v>143</v>
      </c>
      <c r="O1769" s="291">
        <v>3</v>
      </c>
      <c r="P1769" s="274">
        <v>150</v>
      </c>
      <c r="Q1769" s="274">
        <v>26</v>
      </c>
      <c r="R1769" s="274">
        <v>655</v>
      </c>
      <c r="S1769" s="274">
        <v>44</v>
      </c>
      <c r="T1769" s="287">
        <f t="shared" si="27"/>
        <v>2018</v>
      </c>
      <c r="U1769" s="274">
        <f>VLOOKUP(A1769,'[1]SB35 Determination Data'!$B$4:$F$542,5,FALSE)</f>
        <v>2015</v>
      </c>
    </row>
    <row r="1770" spans="1:21" s="274" customFormat="1" ht="12.75" x14ac:dyDescent="0.2">
      <c r="A1770" s="274" t="s">
        <v>353</v>
      </c>
      <c r="B1770" s="274" t="s">
        <v>353</v>
      </c>
      <c r="C1770" s="274" t="s">
        <v>682</v>
      </c>
      <c r="D1770" s="295">
        <v>2018</v>
      </c>
      <c r="E1770" s="274" t="s">
        <v>650</v>
      </c>
      <c r="F1770" s="291">
        <v>1351</v>
      </c>
      <c r="G1770" s="285">
        <v>0</v>
      </c>
      <c r="H1770" s="291">
        <v>0</v>
      </c>
      <c r="I1770" s="291">
        <v>0</v>
      </c>
      <c r="J1770" s="291">
        <v>966</v>
      </c>
      <c r="K1770" s="284">
        <v>0</v>
      </c>
      <c r="L1770" s="291">
        <v>0</v>
      </c>
      <c r="M1770" s="291">
        <v>0</v>
      </c>
      <c r="N1770" s="291">
        <v>886</v>
      </c>
      <c r="O1770" s="291">
        <v>0</v>
      </c>
      <c r="P1770" s="274">
        <v>2348</v>
      </c>
      <c r="Q1770" s="274">
        <v>603</v>
      </c>
      <c r="R1770" s="274">
        <v>5551</v>
      </c>
      <c r="S1770" s="274">
        <v>603</v>
      </c>
      <c r="T1770" s="287">
        <f t="shared" si="27"/>
        <v>2018</v>
      </c>
      <c r="U1770" s="274">
        <f>VLOOKUP(A1770,'[1]SB35 Determination Data'!$B$4:$F$542,5,FALSE)</f>
        <v>2016</v>
      </c>
    </row>
    <row r="1771" spans="1:21" s="274" customFormat="1" ht="12.75" x14ac:dyDescent="0.2">
      <c r="A1771" s="274" t="s">
        <v>543</v>
      </c>
      <c r="B1771" s="274" t="s">
        <v>353</v>
      </c>
      <c r="C1771" s="274" t="s">
        <v>682</v>
      </c>
      <c r="D1771" s="295">
        <v>2018</v>
      </c>
      <c r="E1771" s="274" t="s">
        <v>650</v>
      </c>
      <c r="F1771" s="291">
        <v>1085</v>
      </c>
      <c r="G1771" s="285">
        <v>0</v>
      </c>
      <c r="H1771" s="291">
        <v>0</v>
      </c>
      <c r="I1771" s="291">
        <v>0</v>
      </c>
      <c r="J1771" s="291">
        <v>775</v>
      </c>
      <c r="K1771" s="284">
        <v>11</v>
      </c>
      <c r="L1771" s="291">
        <v>0</v>
      </c>
      <c r="M1771" s="291">
        <v>11</v>
      </c>
      <c r="N1771" s="291">
        <v>711</v>
      </c>
      <c r="O1771" s="291">
        <v>1</v>
      </c>
      <c r="P1771" s="274">
        <v>1885</v>
      </c>
      <c r="Q1771" s="274">
        <v>148</v>
      </c>
      <c r="R1771" s="274">
        <v>4456</v>
      </c>
      <c r="S1771" s="274">
        <v>160</v>
      </c>
      <c r="T1771" s="287">
        <f t="shared" si="27"/>
        <v>2018</v>
      </c>
      <c r="U1771" s="274">
        <f>VLOOKUP(A1771,'[1]SB35 Determination Data'!$B$4:$F$542,5,FALSE)</f>
        <v>2016</v>
      </c>
    </row>
    <row r="1772" spans="1:21" s="274" customFormat="1" ht="12.75" x14ac:dyDescent="0.2">
      <c r="A1772" s="274" t="s">
        <v>544</v>
      </c>
      <c r="B1772" s="274" t="s">
        <v>301</v>
      </c>
      <c r="C1772" s="274" t="s">
        <v>654</v>
      </c>
      <c r="D1772" s="295">
        <v>2018</v>
      </c>
      <c r="E1772" s="274" t="s">
        <v>650</v>
      </c>
      <c r="F1772" s="291">
        <v>41</v>
      </c>
      <c r="G1772" s="285">
        <v>5</v>
      </c>
      <c r="H1772" s="291">
        <v>0</v>
      </c>
      <c r="I1772" s="291">
        <v>5</v>
      </c>
      <c r="J1772" s="291">
        <v>24</v>
      </c>
      <c r="K1772" s="284">
        <v>3</v>
      </c>
      <c r="L1772" s="291">
        <v>0</v>
      </c>
      <c r="M1772" s="291">
        <v>3</v>
      </c>
      <c r="N1772" s="291">
        <v>26</v>
      </c>
      <c r="O1772" s="291">
        <v>3</v>
      </c>
      <c r="P1772" s="274">
        <v>38</v>
      </c>
      <c r="Q1772" s="274">
        <v>4</v>
      </c>
      <c r="R1772" s="274">
        <v>129</v>
      </c>
      <c r="S1772" s="274">
        <v>15</v>
      </c>
      <c r="T1772" s="287">
        <f t="shared" si="27"/>
        <v>2018</v>
      </c>
      <c r="U1772" s="274">
        <f>VLOOKUP(A1772,'[1]SB35 Determination Data'!$B$4:$F$542,5,FALSE)</f>
        <v>2015</v>
      </c>
    </row>
    <row r="1773" spans="1:21" s="274" customFormat="1" ht="12.75" x14ac:dyDescent="0.2">
      <c r="A1773" s="274" t="s">
        <v>545</v>
      </c>
      <c r="B1773" s="274" t="s">
        <v>595</v>
      </c>
      <c r="C1773" s="274" t="s">
        <v>654</v>
      </c>
      <c r="D1773" s="295">
        <v>2018</v>
      </c>
      <c r="E1773" s="274" t="s">
        <v>650</v>
      </c>
      <c r="F1773" s="291">
        <v>193</v>
      </c>
      <c r="G1773" s="285"/>
      <c r="H1773" s="291"/>
      <c r="I1773" s="291"/>
      <c r="J1773" s="291">
        <v>101</v>
      </c>
      <c r="K1773" s="284"/>
      <c r="L1773" s="291"/>
      <c r="M1773" s="291"/>
      <c r="N1773" s="274">
        <v>112</v>
      </c>
      <c r="O1773" s="291"/>
      <c r="P1773" s="274">
        <v>257</v>
      </c>
      <c r="R1773" s="274">
        <v>663</v>
      </c>
      <c r="T1773" s="287">
        <f t="shared" si="27"/>
        <v>2018</v>
      </c>
      <c r="U1773" s="274">
        <f>VLOOKUP(A1773,'[1]SB35 Determination Data'!$B$4:$F$542,5,FALSE)</f>
        <v>2015</v>
      </c>
    </row>
    <row r="1774" spans="1:21" s="274" customFormat="1" ht="12.75" x14ac:dyDescent="0.2">
      <c r="A1774" s="274" t="s">
        <v>546</v>
      </c>
      <c r="B1774" s="274" t="s">
        <v>614</v>
      </c>
      <c r="C1774" s="274" t="s">
        <v>654</v>
      </c>
      <c r="D1774" s="295">
        <v>2018</v>
      </c>
      <c r="E1774" s="274" t="s">
        <v>650</v>
      </c>
      <c r="F1774" s="291">
        <v>1004</v>
      </c>
      <c r="G1774" s="285">
        <v>10</v>
      </c>
      <c r="H1774" s="291">
        <v>10</v>
      </c>
      <c r="I1774" s="291">
        <v>0</v>
      </c>
      <c r="J1774" s="291">
        <v>570</v>
      </c>
      <c r="K1774" s="284">
        <v>0</v>
      </c>
      <c r="L1774" s="291">
        <v>0</v>
      </c>
      <c r="M1774" s="291">
        <v>0</v>
      </c>
      <c r="N1774" s="291">
        <v>565</v>
      </c>
      <c r="O1774" s="291">
        <v>0</v>
      </c>
      <c r="P1774" s="274">
        <v>1151</v>
      </c>
      <c r="Q1774" s="274">
        <v>1776</v>
      </c>
      <c r="R1774" s="274">
        <v>3290</v>
      </c>
      <c r="S1774" s="274">
        <v>1786</v>
      </c>
      <c r="T1774" s="287">
        <f t="shared" si="27"/>
        <v>2018</v>
      </c>
      <c r="U1774" s="274">
        <f>VLOOKUP(A1774,'[1]SB35 Determination Data'!$B$4:$F$542,5,FALSE)</f>
        <v>2015</v>
      </c>
    </row>
    <row r="1775" spans="1:21" s="274" customFormat="1" ht="12.75" x14ac:dyDescent="0.2">
      <c r="A1775" s="274" t="s">
        <v>547</v>
      </c>
      <c r="B1775" s="274" t="s">
        <v>436</v>
      </c>
      <c r="C1775" s="274" t="s">
        <v>649</v>
      </c>
      <c r="D1775" s="295">
        <v>2018</v>
      </c>
      <c r="E1775" s="274" t="s">
        <v>650</v>
      </c>
      <c r="F1775" s="291">
        <v>42</v>
      </c>
      <c r="G1775" s="285">
        <v>0</v>
      </c>
      <c r="H1775" s="291">
        <v>0</v>
      </c>
      <c r="I1775" s="291">
        <v>0</v>
      </c>
      <c r="J1775" s="291">
        <v>29</v>
      </c>
      <c r="K1775" s="284">
        <v>0</v>
      </c>
      <c r="L1775" s="291">
        <v>0</v>
      </c>
      <c r="M1775" s="291">
        <v>0</v>
      </c>
      <c r="N1775" s="291">
        <v>33</v>
      </c>
      <c r="O1775" s="291">
        <v>0</v>
      </c>
      <c r="P1775" s="274">
        <v>73</v>
      </c>
      <c r="Q1775" s="274">
        <v>5</v>
      </c>
      <c r="R1775" s="274">
        <v>177</v>
      </c>
      <c r="S1775" s="274">
        <v>5</v>
      </c>
      <c r="T1775" s="287">
        <f t="shared" si="27"/>
        <v>2018</v>
      </c>
      <c r="U1775" s="274">
        <f>VLOOKUP(A1775,'[1]SB35 Determination Data'!$B$4:$F$542,5,FALSE)</f>
        <v>2014</v>
      </c>
    </row>
    <row r="1776" spans="1:21" s="274" customFormat="1" ht="12.75" x14ac:dyDescent="0.2">
      <c r="A1776" s="274" t="s">
        <v>548</v>
      </c>
      <c r="B1776" s="274" t="s">
        <v>679</v>
      </c>
      <c r="C1776" s="274" t="s">
        <v>531</v>
      </c>
      <c r="D1776" s="295">
        <v>2018</v>
      </c>
      <c r="E1776" s="274" t="s">
        <v>650</v>
      </c>
      <c r="F1776" s="291">
        <v>1546</v>
      </c>
      <c r="G1776" s="285">
        <v>0</v>
      </c>
      <c r="H1776" s="291">
        <v>0</v>
      </c>
      <c r="I1776" s="291">
        <v>0</v>
      </c>
      <c r="J1776" s="291">
        <v>991</v>
      </c>
      <c r="K1776" s="284">
        <v>6</v>
      </c>
      <c r="L1776" s="291">
        <v>5</v>
      </c>
      <c r="M1776" s="291">
        <v>1</v>
      </c>
      <c r="N1776" s="291">
        <v>1100</v>
      </c>
      <c r="O1776" s="291">
        <v>87</v>
      </c>
      <c r="P1776" s="274">
        <v>2724</v>
      </c>
      <c r="Q1776" s="274">
        <v>120</v>
      </c>
      <c r="R1776" s="274">
        <v>6361</v>
      </c>
      <c r="S1776" s="274">
        <v>213</v>
      </c>
      <c r="T1776" s="287">
        <f t="shared" si="27"/>
        <v>2018</v>
      </c>
      <c r="U1776" s="274">
        <f>VLOOKUP(A1776,'[1]SB35 Determination Data'!$B$4:$F$542,5,FALSE)</f>
        <v>2016</v>
      </c>
    </row>
    <row r="1777" spans="1:21" s="274" customFormat="1" ht="12.75" x14ac:dyDescent="0.2">
      <c r="A1777" s="274" t="s">
        <v>550</v>
      </c>
      <c r="B1777" s="274" t="s">
        <v>390</v>
      </c>
      <c r="C1777" s="274" t="s">
        <v>660</v>
      </c>
      <c r="D1777" s="295">
        <v>2018</v>
      </c>
      <c r="E1777" s="274" t="s">
        <v>650</v>
      </c>
      <c r="F1777" s="291">
        <v>11</v>
      </c>
      <c r="G1777" s="285">
        <v>0</v>
      </c>
      <c r="H1777" s="291">
        <v>0</v>
      </c>
      <c r="I1777" s="291">
        <v>0</v>
      </c>
      <c r="J1777" s="291">
        <v>7</v>
      </c>
      <c r="K1777" s="284">
        <v>9</v>
      </c>
      <c r="L1777" s="291">
        <v>0</v>
      </c>
      <c r="M1777" s="291">
        <v>9</v>
      </c>
      <c r="N1777" s="291">
        <v>9</v>
      </c>
      <c r="O1777" s="291">
        <v>11</v>
      </c>
      <c r="P1777" s="274">
        <v>19</v>
      </c>
      <c r="Q1777" s="274">
        <v>7</v>
      </c>
      <c r="R1777" s="274">
        <v>46</v>
      </c>
      <c r="S1777" s="274">
        <v>27</v>
      </c>
      <c r="T1777" s="287">
        <f t="shared" si="27"/>
        <v>2018</v>
      </c>
      <c r="U1777" s="274">
        <f>VLOOKUP(A1777,'[1]SB35 Determination Data'!$B$4:$F$542,5,FALSE)</f>
        <v>2014</v>
      </c>
    </row>
    <row r="1778" spans="1:21" s="274" customFormat="1" ht="12.75" x14ac:dyDescent="0.2">
      <c r="A1778" s="274" t="s">
        <v>484</v>
      </c>
      <c r="B1778" s="274" t="s">
        <v>262</v>
      </c>
      <c r="C1778" s="274" t="s">
        <v>649</v>
      </c>
      <c r="D1778" s="295">
        <v>2018</v>
      </c>
      <c r="E1778" s="274" t="s">
        <v>650</v>
      </c>
      <c r="F1778" s="291">
        <v>101</v>
      </c>
      <c r="G1778" s="285">
        <v>0</v>
      </c>
      <c r="H1778" s="291">
        <v>0</v>
      </c>
      <c r="I1778" s="291">
        <v>0</v>
      </c>
      <c r="J1778" s="291">
        <v>61</v>
      </c>
      <c r="K1778" s="284">
        <v>0</v>
      </c>
      <c r="L1778" s="291">
        <v>0</v>
      </c>
      <c r="M1778" s="291">
        <v>0</v>
      </c>
      <c r="N1778" s="291">
        <v>65</v>
      </c>
      <c r="O1778" s="291">
        <v>0</v>
      </c>
      <c r="P1778" s="274">
        <v>162</v>
      </c>
      <c r="Q1778" s="274">
        <v>26</v>
      </c>
      <c r="R1778" s="274">
        <v>389</v>
      </c>
      <c r="S1778" s="274">
        <v>26</v>
      </c>
      <c r="T1778" s="287">
        <f t="shared" si="27"/>
        <v>2018</v>
      </c>
      <c r="U1778" s="274">
        <f>VLOOKUP(A1778,'[1]SB35 Determination Data'!$B$4:$F$542,5,FALSE)</f>
        <v>2014</v>
      </c>
    </row>
    <row r="1779" spans="1:21" s="274" customFormat="1" ht="12.75" x14ac:dyDescent="0.2">
      <c r="A1779" s="274" t="s">
        <v>551</v>
      </c>
      <c r="B1779" s="274" t="s">
        <v>651</v>
      </c>
      <c r="C1779" s="274" t="s">
        <v>660</v>
      </c>
      <c r="D1779" s="295">
        <v>2018</v>
      </c>
      <c r="E1779" s="274" t="s">
        <v>650</v>
      </c>
      <c r="F1779" s="291">
        <v>5</v>
      </c>
      <c r="G1779" s="285"/>
      <c r="H1779" s="291"/>
      <c r="I1779" s="291"/>
      <c r="J1779" s="291">
        <v>3</v>
      </c>
      <c r="K1779" s="284"/>
      <c r="L1779" s="291"/>
      <c r="M1779" s="291"/>
      <c r="N1779" s="274">
        <v>3</v>
      </c>
      <c r="O1779" s="291"/>
      <c r="P1779" s="274">
        <v>8</v>
      </c>
      <c r="R1779" s="274">
        <v>19</v>
      </c>
      <c r="T1779" s="287">
        <f t="shared" si="27"/>
        <v>2018</v>
      </c>
      <c r="U1779" s="274">
        <f>VLOOKUP(A1779,'[1]SB35 Determination Data'!$B$4:$F$542,5,FALSE)</f>
        <v>2014</v>
      </c>
    </row>
    <row r="1780" spans="1:21" s="274" customFormat="1" ht="12.75" x14ac:dyDescent="0.2">
      <c r="A1780" s="274" t="s">
        <v>552</v>
      </c>
      <c r="B1780" s="274" t="s">
        <v>542</v>
      </c>
      <c r="C1780" s="274" t="s">
        <v>649</v>
      </c>
      <c r="D1780" s="295">
        <v>2018</v>
      </c>
      <c r="E1780" s="274" t="s">
        <v>650</v>
      </c>
      <c r="F1780" s="291">
        <v>164</v>
      </c>
      <c r="G1780" s="285">
        <v>0</v>
      </c>
      <c r="H1780" s="291">
        <v>0</v>
      </c>
      <c r="I1780" s="291">
        <v>0</v>
      </c>
      <c r="J1780" s="291">
        <v>114</v>
      </c>
      <c r="K1780" s="284">
        <v>0</v>
      </c>
      <c r="L1780" s="291">
        <v>0</v>
      </c>
      <c r="M1780" s="291">
        <v>0</v>
      </c>
      <c r="N1780" s="291">
        <v>125</v>
      </c>
      <c r="O1780" s="291">
        <v>0</v>
      </c>
      <c r="P1780" s="274">
        <v>294</v>
      </c>
      <c r="Q1780" s="274">
        <v>221</v>
      </c>
      <c r="R1780" s="274">
        <v>697</v>
      </c>
      <c r="S1780" s="274">
        <v>221</v>
      </c>
      <c r="T1780" s="287">
        <f t="shared" si="27"/>
        <v>2018</v>
      </c>
      <c r="U1780" s="274">
        <f>VLOOKUP(A1780,'[1]SB35 Determination Data'!$B$4:$F$542,5,FALSE)</f>
        <v>2014</v>
      </c>
    </row>
    <row r="1781" spans="1:21" s="274" customFormat="1" ht="12.75" x14ac:dyDescent="0.2">
      <c r="A1781" s="274" t="s">
        <v>553</v>
      </c>
      <c r="B1781" s="274" t="s">
        <v>614</v>
      </c>
      <c r="C1781" s="274" t="s">
        <v>654</v>
      </c>
      <c r="D1781" s="295">
        <v>2018</v>
      </c>
      <c r="E1781" s="274" t="s">
        <v>650</v>
      </c>
      <c r="F1781" s="291">
        <v>23</v>
      </c>
      <c r="G1781" s="285">
        <v>8</v>
      </c>
      <c r="H1781" s="291">
        <v>0</v>
      </c>
      <c r="I1781" s="291">
        <v>8</v>
      </c>
      <c r="J1781" s="291">
        <v>13</v>
      </c>
      <c r="K1781" s="284">
        <v>0</v>
      </c>
      <c r="L1781" s="291">
        <v>0</v>
      </c>
      <c r="M1781" s="291">
        <v>0</v>
      </c>
      <c r="N1781" s="291">
        <v>13</v>
      </c>
      <c r="O1781" s="291">
        <v>0</v>
      </c>
      <c r="P1781" s="274">
        <v>12</v>
      </c>
      <c r="Q1781" s="274">
        <v>0</v>
      </c>
      <c r="R1781" s="274">
        <v>61</v>
      </c>
      <c r="S1781" s="274">
        <v>8</v>
      </c>
      <c r="T1781" s="287">
        <f t="shared" si="27"/>
        <v>2018</v>
      </c>
      <c r="U1781" s="274">
        <f>VLOOKUP(A1781,'[1]SB35 Determination Data'!$B$4:$F$542,5,FALSE)</f>
        <v>2015</v>
      </c>
    </row>
    <row r="1782" spans="1:21" s="274" customFormat="1" ht="12.75" x14ac:dyDescent="0.2">
      <c r="A1782" s="274" t="s">
        <v>403</v>
      </c>
      <c r="B1782" s="274" t="s">
        <v>403</v>
      </c>
      <c r="C1782" s="274" t="s">
        <v>531</v>
      </c>
      <c r="D1782" s="295">
        <v>2018</v>
      </c>
      <c r="E1782" s="274" t="s">
        <v>650</v>
      </c>
      <c r="F1782" s="291">
        <v>157</v>
      </c>
      <c r="G1782" s="285">
        <v>0</v>
      </c>
      <c r="H1782" s="291">
        <v>0</v>
      </c>
      <c r="I1782" s="291">
        <v>0</v>
      </c>
      <c r="J1782" s="291">
        <v>102</v>
      </c>
      <c r="K1782" s="284">
        <v>0</v>
      </c>
      <c r="L1782" s="291">
        <v>0</v>
      </c>
      <c r="M1782" s="291">
        <v>0</v>
      </c>
      <c r="N1782" s="291">
        <v>119</v>
      </c>
      <c r="O1782" s="291">
        <v>0</v>
      </c>
      <c r="P1782" s="274">
        <v>272</v>
      </c>
      <c r="Q1782" s="274">
        <v>4</v>
      </c>
      <c r="R1782" s="274">
        <v>650</v>
      </c>
      <c r="S1782" s="274">
        <v>4</v>
      </c>
      <c r="T1782" s="287">
        <f t="shared" si="27"/>
        <v>2018</v>
      </c>
      <c r="U1782" s="274">
        <f>VLOOKUP(A1782,'[1]SB35 Determination Data'!$B$4:$F$542,5,FALSE)</f>
        <v>2016</v>
      </c>
    </row>
    <row r="1783" spans="1:21" s="274" customFormat="1" ht="12.75" x14ac:dyDescent="0.2">
      <c r="A1783" s="274" t="s">
        <v>556</v>
      </c>
      <c r="B1783" s="274" t="s">
        <v>403</v>
      </c>
      <c r="C1783" s="274" t="s">
        <v>531</v>
      </c>
      <c r="D1783" s="295">
        <v>2018</v>
      </c>
      <c r="E1783" s="274" t="s">
        <v>650</v>
      </c>
      <c r="F1783" s="291">
        <v>374</v>
      </c>
      <c r="G1783" s="285">
        <v>0</v>
      </c>
      <c r="H1783" s="291">
        <v>0</v>
      </c>
      <c r="I1783" s="291">
        <v>0</v>
      </c>
      <c r="J1783" s="291">
        <v>244</v>
      </c>
      <c r="K1783" s="284">
        <v>0</v>
      </c>
      <c r="L1783" s="291">
        <v>0</v>
      </c>
      <c r="M1783" s="291">
        <v>0</v>
      </c>
      <c r="N1783" s="291">
        <v>282</v>
      </c>
      <c r="O1783" s="291">
        <v>4</v>
      </c>
      <c r="P1783" s="274">
        <v>651</v>
      </c>
      <c r="Q1783" s="274">
        <v>230</v>
      </c>
      <c r="R1783" s="274">
        <v>1551</v>
      </c>
      <c r="S1783" s="274">
        <v>234</v>
      </c>
      <c r="T1783" s="287">
        <f t="shared" si="27"/>
        <v>2018</v>
      </c>
      <c r="U1783" s="274">
        <f>VLOOKUP(A1783,'[1]SB35 Determination Data'!$B$4:$F$542,5,FALSE)</f>
        <v>2016</v>
      </c>
    </row>
    <row r="1784" spans="1:21" s="274" customFormat="1" ht="12.75" x14ac:dyDescent="0.2">
      <c r="A1784" s="274" t="s">
        <v>560</v>
      </c>
      <c r="B1784" s="274" t="s">
        <v>743</v>
      </c>
      <c r="C1784" s="274" t="s">
        <v>649</v>
      </c>
      <c r="D1784" s="295">
        <v>2018</v>
      </c>
      <c r="E1784" s="274" t="s">
        <v>650</v>
      </c>
      <c r="F1784" s="291">
        <v>289</v>
      </c>
      <c r="G1784" s="285">
        <v>0</v>
      </c>
      <c r="H1784" s="291">
        <v>0</v>
      </c>
      <c r="I1784" s="291">
        <v>0</v>
      </c>
      <c r="J1784" s="291">
        <v>197</v>
      </c>
      <c r="K1784" s="284">
        <v>3</v>
      </c>
      <c r="L1784" s="291">
        <v>0</v>
      </c>
      <c r="M1784" s="291">
        <v>3</v>
      </c>
      <c r="N1784" s="291">
        <v>216</v>
      </c>
      <c r="O1784" s="291">
        <v>0</v>
      </c>
      <c r="P1784" s="274">
        <v>462</v>
      </c>
      <c r="Q1784" s="274">
        <v>16</v>
      </c>
      <c r="R1784" s="274">
        <v>1164</v>
      </c>
      <c r="S1784" s="274">
        <v>19</v>
      </c>
      <c r="T1784" s="287">
        <f t="shared" si="27"/>
        <v>2018</v>
      </c>
      <c r="U1784" s="274">
        <f>VLOOKUP(A1784,'[1]SB35 Determination Data'!$B$4:$F$542,5,FALSE)</f>
        <v>2014</v>
      </c>
    </row>
    <row r="1785" spans="1:21" s="274" customFormat="1" ht="12.75" x14ac:dyDescent="0.2">
      <c r="A1785" s="274" t="s">
        <v>293</v>
      </c>
      <c r="B1785" s="274" t="s">
        <v>120</v>
      </c>
      <c r="C1785" s="274" t="s">
        <v>654</v>
      </c>
      <c r="D1785" s="295">
        <v>2018</v>
      </c>
      <c r="E1785" s="274" t="s">
        <v>650</v>
      </c>
      <c r="F1785" s="291">
        <v>75</v>
      </c>
      <c r="G1785" s="285">
        <v>0</v>
      </c>
      <c r="H1785" s="291">
        <v>0</v>
      </c>
      <c r="I1785" s="291">
        <v>0</v>
      </c>
      <c r="J1785" s="291">
        <v>44</v>
      </c>
      <c r="K1785" s="284">
        <v>0</v>
      </c>
      <c r="L1785" s="291">
        <v>0</v>
      </c>
      <c r="M1785" s="291">
        <v>0</v>
      </c>
      <c r="N1785" s="274">
        <v>50</v>
      </c>
      <c r="O1785" s="291">
        <v>1</v>
      </c>
      <c r="P1785" s="274">
        <v>60</v>
      </c>
      <c r="Q1785" s="274">
        <v>34</v>
      </c>
      <c r="R1785" s="274">
        <v>229</v>
      </c>
      <c r="S1785" s="274">
        <v>35</v>
      </c>
      <c r="T1785" s="287">
        <f t="shared" si="27"/>
        <v>2018</v>
      </c>
      <c r="U1785" s="274">
        <f>VLOOKUP(A1785,'[1]SB35 Determination Data'!$B$4:$F$542,5,FALSE)</f>
        <v>2015</v>
      </c>
    </row>
    <row r="1786" spans="1:21" s="274" customFormat="1" ht="12.75" x14ac:dyDescent="0.2">
      <c r="A1786" s="274" t="s">
        <v>562</v>
      </c>
      <c r="B1786" s="274" t="s">
        <v>614</v>
      </c>
      <c r="C1786" s="274" t="s">
        <v>654</v>
      </c>
      <c r="D1786" s="295">
        <v>2018</v>
      </c>
      <c r="E1786" s="274" t="s">
        <v>650</v>
      </c>
      <c r="F1786" s="291">
        <v>273</v>
      </c>
      <c r="G1786" s="285">
        <v>39</v>
      </c>
      <c r="H1786" s="291">
        <v>39</v>
      </c>
      <c r="I1786" s="291">
        <v>0</v>
      </c>
      <c r="J1786" s="291">
        <v>154</v>
      </c>
      <c r="K1786" s="284">
        <v>24</v>
      </c>
      <c r="L1786" s="291">
        <v>24</v>
      </c>
      <c r="M1786" s="291">
        <v>0</v>
      </c>
      <c r="N1786" s="291">
        <v>185</v>
      </c>
      <c r="O1786" s="291">
        <v>263</v>
      </c>
      <c r="P1786" s="274">
        <v>316</v>
      </c>
      <c r="Q1786" s="274">
        <v>193</v>
      </c>
      <c r="R1786" s="274">
        <v>928</v>
      </c>
      <c r="S1786" s="274">
        <v>519</v>
      </c>
      <c r="T1786" s="287">
        <f t="shared" si="27"/>
        <v>2018</v>
      </c>
      <c r="U1786" s="274">
        <f>VLOOKUP(A1786,'[1]SB35 Determination Data'!$B$4:$F$542,5,FALSE)</f>
        <v>2015</v>
      </c>
    </row>
    <row r="1787" spans="1:21" s="274" customFormat="1" ht="12.75" x14ac:dyDescent="0.2">
      <c r="A1787" s="274" t="s">
        <v>563</v>
      </c>
      <c r="B1787" s="274" t="s">
        <v>583</v>
      </c>
      <c r="C1787" s="274" t="s">
        <v>660</v>
      </c>
      <c r="D1787" s="295">
        <v>2018</v>
      </c>
      <c r="E1787" s="274" t="s">
        <v>650</v>
      </c>
      <c r="F1787" s="291">
        <v>39</v>
      </c>
      <c r="G1787" s="285">
        <v>0</v>
      </c>
      <c r="H1787" s="291">
        <v>0</v>
      </c>
      <c r="I1787" s="291">
        <v>0</v>
      </c>
      <c r="J1787" s="291">
        <v>24</v>
      </c>
      <c r="K1787" s="284">
        <v>0</v>
      </c>
      <c r="L1787" s="291">
        <v>0</v>
      </c>
      <c r="M1787" s="291">
        <v>0</v>
      </c>
      <c r="N1787" s="291">
        <v>27</v>
      </c>
      <c r="O1787" s="291">
        <v>2</v>
      </c>
      <c r="P1787" s="274">
        <v>65</v>
      </c>
      <c r="Q1787" s="274">
        <v>38</v>
      </c>
      <c r="R1787" s="274">
        <v>155</v>
      </c>
      <c r="S1787" s="274">
        <v>40</v>
      </c>
      <c r="T1787" s="287">
        <f t="shared" si="27"/>
        <v>2018</v>
      </c>
      <c r="U1787" s="274">
        <f>VLOOKUP(A1787,'[1]SB35 Determination Data'!$B$4:$F$542,5,FALSE)</f>
        <v>2014</v>
      </c>
    </row>
    <row r="1788" spans="1:21" s="274" customFormat="1" ht="12.75" x14ac:dyDescent="0.2">
      <c r="A1788" s="274" t="s">
        <v>565</v>
      </c>
      <c r="B1788" s="274" t="s">
        <v>614</v>
      </c>
      <c r="C1788" s="274" t="s">
        <v>654</v>
      </c>
      <c r="D1788" s="295">
        <v>2018</v>
      </c>
      <c r="E1788" s="274" t="s">
        <v>650</v>
      </c>
      <c r="F1788" s="291">
        <v>814</v>
      </c>
      <c r="G1788" s="285">
        <v>0</v>
      </c>
      <c r="H1788" s="291">
        <v>0</v>
      </c>
      <c r="I1788" s="291">
        <v>0</v>
      </c>
      <c r="J1788" s="291">
        <v>492</v>
      </c>
      <c r="K1788" s="284">
        <v>10</v>
      </c>
      <c r="L1788" s="291">
        <v>10</v>
      </c>
      <c r="M1788" s="291">
        <v>0</v>
      </c>
      <c r="N1788" s="291">
        <v>527</v>
      </c>
      <c r="O1788" s="291">
        <v>0</v>
      </c>
      <c r="P1788" s="274">
        <v>1093</v>
      </c>
      <c r="Q1788" s="274">
        <v>320</v>
      </c>
      <c r="R1788" s="274">
        <v>2926</v>
      </c>
      <c r="S1788" s="274">
        <v>330</v>
      </c>
      <c r="T1788" s="287">
        <f t="shared" si="27"/>
        <v>2018</v>
      </c>
      <c r="U1788" s="274">
        <f>VLOOKUP(A1788,'[1]SB35 Determination Data'!$B$4:$F$542,5,FALSE)</f>
        <v>2015</v>
      </c>
    </row>
    <row r="1789" spans="1:21" s="274" customFormat="1" ht="12.75" x14ac:dyDescent="0.2">
      <c r="A1789" s="274" t="s">
        <v>566</v>
      </c>
      <c r="B1789" s="274" t="s">
        <v>481</v>
      </c>
      <c r="C1789" s="274" t="s">
        <v>649</v>
      </c>
      <c r="D1789" s="295">
        <v>2018</v>
      </c>
      <c r="E1789" s="274" t="s">
        <v>650</v>
      </c>
      <c r="F1789" s="291">
        <v>395</v>
      </c>
      <c r="G1789" s="285">
        <v>0</v>
      </c>
      <c r="H1789" s="291">
        <v>0</v>
      </c>
      <c r="I1789" s="291">
        <v>0</v>
      </c>
      <c r="J1789" s="291">
        <v>262</v>
      </c>
      <c r="K1789" s="284">
        <v>0</v>
      </c>
      <c r="L1789" s="291">
        <v>0</v>
      </c>
      <c r="M1789" s="291">
        <v>0</v>
      </c>
      <c r="N1789" s="274">
        <v>289</v>
      </c>
      <c r="O1789" s="291">
        <v>0</v>
      </c>
      <c r="P1789" s="274">
        <v>627</v>
      </c>
      <c r="Q1789" s="274">
        <v>245</v>
      </c>
      <c r="R1789" s="274">
        <v>1573</v>
      </c>
      <c r="S1789" s="274">
        <v>245</v>
      </c>
      <c r="T1789" s="287">
        <f t="shared" si="27"/>
        <v>2018</v>
      </c>
      <c r="U1789" s="274">
        <f>VLOOKUP(A1789,'[1]SB35 Determination Data'!$B$4:$F$542,5,FALSE)</f>
        <v>2014</v>
      </c>
    </row>
    <row r="1790" spans="1:21" s="274" customFormat="1" ht="12.75" x14ac:dyDescent="0.2">
      <c r="A1790" s="274" t="s">
        <v>411</v>
      </c>
      <c r="B1790" s="274" t="s">
        <v>411</v>
      </c>
      <c r="C1790" s="274" t="s">
        <v>654</v>
      </c>
      <c r="D1790" s="295">
        <v>2018</v>
      </c>
      <c r="E1790" s="274" t="s">
        <v>650</v>
      </c>
      <c r="F1790" s="291">
        <v>185</v>
      </c>
      <c r="G1790" s="285">
        <v>53</v>
      </c>
      <c r="H1790" s="291">
        <v>53</v>
      </c>
      <c r="I1790" s="291">
        <v>0</v>
      </c>
      <c r="J1790" s="291">
        <v>106</v>
      </c>
      <c r="K1790" s="284">
        <v>15</v>
      </c>
      <c r="L1790" s="291">
        <v>15</v>
      </c>
      <c r="M1790" s="291">
        <v>0</v>
      </c>
      <c r="N1790" s="291">
        <v>141</v>
      </c>
      <c r="O1790" s="291">
        <v>0</v>
      </c>
      <c r="P1790" s="274">
        <v>403</v>
      </c>
      <c r="Q1790" s="274">
        <v>523</v>
      </c>
      <c r="R1790" s="274">
        <v>835</v>
      </c>
      <c r="S1790" s="274">
        <v>591</v>
      </c>
      <c r="T1790" s="287">
        <f t="shared" si="27"/>
        <v>2018</v>
      </c>
      <c r="U1790" s="274">
        <f>VLOOKUP(A1790,'[1]SB35 Determination Data'!$B$4:$F$542,5,FALSE)</f>
        <v>2015</v>
      </c>
    </row>
    <row r="1791" spans="1:21" s="274" customFormat="1" ht="12.75" x14ac:dyDescent="0.2">
      <c r="A1791" s="274" t="s">
        <v>567</v>
      </c>
      <c r="B1791" s="274" t="s">
        <v>411</v>
      </c>
      <c r="C1791" s="274" t="s">
        <v>654</v>
      </c>
      <c r="D1791" s="295">
        <v>2018</v>
      </c>
      <c r="E1791" s="274" t="s">
        <v>650</v>
      </c>
      <c r="F1791" s="291">
        <v>51</v>
      </c>
      <c r="G1791" s="285">
        <v>3</v>
      </c>
      <c r="H1791" s="291">
        <v>0</v>
      </c>
      <c r="I1791" s="291">
        <v>3</v>
      </c>
      <c r="J1791" s="291">
        <v>30</v>
      </c>
      <c r="K1791" s="284">
        <v>0</v>
      </c>
      <c r="L1791" s="291">
        <v>0</v>
      </c>
      <c r="M1791" s="291">
        <v>0</v>
      </c>
      <c r="N1791" s="291">
        <v>32</v>
      </c>
      <c r="O1791" s="291">
        <v>6</v>
      </c>
      <c r="P1791" s="274">
        <v>67</v>
      </c>
      <c r="Q1791" s="274">
        <v>22</v>
      </c>
      <c r="R1791" s="274">
        <v>180</v>
      </c>
      <c r="S1791" s="274">
        <v>31</v>
      </c>
      <c r="T1791" s="287">
        <f t="shared" si="27"/>
        <v>2018</v>
      </c>
      <c r="U1791" s="274">
        <f>VLOOKUP(A1791,'[1]SB35 Determination Data'!$B$4:$F$542,5,FALSE)</f>
        <v>2015</v>
      </c>
    </row>
    <row r="1792" spans="1:21" s="274" customFormat="1" ht="12.75" x14ac:dyDescent="0.2">
      <c r="A1792" s="274" t="s">
        <v>568</v>
      </c>
      <c r="B1792" s="274" t="s">
        <v>557</v>
      </c>
      <c r="C1792" s="274" t="s">
        <v>758</v>
      </c>
      <c r="D1792" s="295">
        <v>2018</v>
      </c>
      <c r="E1792" s="274" t="s">
        <v>650</v>
      </c>
      <c r="F1792" s="291">
        <v>465</v>
      </c>
      <c r="G1792" s="285">
        <v>0</v>
      </c>
      <c r="H1792" s="291">
        <v>0</v>
      </c>
      <c r="I1792" s="291">
        <v>0</v>
      </c>
      <c r="J1792" s="291">
        <v>353</v>
      </c>
      <c r="K1792" s="284">
        <v>0</v>
      </c>
      <c r="L1792" s="291">
        <v>0</v>
      </c>
      <c r="M1792" s="291">
        <v>0</v>
      </c>
      <c r="N1792" s="274">
        <v>327</v>
      </c>
      <c r="O1792" s="291">
        <v>0</v>
      </c>
      <c r="P1792" s="274">
        <v>718</v>
      </c>
      <c r="Q1792" s="274">
        <v>60</v>
      </c>
      <c r="R1792" s="274">
        <v>1863</v>
      </c>
      <c r="S1792" s="274">
        <v>60</v>
      </c>
      <c r="T1792" s="287">
        <f t="shared" si="27"/>
        <v>2018</v>
      </c>
      <c r="U1792" s="274">
        <f>VLOOKUP(A1792,'[1]SB35 Determination Data'!$B$4:$F$542,5,FALSE)</f>
        <v>2013</v>
      </c>
    </row>
    <row r="1793" spans="1:21" s="274" customFormat="1" ht="12.75" x14ac:dyDescent="0.2">
      <c r="A1793" s="274" t="s">
        <v>570</v>
      </c>
      <c r="B1793" s="274" t="s">
        <v>425</v>
      </c>
      <c r="C1793" s="274" t="s">
        <v>660</v>
      </c>
      <c r="D1793" s="295">
        <v>2018</v>
      </c>
      <c r="E1793" s="274" t="s">
        <v>650</v>
      </c>
      <c r="F1793" s="291">
        <v>19</v>
      </c>
      <c r="G1793" s="285">
        <v>0</v>
      </c>
      <c r="H1793" s="291">
        <v>0</v>
      </c>
      <c r="I1793" s="291">
        <v>0</v>
      </c>
      <c r="J1793" s="291">
        <v>14</v>
      </c>
      <c r="K1793" s="284">
        <v>1</v>
      </c>
      <c r="L1793" s="291">
        <v>0</v>
      </c>
      <c r="M1793" s="291">
        <v>1</v>
      </c>
      <c r="N1793" s="274">
        <v>16</v>
      </c>
      <c r="O1793" s="291">
        <v>1</v>
      </c>
      <c r="P1793" s="274">
        <v>36</v>
      </c>
      <c r="Q1793" s="274">
        <v>1</v>
      </c>
      <c r="R1793" s="274">
        <v>85</v>
      </c>
      <c r="S1793" s="274">
        <v>3</v>
      </c>
      <c r="T1793" s="287">
        <f t="shared" si="27"/>
        <v>2018</v>
      </c>
      <c r="U1793" s="274">
        <f>VLOOKUP(A1793,'[1]SB35 Determination Data'!$B$4:$F$542,5,FALSE)</f>
        <v>2014</v>
      </c>
    </row>
    <row r="1794" spans="1:21" s="274" customFormat="1" ht="12.75" x14ac:dyDescent="0.2">
      <c r="A1794" s="274" t="s">
        <v>571</v>
      </c>
      <c r="B1794" s="274" t="s">
        <v>425</v>
      </c>
      <c r="C1794" s="274" t="s">
        <v>660</v>
      </c>
      <c r="D1794" s="295">
        <v>2018</v>
      </c>
      <c r="E1794" s="274" t="s">
        <v>650</v>
      </c>
      <c r="F1794" s="291">
        <v>174</v>
      </c>
      <c r="G1794" s="285">
        <v>4</v>
      </c>
      <c r="H1794" s="291">
        <v>0</v>
      </c>
      <c r="I1794" s="291">
        <v>4</v>
      </c>
      <c r="J1794" s="291">
        <v>126</v>
      </c>
      <c r="K1794" s="284">
        <v>11</v>
      </c>
      <c r="L1794" s="291">
        <v>0</v>
      </c>
      <c r="M1794" s="291">
        <v>11</v>
      </c>
      <c r="N1794" s="291">
        <v>150</v>
      </c>
      <c r="O1794" s="291">
        <v>3</v>
      </c>
      <c r="P1794" s="274">
        <v>314</v>
      </c>
      <c r="Q1794" s="274">
        <v>10</v>
      </c>
      <c r="R1794" s="274">
        <v>764</v>
      </c>
      <c r="S1794" s="274">
        <v>28</v>
      </c>
      <c r="T1794" s="287">
        <f t="shared" si="27"/>
        <v>2018</v>
      </c>
      <c r="U1794" s="274">
        <f>VLOOKUP(A1794,'[1]SB35 Determination Data'!$B$4:$F$542,5,FALSE)</f>
        <v>2014</v>
      </c>
    </row>
    <row r="1795" spans="1:21" s="274" customFormat="1" ht="12.75" x14ac:dyDescent="0.2">
      <c r="A1795" s="274" t="s">
        <v>185</v>
      </c>
      <c r="B1795" s="274" t="s">
        <v>40</v>
      </c>
      <c r="C1795" s="274" t="s">
        <v>654</v>
      </c>
      <c r="D1795" s="295">
        <v>2018</v>
      </c>
      <c r="E1795" s="274" t="s">
        <v>650</v>
      </c>
      <c r="F1795" s="291">
        <v>330</v>
      </c>
      <c r="G1795" s="285">
        <v>0</v>
      </c>
      <c r="H1795" s="291">
        <v>0</v>
      </c>
      <c r="I1795" s="291">
        <v>0</v>
      </c>
      <c r="J1795" s="291">
        <v>167</v>
      </c>
      <c r="K1795" s="284">
        <v>0</v>
      </c>
      <c r="L1795" s="291">
        <v>0</v>
      </c>
      <c r="M1795" s="291">
        <v>0</v>
      </c>
      <c r="N1795" s="291">
        <v>158</v>
      </c>
      <c r="O1795" s="291">
        <v>0</v>
      </c>
      <c r="P1795" s="274">
        <v>423</v>
      </c>
      <c r="Q1795" s="274">
        <v>460</v>
      </c>
      <c r="R1795" s="274">
        <v>1078</v>
      </c>
      <c r="S1795" s="274">
        <v>460</v>
      </c>
      <c r="T1795" s="287">
        <f t="shared" si="27"/>
        <v>2018</v>
      </c>
      <c r="U1795" s="274">
        <f>VLOOKUP(A1795,'[1]SB35 Determination Data'!$B$4:$F$542,5,FALSE)</f>
        <v>2015</v>
      </c>
    </row>
    <row r="1796" spans="1:21" s="274" customFormat="1" ht="12.75" x14ac:dyDescent="0.2">
      <c r="A1796" s="274" t="s">
        <v>573</v>
      </c>
      <c r="B1796" s="274" t="s">
        <v>436</v>
      </c>
      <c r="C1796" s="274" t="s">
        <v>649</v>
      </c>
      <c r="D1796" s="295">
        <v>2018</v>
      </c>
      <c r="E1796" s="274" t="s">
        <v>650</v>
      </c>
      <c r="F1796" s="291">
        <v>1</v>
      </c>
      <c r="G1796" s="285">
        <v>1</v>
      </c>
      <c r="H1796" s="291">
        <v>0</v>
      </c>
      <c r="I1796" s="291">
        <v>1</v>
      </c>
      <c r="J1796" s="291">
        <v>1</v>
      </c>
      <c r="K1796" s="284">
        <v>0</v>
      </c>
      <c r="L1796" s="291">
        <v>0</v>
      </c>
      <c r="M1796" s="291">
        <v>0</v>
      </c>
      <c r="N1796" s="291">
        <v>1</v>
      </c>
      <c r="O1796" s="291">
        <v>0</v>
      </c>
      <c r="P1796" s="274">
        <v>2</v>
      </c>
      <c r="Q1796" s="274">
        <v>35</v>
      </c>
      <c r="R1796" s="274">
        <v>5</v>
      </c>
      <c r="S1796" s="274">
        <v>36</v>
      </c>
      <c r="T1796" s="287">
        <f t="shared" ref="T1796:T1859" si="28">IF(D1796&gt;U1796,D1796,U1796)</f>
        <v>2018</v>
      </c>
      <c r="U1796" s="274">
        <f>VLOOKUP(A1796,'[1]SB35 Determination Data'!$B$4:$F$542,5,FALSE)</f>
        <v>2014</v>
      </c>
    </row>
    <row r="1797" spans="1:21" s="274" customFormat="1" ht="12.75" x14ac:dyDescent="0.2">
      <c r="A1797" s="274" t="s">
        <v>486</v>
      </c>
      <c r="B1797" s="274" t="s">
        <v>262</v>
      </c>
      <c r="C1797" s="274" t="s">
        <v>649</v>
      </c>
      <c r="D1797" s="295">
        <v>2018</v>
      </c>
      <c r="E1797" s="274" t="s">
        <v>650</v>
      </c>
      <c r="F1797" s="291">
        <v>52</v>
      </c>
      <c r="G1797" s="285">
        <v>0</v>
      </c>
      <c r="H1797" s="291">
        <v>0</v>
      </c>
      <c r="I1797" s="291">
        <v>0</v>
      </c>
      <c r="J1797" s="291">
        <v>31</v>
      </c>
      <c r="K1797" s="284">
        <v>3</v>
      </c>
      <c r="L1797" s="291">
        <v>0</v>
      </c>
      <c r="M1797" s="291">
        <v>3</v>
      </c>
      <c r="N1797" s="291">
        <v>33</v>
      </c>
      <c r="O1797" s="291">
        <v>3</v>
      </c>
      <c r="P1797" s="274">
        <v>85</v>
      </c>
      <c r="Q1797" s="274">
        <v>26</v>
      </c>
      <c r="R1797" s="274">
        <v>201</v>
      </c>
      <c r="S1797" s="274">
        <v>32</v>
      </c>
      <c r="T1797" s="287">
        <f t="shared" si="28"/>
        <v>2018</v>
      </c>
      <c r="U1797" s="274">
        <f>VLOOKUP(A1797,'[1]SB35 Determination Data'!$B$4:$F$542,5,FALSE)</f>
        <v>2014</v>
      </c>
    </row>
    <row r="1798" spans="1:21" s="274" customFormat="1" ht="12.75" x14ac:dyDescent="0.2">
      <c r="A1798" s="274" t="s">
        <v>576</v>
      </c>
      <c r="B1798" s="274" t="s">
        <v>301</v>
      </c>
      <c r="C1798" s="274" t="s">
        <v>654</v>
      </c>
      <c r="D1798" s="295">
        <v>2018</v>
      </c>
      <c r="E1798" s="274" t="s">
        <v>650</v>
      </c>
      <c r="F1798" s="291">
        <v>111</v>
      </c>
      <c r="G1798" s="285">
        <v>9</v>
      </c>
      <c r="H1798" s="291">
        <v>5</v>
      </c>
      <c r="I1798" s="291">
        <v>4</v>
      </c>
      <c r="J1798" s="291">
        <v>65</v>
      </c>
      <c r="K1798" s="284">
        <v>6</v>
      </c>
      <c r="L1798" s="291">
        <v>4</v>
      </c>
      <c r="M1798" s="291">
        <v>2</v>
      </c>
      <c r="N1798" s="291">
        <v>72</v>
      </c>
      <c r="O1798" s="291">
        <v>39</v>
      </c>
      <c r="P1798" s="274">
        <v>167</v>
      </c>
      <c r="Q1798" s="274">
        <v>8</v>
      </c>
      <c r="R1798" s="274">
        <v>415</v>
      </c>
      <c r="S1798" s="274">
        <v>62</v>
      </c>
      <c r="T1798" s="287">
        <f t="shared" si="28"/>
        <v>2018</v>
      </c>
      <c r="U1798" s="274">
        <f>VLOOKUP(A1798,'[1]SB35 Determination Data'!$B$4:$F$542,5,FALSE)</f>
        <v>2015</v>
      </c>
    </row>
    <row r="1799" spans="1:21" s="274" customFormat="1" ht="12.75" x14ac:dyDescent="0.2">
      <c r="A1799" s="274" t="s">
        <v>577</v>
      </c>
      <c r="B1799" s="274" t="s">
        <v>679</v>
      </c>
      <c r="C1799" s="274" t="s">
        <v>531</v>
      </c>
      <c r="D1799" s="295">
        <v>2018</v>
      </c>
      <c r="E1799" s="274" t="s">
        <v>650</v>
      </c>
      <c r="F1799" s="291">
        <v>315</v>
      </c>
      <c r="G1799" s="285">
        <v>0</v>
      </c>
      <c r="H1799" s="291">
        <v>0</v>
      </c>
      <c r="I1799" s="291">
        <v>0</v>
      </c>
      <c r="J1799" s="291">
        <v>202</v>
      </c>
      <c r="K1799" s="284">
        <v>1</v>
      </c>
      <c r="L1799" s="291">
        <v>0</v>
      </c>
      <c r="M1799" s="291">
        <v>1</v>
      </c>
      <c r="N1799" s="291">
        <v>210</v>
      </c>
      <c r="O1799" s="291">
        <v>4</v>
      </c>
      <c r="P1799" s="274">
        <v>520</v>
      </c>
      <c r="Q1799" s="274">
        <v>119</v>
      </c>
      <c r="R1799" s="274">
        <v>1247</v>
      </c>
      <c r="S1799" s="274">
        <v>124</v>
      </c>
      <c r="T1799" s="287">
        <f t="shared" si="28"/>
        <v>2018</v>
      </c>
      <c r="U1799" s="274">
        <f>VLOOKUP(A1799,'[1]SB35 Determination Data'!$B$4:$F$542,5,FALSE)</f>
        <v>2016</v>
      </c>
    </row>
    <row r="1800" spans="1:21" s="274" customFormat="1" ht="12.75" x14ac:dyDescent="0.2">
      <c r="A1800" s="274" t="s">
        <v>186</v>
      </c>
      <c r="B1800" s="274" t="s">
        <v>40</v>
      </c>
      <c r="C1800" s="274" t="s">
        <v>654</v>
      </c>
      <c r="D1800" s="295">
        <v>2018</v>
      </c>
      <c r="E1800" s="274" t="s">
        <v>650</v>
      </c>
      <c r="F1800" s="291">
        <v>2059</v>
      </c>
      <c r="G1800" s="285">
        <v>370</v>
      </c>
      <c r="H1800" s="291">
        <v>370</v>
      </c>
      <c r="I1800" s="291">
        <v>0</v>
      </c>
      <c r="J1800" s="291">
        <v>2075</v>
      </c>
      <c r="K1800" s="284">
        <v>403</v>
      </c>
      <c r="L1800" s="291">
        <v>403</v>
      </c>
      <c r="M1800" s="291">
        <v>0</v>
      </c>
      <c r="N1800" s="291">
        <v>2815</v>
      </c>
      <c r="O1800" s="291">
        <v>55</v>
      </c>
      <c r="P1800" s="274">
        <v>7816</v>
      </c>
      <c r="Q1800" s="274">
        <v>8878</v>
      </c>
      <c r="R1800" s="274">
        <v>14765</v>
      </c>
      <c r="S1800" s="274">
        <v>9706</v>
      </c>
      <c r="T1800" s="287">
        <f t="shared" si="28"/>
        <v>2018</v>
      </c>
      <c r="U1800" s="274">
        <f>VLOOKUP(A1800,'[1]SB35 Determination Data'!$B$4:$F$542,5,FALSE)</f>
        <v>2015</v>
      </c>
    </row>
    <row r="1801" spans="1:21" s="274" customFormat="1" ht="12.75" x14ac:dyDescent="0.2">
      <c r="A1801" s="274" t="s">
        <v>296</v>
      </c>
      <c r="B1801" s="274" t="s">
        <v>120</v>
      </c>
      <c r="C1801" s="274" t="s">
        <v>654</v>
      </c>
      <c r="D1801" s="295">
        <v>2018</v>
      </c>
      <c r="E1801" s="274" t="s">
        <v>650</v>
      </c>
      <c r="F1801" s="291">
        <v>317</v>
      </c>
      <c r="G1801" s="285">
        <v>0</v>
      </c>
      <c r="H1801" s="291">
        <v>0</v>
      </c>
      <c r="I1801" s="291">
        <v>0</v>
      </c>
      <c r="J1801" s="291">
        <v>174</v>
      </c>
      <c r="K1801" s="284">
        <v>0</v>
      </c>
      <c r="L1801" s="291">
        <v>0</v>
      </c>
      <c r="M1801" s="291">
        <v>0</v>
      </c>
      <c r="N1801" s="291">
        <v>175</v>
      </c>
      <c r="O1801" s="291">
        <v>0</v>
      </c>
      <c r="P1801" s="274">
        <v>502</v>
      </c>
      <c r="Q1801" s="274">
        <v>192</v>
      </c>
      <c r="R1801" s="274">
        <v>1168</v>
      </c>
      <c r="S1801" s="274">
        <v>192</v>
      </c>
      <c r="T1801" s="287">
        <f t="shared" si="28"/>
        <v>2018</v>
      </c>
      <c r="U1801" s="274">
        <f>VLOOKUP(A1801,'[1]SB35 Determination Data'!$B$4:$F$542,5,FALSE)</f>
        <v>2015</v>
      </c>
    </row>
    <row r="1802" spans="1:21" s="274" customFormat="1" ht="12.75" x14ac:dyDescent="0.2">
      <c r="A1802" s="274" t="s">
        <v>578</v>
      </c>
      <c r="B1802" s="274" t="s">
        <v>557</v>
      </c>
      <c r="C1802" s="274" t="s">
        <v>758</v>
      </c>
      <c r="D1802" s="295">
        <v>2018</v>
      </c>
      <c r="E1802" s="274" t="s">
        <v>650</v>
      </c>
      <c r="F1802" s="291">
        <v>1549</v>
      </c>
      <c r="G1802" s="285">
        <v>0</v>
      </c>
      <c r="H1802" s="291">
        <v>0</v>
      </c>
      <c r="I1802" s="291">
        <v>0</v>
      </c>
      <c r="J1802" s="291">
        <v>1178</v>
      </c>
      <c r="K1802" s="284">
        <v>0</v>
      </c>
      <c r="L1802" s="291">
        <v>0</v>
      </c>
      <c r="M1802" s="291">
        <v>0</v>
      </c>
      <c r="N1802" s="274">
        <v>1090</v>
      </c>
      <c r="O1802" s="291">
        <v>27</v>
      </c>
      <c r="P1802" s="274">
        <v>2393</v>
      </c>
      <c r="Q1802" s="274">
        <v>267</v>
      </c>
      <c r="R1802" s="274">
        <v>6210</v>
      </c>
      <c r="S1802" s="274">
        <v>294</v>
      </c>
      <c r="T1802" s="287">
        <f t="shared" si="28"/>
        <v>2018</v>
      </c>
      <c r="U1802" s="274">
        <f>VLOOKUP(A1802,'[1]SB35 Determination Data'!$B$4:$F$542,5,FALSE)</f>
        <v>2013</v>
      </c>
    </row>
    <row r="1803" spans="1:21" s="274" customFormat="1" ht="12.75" x14ac:dyDescent="0.2">
      <c r="A1803" s="274" t="s">
        <v>580</v>
      </c>
      <c r="B1803" s="274" t="s">
        <v>542</v>
      </c>
      <c r="C1803" s="274" t="s">
        <v>649</v>
      </c>
      <c r="D1803" s="295">
        <v>2018</v>
      </c>
      <c r="E1803" s="274" t="s">
        <v>650</v>
      </c>
      <c r="F1803" s="291">
        <v>2592</v>
      </c>
      <c r="G1803" s="285">
        <v>50</v>
      </c>
      <c r="H1803" s="291">
        <v>50</v>
      </c>
      <c r="I1803" s="291">
        <v>0</v>
      </c>
      <c r="J1803" s="291">
        <v>1745</v>
      </c>
      <c r="K1803" s="284">
        <v>24</v>
      </c>
      <c r="L1803" s="291">
        <v>24</v>
      </c>
      <c r="M1803" s="291">
        <v>0</v>
      </c>
      <c r="N1803" s="291">
        <v>1977</v>
      </c>
      <c r="O1803" s="291">
        <v>72</v>
      </c>
      <c r="P1803" s="274">
        <v>4547</v>
      </c>
      <c r="Q1803" s="274">
        <v>1167</v>
      </c>
      <c r="R1803" s="274">
        <v>10861</v>
      </c>
      <c r="S1803" s="274">
        <v>1313</v>
      </c>
      <c r="T1803" s="287">
        <f t="shared" si="28"/>
        <v>2018</v>
      </c>
      <c r="U1803" s="274">
        <f>VLOOKUP(A1803,'[1]SB35 Determination Data'!$B$4:$F$542,5,FALSE)</f>
        <v>2014</v>
      </c>
    </row>
    <row r="1804" spans="1:21" s="274" customFormat="1" ht="12.75" x14ac:dyDescent="0.2">
      <c r="A1804" s="274" t="s">
        <v>436</v>
      </c>
      <c r="B1804" s="274" t="s">
        <v>436</v>
      </c>
      <c r="C1804" s="274" t="s">
        <v>649</v>
      </c>
      <c r="D1804" s="295">
        <v>2018</v>
      </c>
      <c r="E1804" s="274" t="s">
        <v>650</v>
      </c>
      <c r="F1804" s="291">
        <v>83</v>
      </c>
      <c r="G1804" s="285">
        <v>0</v>
      </c>
      <c r="H1804" s="291">
        <v>0</v>
      </c>
      <c r="I1804" s="291">
        <v>0</v>
      </c>
      <c r="J1804" s="291">
        <v>59</v>
      </c>
      <c r="K1804" s="284">
        <v>0</v>
      </c>
      <c r="L1804" s="291">
        <v>0</v>
      </c>
      <c r="M1804" s="291">
        <v>0</v>
      </c>
      <c r="N1804" s="291">
        <v>66</v>
      </c>
      <c r="O1804" s="291">
        <v>10</v>
      </c>
      <c r="P1804" s="274">
        <v>155</v>
      </c>
      <c r="Q1804" s="274">
        <v>19</v>
      </c>
      <c r="R1804" s="274">
        <v>363</v>
      </c>
      <c r="S1804" s="274">
        <v>29</v>
      </c>
      <c r="T1804" s="287">
        <f t="shared" si="28"/>
        <v>2018</v>
      </c>
      <c r="U1804" s="274">
        <f>VLOOKUP(A1804,'[1]SB35 Determination Data'!$B$4:$F$542,5,FALSE)</f>
        <v>2014</v>
      </c>
    </row>
    <row r="1805" spans="1:21" s="274" customFormat="1" ht="12.75" x14ac:dyDescent="0.2">
      <c r="A1805" s="274" t="s">
        <v>581</v>
      </c>
      <c r="B1805" s="274" t="s">
        <v>436</v>
      </c>
      <c r="C1805" s="274" t="s">
        <v>649</v>
      </c>
      <c r="D1805" s="295">
        <v>2018</v>
      </c>
      <c r="E1805" s="274" t="s">
        <v>650</v>
      </c>
      <c r="F1805" s="291">
        <v>1240</v>
      </c>
      <c r="G1805" s="285">
        <v>0</v>
      </c>
      <c r="H1805" s="291">
        <v>0</v>
      </c>
      <c r="I1805" s="291">
        <v>0</v>
      </c>
      <c r="J1805" s="291">
        <v>879</v>
      </c>
      <c r="K1805" s="284">
        <v>0</v>
      </c>
      <c r="L1805" s="291">
        <v>0</v>
      </c>
      <c r="M1805" s="291">
        <v>0</v>
      </c>
      <c r="N1805" s="291">
        <v>979</v>
      </c>
      <c r="O1805" s="291">
        <v>0</v>
      </c>
      <c r="P1805" s="274">
        <v>2174</v>
      </c>
      <c r="Q1805" s="274">
        <v>606</v>
      </c>
      <c r="R1805" s="274">
        <v>5272</v>
      </c>
      <c r="S1805" s="274">
        <v>606</v>
      </c>
      <c r="T1805" s="287">
        <f t="shared" si="28"/>
        <v>2018</v>
      </c>
      <c r="U1805" s="274">
        <f>VLOOKUP(A1805,'[1]SB35 Determination Data'!$B$4:$F$542,5,FALSE)</f>
        <v>2014</v>
      </c>
    </row>
    <row r="1806" spans="1:21" s="274" customFormat="1" ht="12.75" x14ac:dyDescent="0.2">
      <c r="A1806" s="274" t="s">
        <v>381</v>
      </c>
      <c r="B1806" s="274" t="s">
        <v>125</v>
      </c>
      <c r="C1806" s="274" t="s">
        <v>531</v>
      </c>
      <c r="D1806" s="295">
        <v>2018</v>
      </c>
      <c r="E1806" s="274" t="s">
        <v>650</v>
      </c>
      <c r="F1806" s="291">
        <v>111</v>
      </c>
      <c r="G1806" s="285">
        <v>0</v>
      </c>
      <c r="H1806" s="291">
        <v>0</v>
      </c>
      <c r="I1806" s="291">
        <v>0</v>
      </c>
      <c r="J1806" s="291">
        <v>86</v>
      </c>
      <c r="K1806" s="284">
        <v>1</v>
      </c>
      <c r="L1806" s="291">
        <v>0</v>
      </c>
      <c r="M1806" s="291">
        <v>1</v>
      </c>
      <c r="N1806" s="291">
        <v>105</v>
      </c>
      <c r="O1806" s="291">
        <v>1</v>
      </c>
      <c r="P1806" s="274">
        <v>367</v>
      </c>
      <c r="Q1806" s="274">
        <v>0</v>
      </c>
      <c r="R1806" s="274">
        <v>669</v>
      </c>
      <c r="S1806" s="274">
        <v>2</v>
      </c>
      <c r="T1806" s="287">
        <f t="shared" si="28"/>
        <v>2018</v>
      </c>
      <c r="U1806" s="274">
        <f>VLOOKUP(A1806,'[1]SB35 Determination Data'!$B$4:$F$542,5,FALSE)</f>
        <v>2016</v>
      </c>
    </row>
    <row r="1807" spans="1:21" s="274" customFormat="1" ht="12.75" x14ac:dyDescent="0.2">
      <c r="A1807" s="274" t="s">
        <v>299</v>
      </c>
      <c r="B1807" s="274" t="s">
        <v>120</v>
      </c>
      <c r="C1807" s="274" t="s">
        <v>654</v>
      </c>
      <c r="D1807" s="295">
        <v>2018</v>
      </c>
      <c r="E1807" s="274" t="s">
        <v>650</v>
      </c>
      <c r="F1807" s="291">
        <v>84</v>
      </c>
      <c r="G1807" s="285">
        <v>0</v>
      </c>
      <c r="H1807" s="291">
        <v>0</v>
      </c>
      <c r="I1807" s="291">
        <v>0</v>
      </c>
      <c r="J1807" s="291">
        <v>47</v>
      </c>
      <c r="K1807" s="284">
        <v>0</v>
      </c>
      <c r="L1807" s="291">
        <v>0</v>
      </c>
      <c r="M1807" s="291">
        <v>0</v>
      </c>
      <c r="N1807" s="291">
        <v>54</v>
      </c>
      <c r="O1807" s="291">
        <v>4</v>
      </c>
      <c r="P1807" s="274">
        <v>42</v>
      </c>
      <c r="Q1807" s="274">
        <v>51</v>
      </c>
      <c r="R1807" s="274">
        <v>227</v>
      </c>
      <c r="S1807" s="274">
        <v>55</v>
      </c>
      <c r="T1807" s="287">
        <f t="shared" si="28"/>
        <v>2018</v>
      </c>
      <c r="U1807" s="274">
        <f>VLOOKUP(A1807,'[1]SB35 Determination Data'!$B$4:$F$542,5,FALSE)</f>
        <v>2015</v>
      </c>
    </row>
    <row r="1808" spans="1:21" s="274" customFormat="1" ht="12.75" x14ac:dyDescent="0.2">
      <c r="A1808" s="274" t="s">
        <v>388</v>
      </c>
      <c r="B1808" s="274" t="s">
        <v>143</v>
      </c>
      <c r="C1808" s="274" t="s">
        <v>660</v>
      </c>
      <c r="D1808" s="295">
        <v>2018</v>
      </c>
      <c r="E1808" s="274" t="s">
        <v>650</v>
      </c>
      <c r="F1808" s="291">
        <v>20</v>
      </c>
      <c r="G1808" s="285">
        <v>0</v>
      </c>
      <c r="H1808" s="291">
        <v>0</v>
      </c>
      <c r="I1808" s="291">
        <v>0</v>
      </c>
      <c r="J1808" s="291">
        <v>10</v>
      </c>
      <c r="K1808" s="284">
        <v>33</v>
      </c>
      <c r="L1808" s="291">
        <v>33</v>
      </c>
      <c r="M1808" s="291">
        <v>0</v>
      </c>
      <c r="N1808" s="274">
        <v>14</v>
      </c>
      <c r="O1808" s="291">
        <v>13</v>
      </c>
      <c r="P1808" s="274">
        <v>36</v>
      </c>
      <c r="Q1808" s="274">
        <v>0</v>
      </c>
      <c r="R1808" s="274">
        <v>80</v>
      </c>
      <c r="S1808" s="274">
        <v>46</v>
      </c>
      <c r="T1808" s="287">
        <f t="shared" si="28"/>
        <v>2018</v>
      </c>
      <c r="U1808" s="274">
        <f>VLOOKUP(A1808,'[1]SB35 Determination Data'!$B$4:$F$542,5,FALSE)</f>
        <v>2014</v>
      </c>
    </row>
    <row r="1809" spans="1:21" s="274" customFormat="1" ht="12.75" x14ac:dyDescent="0.2">
      <c r="A1809" s="274" t="s">
        <v>242</v>
      </c>
      <c r="B1809" s="274" t="s">
        <v>109</v>
      </c>
      <c r="C1809" s="274" t="s">
        <v>717</v>
      </c>
      <c r="D1809" s="295">
        <v>2018</v>
      </c>
      <c r="E1809" s="274" t="s">
        <v>650</v>
      </c>
      <c r="F1809" s="291">
        <v>419</v>
      </c>
      <c r="G1809" s="285">
        <v>0</v>
      </c>
      <c r="H1809" s="291">
        <v>0</v>
      </c>
      <c r="I1809" s="291">
        <v>0</v>
      </c>
      <c r="J1809" s="291">
        <v>284</v>
      </c>
      <c r="K1809" s="284">
        <v>0</v>
      </c>
      <c r="L1809" s="291">
        <v>0</v>
      </c>
      <c r="M1809" s="291">
        <v>0</v>
      </c>
      <c r="N1809" s="291">
        <v>306</v>
      </c>
      <c r="O1809" s="291">
        <v>0</v>
      </c>
      <c r="P1809" s="274">
        <v>784</v>
      </c>
      <c r="Q1809" s="274">
        <v>9</v>
      </c>
      <c r="R1809" s="274">
        <v>1793</v>
      </c>
      <c r="S1809" s="274">
        <v>9</v>
      </c>
      <c r="T1809" s="287">
        <f t="shared" si="28"/>
        <v>2018</v>
      </c>
      <c r="U1809" s="274">
        <f>VLOOKUP(A1809,'[1]SB35 Determination Data'!$B$4:$F$542,5,FALSE)</f>
        <v>2014</v>
      </c>
    </row>
    <row r="1810" spans="1:21" s="274" customFormat="1" ht="12.75" x14ac:dyDescent="0.2">
      <c r="A1810" s="274" t="s">
        <v>582</v>
      </c>
      <c r="B1810" s="274" t="s">
        <v>743</v>
      </c>
      <c r="C1810" s="274" t="s">
        <v>649</v>
      </c>
      <c r="D1810" s="295">
        <v>2018</v>
      </c>
      <c r="E1810" s="274" t="s">
        <v>650</v>
      </c>
      <c r="F1810" s="291">
        <v>1688</v>
      </c>
      <c r="G1810" s="285">
        <v>51</v>
      </c>
      <c r="H1810" s="291">
        <v>51</v>
      </c>
      <c r="I1810" s="291">
        <v>0</v>
      </c>
      <c r="J1810" s="291">
        <v>1160</v>
      </c>
      <c r="K1810" s="284">
        <v>230</v>
      </c>
      <c r="L1810" s="291">
        <v>229</v>
      </c>
      <c r="M1810" s="291">
        <v>1</v>
      </c>
      <c r="N1810" s="274">
        <v>1351</v>
      </c>
      <c r="O1810" s="291">
        <v>0</v>
      </c>
      <c r="P1810" s="274">
        <v>3102</v>
      </c>
      <c r="Q1810" s="274">
        <v>146</v>
      </c>
      <c r="R1810" s="274">
        <v>7301</v>
      </c>
      <c r="S1810" s="274">
        <v>427</v>
      </c>
      <c r="T1810" s="287">
        <f t="shared" si="28"/>
        <v>2018</v>
      </c>
      <c r="U1810" s="274">
        <f>VLOOKUP(A1810,'[1]SB35 Determination Data'!$B$4:$F$542,5,FALSE)</f>
        <v>2014</v>
      </c>
    </row>
    <row r="1811" spans="1:21" s="274" customFormat="1" ht="12.75" x14ac:dyDescent="0.2">
      <c r="A1811" s="274" t="s">
        <v>585</v>
      </c>
      <c r="B1811" s="274" t="s">
        <v>595</v>
      </c>
      <c r="C1811" s="274" t="s">
        <v>654</v>
      </c>
      <c r="D1811" s="295">
        <v>2018</v>
      </c>
      <c r="E1811" s="274" t="s">
        <v>650</v>
      </c>
      <c r="F1811" s="291">
        <v>121</v>
      </c>
      <c r="G1811" s="285">
        <v>0</v>
      </c>
      <c r="H1811" s="291">
        <v>0</v>
      </c>
      <c r="I1811" s="291">
        <v>0</v>
      </c>
      <c r="J1811" s="291">
        <v>68</v>
      </c>
      <c r="K1811" s="284">
        <v>0</v>
      </c>
      <c r="L1811" s="291">
        <v>0</v>
      </c>
      <c r="M1811" s="291">
        <v>0</v>
      </c>
      <c r="N1811" s="291">
        <v>70</v>
      </c>
      <c r="O1811" s="291">
        <v>0</v>
      </c>
      <c r="P1811" s="274">
        <v>154</v>
      </c>
      <c r="Q1811" s="274">
        <v>26</v>
      </c>
      <c r="R1811" s="274">
        <v>413</v>
      </c>
      <c r="S1811" s="274">
        <v>26</v>
      </c>
      <c r="T1811" s="287">
        <f t="shared" si="28"/>
        <v>2018</v>
      </c>
      <c r="U1811" s="274">
        <f>VLOOKUP(A1811,'[1]SB35 Determination Data'!$B$4:$F$542,5,FALSE)</f>
        <v>2015</v>
      </c>
    </row>
    <row r="1812" spans="1:21" s="274" customFormat="1" ht="12.75" x14ac:dyDescent="0.2">
      <c r="A1812" s="274" t="s">
        <v>586</v>
      </c>
      <c r="B1812" s="274" t="s">
        <v>481</v>
      </c>
      <c r="C1812" s="274" t="s">
        <v>649</v>
      </c>
      <c r="D1812" s="295">
        <v>2018</v>
      </c>
      <c r="E1812" s="274" t="s">
        <v>650</v>
      </c>
      <c r="F1812" s="291">
        <v>98</v>
      </c>
      <c r="G1812" s="285"/>
      <c r="H1812" s="291"/>
      <c r="I1812" s="291"/>
      <c r="J1812" s="291">
        <v>67</v>
      </c>
      <c r="K1812" s="284"/>
      <c r="L1812" s="291"/>
      <c r="M1812" s="291"/>
      <c r="N1812" s="291">
        <v>76</v>
      </c>
      <c r="O1812" s="291"/>
      <c r="P1812" s="274">
        <v>172</v>
      </c>
      <c r="R1812" s="274">
        <v>413</v>
      </c>
      <c r="T1812" s="287">
        <f t="shared" si="28"/>
        <v>2018</v>
      </c>
      <c r="U1812" s="274">
        <f>VLOOKUP(A1812,'[1]SB35 Determination Data'!$B$4:$F$542,5,FALSE)</f>
        <v>2014</v>
      </c>
    </row>
    <row r="1813" spans="1:21" s="274" customFormat="1" ht="12.75" x14ac:dyDescent="0.2">
      <c r="A1813" s="274" t="s">
        <v>588</v>
      </c>
      <c r="B1813" s="274" t="s">
        <v>614</v>
      </c>
      <c r="C1813" s="274" t="s">
        <v>654</v>
      </c>
      <c r="D1813" s="295">
        <v>2018</v>
      </c>
      <c r="E1813" s="274" t="s">
        <v>650</v>
      </c>
      <c r="F1813" s="291">
        <v>691</v>
      </c>
      <c r="G1813" s="285">
        <v>0</v>
      </c>
      <c r="H1813" s="291">
        <v>0</v>
      </c>
      <c r="I1813" s="291">
        <v>0</v>
      </c>
      <c r="J1813" s="291">
        <v>432</v>
      </c>
      <c r="K1813" s="284">
        <v>0</v>
      </c>
      <c r="L1813" s="291">
        <v>0</v>
      </c>
      <c r="M1813" s="291">
        <v>0</v>
      </c>
      <c r="N1813" s="291">
        <v>278</v>
      </c>
      <c r="O1813" s="291">
        <v>0</v>
      </c>
      <c r="P1813" s="274">
        <v>587</v>
      </c>
      <c r="Q1813" s="274">
        <v>54</v>
      </c>
      <c r="R1813" s="274">
        <v>1988</v>
      </c>
      <c r="S1813" s="274">
        <v>54</v>
      </c>
      <c r="T1813" s="287">
        <f t="shared" si="28"/>
        <v>2018</v>
      </c>
      <c r="U1813" s="274">
        <f>VLOOKUP(A1813,'[1]SB35 Determination Data'!$B$4:$F$542,5,FALSE)</f>
        <v>2015</v>
      </c>
    </row>
    <row r="1814" spans="1:21" s="274" customFormat="1" ht="12.75" x14ac:dyDescent="0.2">
      <c r="A1814" s="274" t="s">
        <v>490</v>
      </c>
      <c r="B1814" s="274" t="s">
        <v>262</v>
      </c>
      <c r="C1814" s="274" t="s">
        <v>649</v>
      </c>
      <c r="D1814" s="295">
        <v>2018</v>
      </c>
      <c r="E1814" s="274" t="s">
        <v>650</v>
      </c>
      <c r="F1814" s="291">
        <v>26</v>
      </c>
      <c r="G1814" s="285">
        <v>0</v>
      </c>
      <c r="H1814" s="291">
        <v>0</v>
      </c>
      <c r="I1814" s="291">
        <v>0</v>
      </c>
      <c r="J1814" s="291">
        <v>16</v>
      </c>
      <c r="K1814" s="284">
        <v>0</v>
      </c>
      <c r="L1814" s="291">
        <v>0</v>
      </c>
      <c r="M1814" s="291">
        <v>0</v>
      </c>
      <c r="N1814" s="291">
        <v>17</v>
      </c>
      <c r="O1814" s="291">
        <v>0</v>
      </c>
      <c r="P1814" s="274">
        <v>46</v>
      </c>
      <c r="Q1814" s="274">
        <v>43</v>
      </c>
      <c r="R1814" s="274">
        <v>105</v>
      </c>
      <c r="S1814" s="274">
        <v>43</v>
      </c>
      <c r="T1814" s="287">
        <f t="shared" si="28"/>
        <v>2018</v>
      </c>
      <c r="U1814" s="274">
        <f>VLOOKUP(A1814,'[1]SB35 Determination Data'!$B$4:$F$542,5,FALSE)</f>
        <v>2014</v>
      </c>
    </row>
    <row r="1815" spans="1:21" s="274" customFormat="1" ht="12.75" x14ac:dyDescent="0.2">
      <c r="A1815" s="274" t="s">
        <v>491</v>
      </c>
      <c r="B1815" s="274" t="s">
        <v>262</v>
      </c>
      <c r="C1815" s="274" t="s">
        <v>649</v>
      </c>
      <c r="D1815" s="295">
        <v>2018</v>
      </c>
      <c r="E1815" s="274" t="s">
        <v>650</v>
      </c>
      <c r="F1815" s="291">
        <v>340</v>
      </c>
      <c r="G1815" s="285">
        <v>1</v>
      </c>
      <c r="H1815" s="291">
        <v>1</v>
      </c>
      <c r="I1815" s="291">
        <v>0</v>
      </c>
      <c r="J1815" s="291">
        <v>207</v>
      </c>
      <c r="K1815" s="284">
        <v>0</v>
      </c>
      <c r="L1815" s="291">
        <v>0</v>
      </c>
      <c r="M1815" s="291">
        <v>0</v>
      </c>
      <c r="N1815" s="274">
        <v>224</v>
      </c>
      <c r="O1815" s="291">
        <v>0</v>
      </c>
      <c r="P1815" s="274">
        <v>561</v>
      </c>
      <c r="Q1815" s="274">
        <v>535</v>
      </c>
      <c r="R1815" s="274">
        <v>1332</v>
      </c>
      <c r="S1815" s="274">
        <v>536</v>
      </c>
      <c r="T1815" s="287">
        <f t="shared" si="28"/>
        <v>2018</v>
      </c>
      <c r="U1815" s="274">
        <f>VLOOKUP(A1815,'[1]SB35 Determination Data'!$B$4:$F$542,5,FALSE)</f>
        <v>2014</v>
      </c>
    </row>
    <row r="1816" spans="1:21" s="274" customFormat="1" ht="12.75" x14ac:dyDescent="0.2">
      <c r="A1816" s="274" t="s">
        <v>590</v>
      </c>
      <c r="B1816" s="274" t="s">
        <v>583</v>
      </c>
      <c r="C1816" s="274" t="s">
        <v>660</v>
      </c>
      <c r="D1816" s="295">
        <v>2018</v>
      </c>
      <c r="E1816" s="274" t="s">
        <v>650</v>
      </c>
      <c r="F1816" s="291">
        <v>123</v>
      </c>
      <c r="G1816" s="285">
        <v>54</v>
      </c>
      <c r="H1816" s="291">
        <v>54</v>
      </c>
      <c r="I1816" s="291">
        <v>0</v>
      </c>
      <c r="J1816" s="291">
        <v>77</v>
      </c>
      <c r="K1816" s="284">
        <v>21</v>
      </c>
      <c r="L1816" s="291">
        <v>21</v>
      </c>
      <c r="M1816" s="291">
        <v>0</v>
      </c>
      <c r="N1816" s="291">
        <v>87</v>
      </c>
      <c r="O1816" s="291">
        <v>13</v>
      </c>
      <c r="P1816" s="274">
        <v>206</v>
      </c>
      <c r="Q1816" s="274">
        <v>12</v>
      </c>
      <c r="R1816" s="274">
        <v>493</v>
      </c>
      <c r="S1816" s="274">
        <v>100</v>
      </c>
      <c r="T1816" s="287">
        <f t="shared" si="28"/>
        <v>2018</v>
      </c>
      <c r="U1816" s="274">
        <f>VLOOKUP(A1816,'[1]SB35 Determination Data'!$B$4:$F$542,5,FALSE)</f>
        <v>2014</v>
      </c>
    </row>
    <row r="1817" spans="1:21" s="274" customFormat="1" ht="12.75" x14ac:dyDescent="0.2">
      <c r="A1817" s="274" t="s">
        <v>592</v>
      </c>
      <c r="B1817" s="274" t="s">
        <v>481</v>
      </c>
      <c r="C1817" s="274" t="s">
        <v>649</v>
      </c>
      <c r="D1817" s="295">
        <v>2018</v>
      </c>
      <c r="E1817" s="274" t="s">
        <v>650</v>
      </c>
      <c r="F1817" s="291">
        <v>1026</v>
      </c>
      <c r="G1817" s="285"/>
      <c r="H1817" s="291"/>
      <c r="I1817" s="291"/>
      <c r="J1817" s="291">
        <v>681</v>
      </c>
      <c r="K1817" s="284"/>
      <c r="L1817" s="291"/>
      <c r="M1817" s="291"/>
      <c r="N1817" s="291">
        <v>759</v>
      </c>
      <c r="O1817" s="291"/>
      <c r="P1817" s="274">
        <v>1814</v>
      </c>
      <c r="R1817" s="274">
        <v>4280</v>
      </c>
      <c r="T1817" s="287">
        <f t="shared" si="28"/>
        <v>2018</v>
      </c>
      <c r="U1817" s="274">
        <f>VLOOKUP(A1817,'[1]SB35 Determination Data'!$B$4:$F$542,5,FALSE)</f>
        <v>2014</v>
      </c>
    </row>
    <row r="1818" spans="1:21" s="274" customFormat="1" ht="12.75" x14ac:dyDescent="0.2">
      <c r="A1818" s="274" t="s">
        <v>593</v>
      </c>
      <c r="B1818" s="274" t="s">
        <v>669</v>
      </c>
      <c r="C1818" s="274" t="s">
        <v>654</v>
      </c>
      <c r="D1818" s="295">
        <v>2018</v>
      </c>
      <c r="E1818" s="274" t="s">
        <v>650</v>
      </c>
      <c r="F1818" s="291">
        <v>199</v>
      </c>
      <c r="G1818" s="285">
        <v>0</v>
      </c>
      <c r="H1818" s="291">
        <v>0</v>
      </c>
      <c r="I1818" s="291">
        <v>0</v>
      </c>
      <c r="J1818" s="291">
        <v>103</v>
      </c>
      <c r="K1818" s="284">
        <v>4</v>
      </c>
      <c r="L1818" s="291">
        <v>4</v>
      </c>
      <c r="M1818" s="291">
        <v>0</v>
      </c>
      <c r="N1818" s="291">
        <v>121</v>
      </c>
      <c r="O1818" s="291">
        <v>31</v>
      </c>
      <c r="P1818" s="274">
        <v>322</v>
      </c>
      <c r="Q1818" s="274">
        <v>77</v>
      </c>
      <c r="R1818" s="274">
        <v>745</v>
      </c>
      <c r="S1818" s="274">
        <v>112</v>
      </c>
      <c r="T1818" s="287">
        <f t="shared" si="28"/>
        <v>2018</v>
      </c>
      <c r="U1818" s="274">
        <f>VLOOKUP(A1818,'[1]SB35 Determination Data'!$B$4:$F$542,5,FALSE)</f>
        <v>2015</v>
      </c>
    </row>
    <row r="1819" spans="1:21" s="274" customFormat="1" ht="12.75" x14ac:dyDescent="0.2">
      <c r="A1819" s="274" t="s">
        <v>187</v>
      </c>
      <c r="B1819" s="274" t="s">
        <v>40</v>
      </c>
      <c r="C1819" s="274" t="s">
        <v>654</v>
      </c>
      <c r="D1819" s="295">
        <v>2018</v>
      </c>
      <c r="E1819" s="274" t="s">
        <v>650</v>
      </c>
      <c r="F1819" s="291">
        <v>24</v>
      </c>
      <c r="G1819" s="285">
        <v>0</v>
      </c>
      <c r="H1819" s="291">
        <v>0</v>
      </c>
      <c r="I1819" s="291">
        <v>0</v>
      </c>
      <c r="J1819" s="291">
        <v>14</v>
      </c>
      <c r="K1819" s="284">
        <v>4</v>
      </c>
      <c r="L1819" s="291">
        <v>0</v>
      </c>
      <c r="M1819" s="291">
        <v>4</v>
      </c>
      <c r="N1819" s="291">
        <v>15</v>
      </c>
      <c r="O1819" s="291">
        <v>2</v>
      </c>
      <c r="P1819" s="274">
        <v>7</v>
      </c>
      <c r="Q1819" s="274">
        <v>8</v>
      </c>
      <c r="R1819" s="274">
        <v>60</v>
      </c>
      <c r="S1819" s="274">
        <v>14</v>
      </c>
      <c r="T1819" s="287">
        <f t="shared" si="28"/>
        <v>2018</v>
      </c>
      <c r="U1819" s="274">
        <f>VLOOKUP(A1819,'[1]SB35 Determination Data'!$B$4:$F$542,5,FALSE)</f>
        <v>2015</v>
      </c>
    </row>
    <row r="1820" spans="1:21" s="274" customFormat="1" ht="12.75" x14ac:dyDescent="0.2">
      <c r="A1820" s="274" t="s">
        <v>596</v>
      </c>
      <c r="B1820" s="274" t="s">
        <v>583</v>
      </c>
      <c r="C1820" s="274" t="s">
        <v>660</v>
      </c>
      <c r="D1820" s="295">
        <v>2018</v>
      </c>
      <c r="E1820" s="274" t="s">
        <v>650</v>
      </c>
      <c r="F1820" s="291">
        <v>38</v>
      </c>
      <c r="G1820" s="285">
        <v>0</v>
      </c>
      <c r="H1820" s="291">
        <v>0</v>
      </c>
      <c r="I1820" s="291">
        <v>0</v>
      </c>
      <c r="J1820" s="291">
        <v>24</v>
      </c>
      <c r="K1820" s="284">
        <v>0</v>
      </c>
      <c r="L1820" s="291">
        <v>0</v>
      </c>
      <c r="M1820" s="291">
        <v>0</v>
      </c>
      <c r="N1820" s="291">
        <v>27</v>
      </c>
      <c r="O1820" s="291">
        <v>0</v>
      </c>
      <c r="P1820" s="274">
        <v>64</v>
      </c>
      <c r="Q1820" s="274">
        <v>10</v>
      </c>
      <c r="R1820" s="274">
        <v>153</v>
      </c>
      <c r="S1820" s="274">
        <v>10</v>
      </c>
      <c r="T1820" s="287">
        <f t="shared" si="28"/>
        <v>2018</v>
      </c>
      <c r="U1820" s="274">
        <f>VLOOKUP(A1820,'[1]SB35 Determination Data'!$B$4:$F$542,5,FALSE)</f>
        <v>2014</v>
      </c>
    </row>
    <row r="1821" spans="1:21" s="274" customFormat="1" ht="12.75" x14ac:dyDescent="0.2">
      <c r="A1821" s="274" t="s">
        <v>306</v>
      </c>
      <c r="B1821" s="274" t="s">
        <v>120</v>
      </c>
      <c r="C1821" s="274" t="s">
        <v>654</v>
      </c>
      <c r="D1821" s="295">
        <v>2018</v>
      </c>
      <c r="E1821" s="274" t="s">
        <v>650</v>
      </c>
      <c r="F1821" s="291">
        <v>392</v>
      </c>
      <c r="G1821" s="285">
        <v>23</v>
      </c>
      <c r="H1821" s="291">
        <v>23</v>
      </c>
      <c r="I1821" s="291">
        <v>0</v>
      </c>
      <c r="J1821" s="291">
        <v>254</v>
      </c>
      <c r="K1821" s="284">
        <v>208</v>
      </c>
      <c r="L1821" s="291">
        <v>205</v>
      </c>
      <c r="M1821" s="291">
        <v>3</v>
      </c>
      <c r="N1821" s="291">
        <v>316</v>
      </c>
      <c r="O1821" s="291">
        <v>48</v>
      </c>
      <c r="P1821" s="274">
        <v>1063</v>
      </c>
      <c r="Q1821" s="274">
        <v>68</v>
      </c>
      <c r="R1821" s="274">
        <v>2025</v>
      </c>
      <c r="S1821" s="274">
        <v>347</v>
      </c>
      <c r="T1821" s="287">
        <f t="shared" si="28"/>
        <v>2018</v>
      </c>
      <c r="U1821" s="274">
        <f>VLOOKUP(A1821,'[1]SB35 Determination Data'!$B$4:$F$542,5,FALSE)</f>
        <v>2015</v>
      </c>
    </row>
    <row r="1822" spans="1:21" s="274" customFormat="1" ht="12.75" x14ac:dyDescent="0.2">
      <c r="A1822" s="274" t="s">
        <v>597</v>
      </c>
      <c r="B1822" s="274" t="s">
        <v>436</v>
      </c>
      <c r="C1822" s="274" t="s">
        <v>649</v>
      </c>
      <c r="D1822" s="295">
        <v>2018</v>
      </c>
      <c r="E1822" s="274" t="s">
        <v>650</v>
      </c>
      <c r="F1822" s="291">
        <v>112</v>
      </c>
      <c r="G1822" s="285">
        <v>49</v>
      </c>
      <c r="H1822" s="291">
        <v>49</v>
      </c>
      <c r="I1822" s="291">
        <v>0</v>
      </c>
      <c r="J1822" s="291">
        <v>81</v>
      </c>
      <c r="K1822" s="284">
        <v>0</v>
      </c>
      <c r="L1822" s="291">
        <v>0</v>
      </c>
      <c r="M1822" s="291">
        <v>0</v>
      </c>
      <c r="N1822" s="291">
        <v>90</v>
      </c>
      <c r="O1822" s="291">
        <v>2</v>
      </c>
      <c r="P1822" s="274">
        <v>209</v>
      </c>
      <c r="Q1822" s="274">
        <v>3</v>
      </c>
      <c r="R1822" s="274">
        <v>492</v>
      </c>
      <c r="S1822" s="274">
        <v>54</v>
      </c>
      <c r="T1822" s="287">
        <f t="shared" si="28"/>
        <v>2018</v>
      </c>
      <c r="U1822" s="274">
        <f>VLOOKUP(A1822,'[1]SB35 Determination Data'!$B$4:$F$542,5,FALSE)</f>
        <v>2014</v>
      </c>
    </row>
    <row r="1823" spans="1:21" s="274" customFormat="1" ht="12.75" x14ac:dyDescent="0.2">
      <c r="A1823" s="274" t="s">
        <v>598</v>
      </c>
      <c r="B1823" s="274" t="s">
        <v>451</v>
      </c>
      <c r="C1823" s="274" t="s">
        <v>685</v>
      </c>
      <c r="D1823" s="295">
        <v>2018</v>
      </c>
      <c r="E1823" s="274" t="s">
        <v>650</v>
      </c>
      <c r="F1823" s="291">
        <v>1365</v>
      </c>
      <c r="G1823" s="285">
        <v>0</v>
      </c>
      <c r="H1823" s="291">
        <v>0</v>
      </c>
      <c r="I1823" s="291">
        <v>0</v>
      </c>
      <c r="J1823" s="291">
        <v>957</v>
      </c>
      <c r="K1823" s="284">
        <v>1</v>
      </c>
      <c r="L1823" s="291">
        <v>1</v>
      </c>
      <c r="M1823" s="291">
        <v>0</v>
      </c>
      <c r="N1823" s="291">
        <v>936</v>
      </c>
      <c r="O1823" s="291">
        <v>48</v>
      </c>
      <c r="P1823" s="274">
        <v>1773</v>
      </c>
      <c r="Q1823" s="274">
        <v>290</v>
      </c>
      <c r="R1823" s="274">
        <v>5031</v>
      </c>
      <c r="S1823" s="274">
        <v>339</v>
      </c>
      <c r="T1823" s="287">
        <f t="shared" si="28"/>
        <v>2018</v>
      </c>
      <c r="U1823" s="274">
        <f>VLOOKUP(A1823,'[1]SB35 Determination Data'!$B$4:$F$542,5,FALSE)</f>
        <v>2014</v>
      </c>
    </row>
    <row r="1824" spans="1:21" s="274" customFormat="1" ht="12.75" x14ac:dyDescent="0.2">
      <c r="A1824" s="274" t="s">
        <v>343</v>
      </c>
      <c r="B1824" s="274" t="s">
        <v>123</v>
      </c>
      <c r="C1824" s="274" t="s">
        <v>685</v>
      </c>
      <c r="D1824" s="295">
        <v>2018</v>
      </c>
      <c r="E1824" s="274" t="s">
        <v>650</v>
      </c>
      <c r="F1824" s="291">
        <v>78</v>
      </c>
      <c r="G1824" s="285">
        <v>0</v>
      </c>
      <c r="H1824" s="291">
        <v>0</v>
      </c>
      <c r="I1824" s="291">
        <v>0</v>
      </c>
      <c r="J1824" s="291">
        <v>55</v>
      </c>
      <c r="K1824" s="284">
        <v>0</v>
      </c>
      <c r="L1824" s="291">
        <v>0</v>
      </c>
      <c r="M1824" s="291">
        <v>0</v>
      </c>
      <c r="N1824" s="291">
        <v>69</v>
      </c>
      <c r="O1824" s="291">
        <v>7</v>
      </c>
      <c r="P1824" s="274">
        <v>170</v>
      </c>
      <c r="Q1824" s="274">
        <v>18</v>
      </c>
      <c r="R1824" s="274">
        <v>372</v>
      </c>
      <c r="S1824" s="274">
        <v>25</v>
      </c>
      <c r="T1824" s="287">
        <f t="shared" si="28"/>
        <v>2018</v>
      </c>
      <c r="U1824" s="274">
        <f>VLOOKUP(A1824,'[1]SB35 Determination Data'!$B$4:$F$542,5,FALSE)</f>
        <v>2014</v>
      </c>
    </row>
    <row r="1825" spans="1:21" s="274" customFormat="1" ht="12.75" x14ac:dyDescent="0.2">
      <c r="A1825" s="274" t="s">
        <v>309</v>
      </c>
      <c r="B1825" s="274" t="s">
        <v>120</v>
      </c>
      <c r="C1825" s="274" t="s">
        <v>654</v>
      </c>
      <c r="D1825" s="295">
        <v>2018</v>
      </c>
      <c r="E1825" s="274" t="s">
        <v>650</v>
      </c>
      <c r="F1825" s="291">
        <v>118</v>
      </c>
      <c r="G1825" s="285">
        <v>0</v>
      </c>
      <c r="H1825" s="291">
        <v>0</v>
      </c>
      <c r="I1825" s="291">
        <v>0</v>
      </c>
      <c r="J1825" s="291">
        <v>69</v>
      </c>
      <c r="K1825" s="284">
        <v>0</v>
      </c>
      <c r="L1825" s="291">
        <v>0</v>
      </c>
      <c r="M1825" s="291">
        <v>0</v>
      </c>
      <c r="N1825" s="291">
        <v>84</v>
      </c>
      <c r="O1825" s="291">
        <v>9</v>
      </c>
      <c r="P1825" s="274">
        <v>177</v>
      </c>
      <c r="Q1825" s="274">
        <v>39</v>
      </c>
      <c r="R1825" s="274">
        <v>448</v>
      </c>
      <c r="S1825" s="274">
        <v>48</v>
      </c>
      <c r="T1825" s="287">
        <f t="shared" si="28"/>
        <v>2018</v>
      </c>
      <c r="U1825" s="274">
        <f>VLOOKUP(A1825,'[1]SB35 Determination Data'!$B$4:$F$542,5,FALSE)</f>
        <v>2015</v>
      </c>
    </row>
    <row r="1826" spans="1:21" s="274" customFormat="1" ht="12.75" x14ac:dyDescent="0.2">
      <c r="A1826" s="274" t="s">
        <v>190</v>
      </c>
      <c r="B1826" s="274" t="s">
        <v>40</v>
      </c>
      <c r="C1826" s="274" t="s">
        <v>654</v>
      </c>
      <c r="D1826" s="295">
        <v>2018</v>
      </c>
      <c r="E1826" s="274" t="s">
        <v>650</v>
      </c>
      <c r="F1826" s="291">
        <v>716</v>
      </c>
      <c r="G1826" s="285">
        <v>25</v>
      </c>
      <c r="H1826" s="291">
        <v>25</v>
      </c>
      <c r="I1826" s="291">
        <v>0</v>
      </c>
      <c r="J1826" s="291">
        <v>391</v>
      </c>
      <c r="K1826" s="284">
        <v>28</v>
      </c>
      <c r="L1826" s="291">
        <v>28</v>
      </c>
      <c r="M1826" s="291">
        <v>0</v>
      </c>
      <c r="N1826" s="274">
        <v>407</v>
      </c>
      <c r="O1826" s="291">
        <v>7</v>
      </c>
      <c r="P1826" s="274">
        <v>553</v>
      </c>
      <c r="Q1826" s="274">
        <v>38</v>
      </c>
      <c r="R1826" s="274">
        <v>2067</v>
      </c>
      <c r="S1826" s="274">
        <v>98</v>
      </c>
      <c r="T1826" s="287">
        <f t="shared" si="28"/>
        <v>2018</v>
      </c>
      <c r="U1826" s="274">
        <f>VLOOKUP(A1826,'[1]SB35 Determination Data'!$B$4:$F$542,5,FALSE)</f>
        <v>2015</v>
      </c>
    </row>
    <row r="1827" spans="1:21" s="274" customFormat="1" ht="12.75" x14ac:dyDescent="0.2">
      <c r="A1827" s="274" t="s">
        <v>599</v>
      </c>
      <c r="B1827" s="274" t="s">
        <v>467</v>
      </c>
      <c r="C1827" s="274" t="s">
        <v>660</v>
      </c>
      <c r="D1827" s="295">
        <v>2018</v>
      </c>
      <c r="E1827" s="274" t="s">
        <v>650</v>
      </c>
      <c r="F1827" s="291">
        <v>12</v>
      </c>
      <c r="G1827" s="285">
        <v>0</v>
      </c>
      <c r="H1827" s="291">
        <v>0</v>
      </c>
      <c r="I1827" s="291">
        <v>0</v>
      </c>
      <c r="J1827" s="291">
        <v>8</v>
      </c>
      <c r="K1827" s="284">
        <v>0</v>
      </c>
      <c r="L1827" s="291">
        <v>0</v>
      </c>
      <c r="M1827" s="291">
        <v>0</v>
      </c>
      <c r="N1827" s="291">
        <v>12</v>
      </c>
      <c r="O1827" s="291">
        <v>15</v>
      </c>
      <c r="P1827" s="274">
        <v>25</v>
      </c>
      <c r="Q1827" s="274">
        <v>41</v>
      </c>
      <c r="R1827" s="274">
        <v>57</v>
      </c>
      <c r="S1827" s="274">
        <v>56</v>
      </c>
      <c r="T1827" s="287">
        <f t="shared" si="28"/>
        <v>2018</v>
      </c>
      <c r="U1827" s="274">
        <f>VLOOKUP(A1827,'[1]SB35 Determination Data'!$B$4:$F$542,5,FALSE)</f>
        <v>2014</v>
      </c>
    </row>
    <row r="1828" spans="1:21" s="274" customFormat="1" ht="12.75" x14ac:dyDescent="0.2">
      <c r="A1828" s="274" t="s">
        <v>600</v>
      </c>
      <c r="B1828" s="274" t="s">
        <v>334</v>
      </c>
      <c r="C1828" s="274" t="s">
        <v>660</v>
      </c>
      <c r="D1828" s="295">
        <v>2018</v>
      </c>
      <c r="E1828" s="274" t="s">
        <v>650</v>
      </c>
      <c r="F1828" s="291">
        <v>1</v>
      </c>
      <c r="G1828" s="285">
        <v>0</v>
      </c>
      <c r="H1828" s="291">
        <v>0</v>
      </c>
      <c r="I1828" s="291">
        <v>0</v>
      </c>
      <c r="J1828" s="291">
        <v>1</v>
      </c>
      <c r="K1828" s="284">
        <v>0</v>
      </c>
      <c r="L1828" s="291">
        <v>0</v>
      </c>
      <c r="M1828" s="291">
        <v>0</v>
      </c>
      <c r="N1828" s="291">
        <v>1</v>
      </c>
      <c r="O1828" s="291">
        <v>0</v>
      </c>
      <c r="P1828" s="274">
        <v>1</v>
      </c>
      <c r="Q1828" s="274">
        <v>8</v>
      </c>
      <c r="R1828" s="274">
        <v>4</v>
      </c>
      <c r="S1828" s="274">
        <v>8</v>
      </c>
      <c r="T1828" s="287">
        <f t="shared" si="28"/>
        <v>2018</v>
      </c>
      <c r="U1828" s="274">
        <f>VLOOKUP(A1828,'[1]SB35 Determination Data'!$B$4:$F$542,5,FALSE)</f>
        <v>2014</v>
      </c>
    </row>
    <row r="1829" spans="1:21" s="274" customFormat="1" ht="12.75" x14ac:dyDescent="0.2">
      <c r="A1829" s="274" t="s">
        <v>604</v>
      </c>
      <c r="B1829" s="274" t="s">
        <v>743</v>
      </c>
      <c r="C1829" s="274" t="s">
        <v>649</v>
      </c>
      <c r="D1829" s="295">
        <v>2018</v>
      </c>
      <c r="E1829" s="274" t="s">
        <v>650</v>
      </c>
      <c r="F1829" s="291">
        <v>1</v>
      </c>
      <c r="G1829" s="285"/>
      <c r="H1829" s="291"/>
      <c r="I1829" s="291"/>
      <c r="J1829" s="291">
        <v>1</v>
      </c>
      <c r="K1829" s="284"/>
      <c r="L1829" s="291"/>
      <c r="M1829" s="291"/>
      <c r="N1829" s="291">
        <v>0</v>
      </c>
      <c r="O1829" s="291"/>
      <c r="P1829" s="274">
        <v>0</v>
      </c>
      <c r="R1829" s="274">
        <v>2</v>
      </c>
      <c r="T1829" s="287">
        <f t="shared" si="28"/>
        <v>2018</v>
      </c>
      <c r="U1829" s="274">
        <f>VLOOKUP(A1829,'[1]SB35 Determination Data'!$B$4:$F$542,5,FALSE)</f>
        <v>2014</v>
      </c>
    </row>
    <row r="1830" spans="1:21" s="274" customFormat="1" ht="12.75" x14ac:dyDescent="0.2">
      <c r="A1830" s="274" t="s">
        <v>607</v>
      </c>
      <c r="B1830" s="274" t="s">
        <v>595</v>
      </c>
      <c r="C1830" s="274" t="s">
        <v>654</v>
      </c>
      <c r="D1830" s="295">
        <v>2018</v>
      </c>
      <c r="E1830" s="274" t="s">
        <v>650</v>
      </c>
      <c r="F1830" s="291">
        <v>21</v>
      </c>
      <c r="G1830" s="285">
        <v>4</v>
      </c>
      <c r="H1830" s="291">
        <v>0</v>
      </c>
      <c r="I1830" s="291">
        <v>4</v>
      </c>
      <c r="J1830" s="291">
        <v>15</v>
      </c>
      <c r="K1830" s="284">
        <v>1</v>
      </c>
      <c r="L1830" s="291">
        <v>0</v>
      </c>
      <c r="M1830" s="291">
        <v>1</v>
      </c>
      <c r="N1830" s="291">
        <v>15</v>
      </c>
      <c r="O1830" s="291">
        <v>1</v>
      </c>
      <c r="P1830" s="274">
        <v>13</v>
      </c>
      <c r="Q1830" s="274">
        <v>2</v>
      </c>
      <c r="R1830" s="274">
        <v>64</v>
      </c>
      <c r="S1830" s="274">
        <v>8</v>
      </c>
      <c r="T1830" s="287">
        <f t="shared" si="28"/>
        <v>2018</v>
      </c>
      <c r="U1830" s="274">
        <f>VLOOKUP(A1830,'[1]SB35 Determination Data'!$B$4:$F$542,5,FALSE)</f>
        <v>2015</v>
      </c>
    </row>
    <row r="1831" spans="1:21" s="274" customFormat="1" ht="12.75" x14ac:dyDescent="0.2">
      <c r="A1831" s="274" t="s">
        <v>608</v>
      </c>
      <c r="B1831" s="274" t="s">
        <v>557</v>
      </c>
      <c r="C1831" s="274" t="s">
        <v>758</v>
      </c>
      <c r="D1831" s="295">
        <v>2018</v>
      </c>
      <c r="E1831" s="274" t="s">
        <v>650</v>
      </c>
      <c r="F1831" s="291">
        <v>201</v>
      </c>
      <c r="G1831" s="285">
        <v>0</v>
      </c>
      <c r="H1831" s="291">
        <v>0</v>
      </c>
      <c r="I1831" s="291">
        <v>0</v>
      </c>
      <c r="J1831" s="291">
        <v>152</v>
      </c>
      <c r="K1831" s="284">
        <v>0</v>
      </c>
      <c r="L1831" s="291">
        <v>0</v>
      </c>
      <c r="M1831" s="291">
        <v>0</v>
      </c>
      <c r="N1831" s="274">
        <v>282</v>
      </c>
      <c r="O1831" s="291">
        <v>0</v>
      </c>
      <c r="P1831" s="274">
        <v>618</v>
      </c>
      <c r="Q1831" s="274">
        <v>15</v>
      </c>
      <c r="R1831" s="274">
        <v>1253</v>
      </c>
      <c r="S1831" s="274">
        <v>15</v>
      </c>
      <c r="T1831" s="287">
        <f t="shared" si="28"/>
        <v>2018</v>
      </c>
      <c r="U1831" s="274">
        <f>VLOOKUP(A1831,'[1]SB35 Determination Data'!$B$4:$F$542,5,FALSE)</f>
        <v>2013</v>
      </c>
    </row>
    <row r="1832" spans="1:21" s="274" customFormat="1" ht="12.75" x14ac:dyDescent="0.2">
      <c r="A1832" s="274" t="s">
        <v>609</v>
      </c>
      <c r="B1832" s="274" t="s">
        <v>511</v>
      </c>
      <c r="C1832" s="274" t="s">
        <v>685</v>
      </c>
      <c r="D1832" s="295">
        <v>2018</v>
      </c>
      <c r="E1832" s="274" t="s">
        <v>650</v>
      </c>
      <c r="F1832" s="291">
        <v>1539</v>
      </c>
      <c r="G1832" s="285">
        <v>0</v>
      </c>
      <c r="H1832" s="291">
        <v>0</v>
      </c>
      <c r="I1832" s="291">
        <v>0</v>
      </c>
      <c r="J1832" s="291">
        <v>1079</v>
      </c>
      <c r="K1832" s="284">
        <v>0</v>
      </c>
      <c r="L1832" s="291">
        <v>0</v>
      </c>
      <c r="M1832" s="291">
        <v>0</v>
      </c>
      <c r="N1832" s="291">
        <v>1303</v>
      </c>
      <c r="O1832" s="291">
        <v>104</v>
      </c>
      <c r="P1832" s="274">
        <v>3087</v>
      </c>
      <c r="Q1832" s="274">
        <v>142</v>
      </c>
      <c r="R1832" s="274">
        <v>7008</v>
      </c>
      <c r="S1832" s="274">
        <v>246</v>
      </c>
      <c r="T1832" s="287">
        <f t="shared" si="28"/>
        <v>2018</v>
      </c>
      <c r="U1832" s="274">
        <f>VLOOKUP(A1832,'[1]SB35 Determination Data'!$B$4:$F$542,5,FALSE)</f>
        <v>2014</v>
      </c>
    </row>
    <row r="1833" spans="1:21" s="274" customFormat="1" ht="12.75" x14ac:dyDescent="0.2">
      <c r="A1833" s="274" t="s">
        <v>610</v>
      </c>
      <c r="B1833" s="274" t="s">
        <v>542</v>
      </c>
      <c r="C1833" s="274" t="s">
        <v>649</v>
      </c>
      <c r="D1833" s="295">
        <v>2018</v>
      </c>
      <c r="E1833" s="274" t="s">
        <v>650</v>
      </c>
      <c r="F1833" s="291">
        <v>209</v>
      </c>
      <c r="G1833" s="285">
        <v>0</v>
      </c>
      <c r="H1833" s="291">
        <v>0</v>
      </c>
      <c r="I1833" s="291">
        <v>0</v>
      </c>
      <c r="J1833" s="291">
        <v>141</v>
      </c>
      <c r="K1833" s="284">
        <v>0</v>
      </c>
      <c r="L1833" s="291">
        <v>0</v>
      </c>
      <c r="M1833" s="291">
        <v>0</v>
      </c>
      <c r="N1833" s="291">
        <v>158</v>
      </c>
      <c r="O1833" s="291">
        <v>0</v>
      </c>
      <c r="P1833" s="274">
        <v>340</v>
      </c>
      <c r="Q1833" s="274">
        <v>255</v>
      </c>
      <c r="R1833" s="274">
        <v>848</v>
      </c>
      <c r="S1833" s="274">
        <v>255</v>
      </c>
      <c r="T1833" s="287">
        <f t="shared" si="28"/>
        <v>2018</v>
      </c>
      <c r="U1833" s="274">
        <f>VLOOKUP(A1833,'[1]SB35 Determination Data'!$B$4:$F$542,5,FALSE)</f>
        <v>2014</v>
      </c>
    </row>
    <row r="1834" spans="1:21" s="274" customFormat="1" ht="12.75" x14ac:dyDescent="0.2">
      <c r="A1834" s="274" t="s">
        <v>611</v>
      </c>
      <c r="B1834" s="274" t="s">
        <v>481</v>
      </c>
      <c r="C1834" s="274" t="s">
        <v>649</v>
      </c>
      <c r="D1834" s="295">
        <v>2018</v>
      </c>
      <c r="E1834" s="274" t="s">
        <v>650</v>
      </c>
      <c r="F1834" s="291">
        <v>23</v>
      </c>
      <c r="G1834" s="285">
        <v>0</v>
      </c>
      <c r="H1834" s="291">
        <v>0</v>
      </c>
      <c r="I1834" s="291">
        <v>0</v>
      </c>
      <c r="J1834" s="291">
        <v>15</v>
      </c>
      <c r="K1834" s="284">
        <v>0</v>
      </c>
      <c r="L1834" s="291">
        <v>0</v>
      </c>
      <c r="M1834" s="291">
        <v>0</v>
      </c>
      <c r="N1834" s="291">
        <v>18</v>
      </c>
      <c r="O1834" s="291">
        <v>1</v>
      </c>
      <c r="P1834" s="274">
        <v>39</v>
      </c>
      <c r="Q1834" s="274">
        <v>0</v>
      </c>
      <c r="R1834" s="274">
        <v>95</v>
      </c>
      <c r="S1834" s="274">
        <v>1</v>
      </c>
      <c r="T1834" s="287">
        <f t="shared" si="28"/>
        <v>2018</v>
      </c>
      <c r="U1834" s="274">
        <f>VLOOKUP(A1834,'[1]SB35 Determination Data'!$B$4:$F$542,5,FALSE)</f>
        <v>2014</v>
      </c>
    </row>
    <row r="1835" spans="1:21" s="274" customFormat="1" ht="12.75" x14ac:dyDescent="0.2">
      <c r="A1835" s="274" t="s">
        <v>493</v>
      </c>
      <c r="B1835" s="274" t="s">
        <v>262</v>
      </c>
      <c r="C1835" s="274" t="s">
        <v>649</v>
      </c>
      <c r="D1835" s="295">
        <v>2018</v>
      </c>
      <c r="E1835" s="274" t="s">
        <v>650</v>
      </c>
      <c r="F1835" s="291">
        <v>8</v>
      </c>
      <c r="G1835" s="285">
        <v>0</v>
      </c>
      <c r="H1835" s="291">
        <v>0</v>
      </c>
      <c r="I1835" s="291">
        <v>0</v>
      </c>
      <c r="J1835" s="291">
        <v>5</v>
      </c>
      <c r="K1835" s="284">
        <v>0</v>
      </c>
      <c r="L1835" s="291">
        <v>0</v>
      </c>
      <c r="M1835" s="291">
        <v>0</v>
      </c>
      <c r="N1835" s="291">
        <v>5</v>
      </c>
      <c r="O1835" s="291">
        <v>1</v>
      </c>
      <c r="P1835" s="274">
        <v>13</v>
      </c>
      <c r="Q1835" s="274">
        <v>21</v>
      </c>
      <c r="R1835" s="274">
        <v>31</v>
      </c>
      <c r="S1835" s="274">
        <v>22</v>
      </c>
      <c r="T1835" s="287">
        <f t="shared" si="28"/>
        <v>2018</v>
      </c>
      <c r="U1835" s="274">
        <f>VLOOKUP(A1835,'[1]SB35 Determination Data'!$B$4:$F$542,5,FALSE)</f>
        <v>2014</v>
      </c>
    </row>
    <row r="1836" spans="1:21" s="274" customFormat="1" ht="12.75" x14ac:dyDescent="0.2">
      <c r="A1836" s="274" t="s">
        <v>612</v>
      </c>
      <c r="B1836" s="274" t="s">
        <v>436</v>
      </c>
      <c r="C1836" s="274" t="s">
        <v>649</v>
      </c>
      <c r="D1836" s="295">
        <v>2018</v>
      </c>
      <c r="E1836" s="274" t="s">
        <v>650</v>
      </c>
      <c r="F1836" s="291">
        <v>1</v>
      </c>
      <c r="G1836" s="285"/>
      <c r="H1836" s="291"/>
      <c r="I1836" s="291"/>
      <c r="J1836" s="291">
        <v>1</v>
      </c>
      <c r="K1836" s="284"/>
      <c r="L1836" s="291"/>
      <c r="M1836" s="291"/>
      <c r="N1836" s="274">
        <v>0</v>
      </c>
      <c r="O1836" s="291"/>
      <c r="P1836" s="274">
        <v>0</v>
      </c>
      <c r="R1836" s="274">
        <v>2</v>
      </c>
      <c r="T1836" s="287">
        <f t="shared" si="28"/>
        <v>2018</v>
      </c>
      <c r="U1836" s="274">
        <f>VLOOKUP(A1836,'[1]SB35 Determination Data'!$B$4:$F$542,5,FALSE)</f>
        <v>2014</v>
      </c>
    </row>
    <row r="1837" spans="1:21" s="274" customFormat="1" ht="12.75" x14ac:dyDescent="0.2">
      <c r="A1837" s="274" t="s">
        <v>613</v>
      </c>
      <c r="B1837" s="274" t="s">
        <v>701</v>
      </c>
      <c r="C1837" s="274" t="s">
        <v>660</v>
      </c>
      <c r="D1837" s="295">
        <v>2018</v>
      </c>
      <c r="E1837" s="274" t="s">
        <v>650</v>
      </c>
      <c r="F1837" s="291">
        <v>73</v>
      </c>
      <c r="G1837" s="285">
        <v>0</v>
      </c>
      <c r="H1837" s="291">
        <v>0</v>
      </c>
      <c r="I1837" s="291">
        <v>0</v>
      </c>
      <c r="J1837" s="291">
        <v>52</v>
      </c>
      <c r="K1837" s="284">
        <v>2</v>
      </c>
      <c r="L1837" s="291">
        <v>0</v>
      </c>
      <c r="M1837" s="291">
        <v>2</v>
      </c>
      <c r="N1837" s="291">
        <v>61</v>
      </c>
      <c r="O1837" s="291">
        <v>3</v>
      </c>
      <c r="P1837" s="274">
        <v>137</v>
      </c>
      <c r="Q1837" s="274">
        <v>0</v>
      </c>
      <c r="R1837" s="274">
        <v>323</v>
      </c>
      <c r="S1837" s="274">
        <v>5</v>
      </c>
      <c r="T1837" s="287">
        <f t="shared" si="28"/>
        <v>2018</v>
      </c>
      <c r="U1837" s="274">
        <f>VLOOKUP(A1837,'[1]SB35 Determination Data'!$B$4:$F$542,5,FALSE)</f>
        <v>2014</v>
      </c>
    </row>
    <row r="1838" spans="1:21" s="274" customFormat="1" ht="12.75" x14ac:dyDescent="0.2">
      <c r="A1838" s="274" t="s">
        <v>615</v>
      </c>
      <c r="B1838" s="274" t="s">
        <v>631</v>
      </c>
      <c r="C1838" s="274" t="s">
        <v>660</v>
      </c>
      <c r="D1838" s="295">
        <v>2018</v>
      </c>
      <c r="E1838" s="274" t="s">
        <v>650</v>
      </c>
      <c r="F1838" s="291">
        <v>287</v>
      </c>
      <c r="G1838" s="285">
        <v>0</v>
      </c>
      <c r="H1838" s="291">
        <v>0</v>
      </c>
      <c r="I1838" s="291">
        <v>0</v>
      </c>
      <c r="J1838" s="291">
        <v>181</v>
      </c>
      <c r="K1838" s="284">
        <v>79</v>
      </c>
      <c r="L1838" s="291">
        <v>79</v>
      </c>
      <c r="M1838" s="291">
        <v>0</v>
      </c>
      <c r="N1838" s="291">
        <v>205</v>
      </c>
      <c r="O1838" s="291">
        <v>10</v>
      </c>
      <c r="P1838" s="274">
        <v>502</v>
      </c>
      <c r="Q1838" s="274">
        <v>109</v>
      </c>
      <c r="R1838" s="274">
        <v>1175</v>
      </c>
      <c r="S1838" s="274">
        <v>198</v>
      </c>
      <c r="T1838" s="287">
        <f t="shared" si="28"/>
        <v>2018</v>
      </c>
      <c r="U1838" s="274">
        <f>VLOOKUP(A1838,'[1]SB35 Determination Data'!$B$4:$F$542,5,FALSE)</f>
        <v>2014</v>
      </c>
    </row>
    <row r="1839" spans="1:21" s="274" customFormat="1" ht="12.75" x14ac:dyDescent="0.2">
      <c r="A1839" s="274" t="s">
        <v>495</v>
      </c>
      <c r="B1839" s="274" t="s">
        <v>262</v>
      </c>
      <c r="C1839" s="274" t="s">
        <v>649</v>
      </c>
      <c r="D1839" s="295">
        <v>2018</v>
      </c>
      <c r="E1839" s="274" t="s">
        <v>650</v>
      </c>
      <c r="F1839" s="291">
        <v>372</v>
      </c>
      <c r="G1839" s="285">
        <v>0</v>
      </c>
      <c r="H1839" s="291">
        <v>0</v>
      </c>
      <c r="I1839" s="291">
        <v>0</v>
      </c>
      <c r="J1839" s="291">
        <v>223</v>
      </c>
      <c r="K1839" s="284">
        <v>13</v>
      </c>
      <c r="L1839" s="291">
        <v>0</v>
      </c>
      <c r="M1839" s="291">
        <v>13</v>
      </c>
      <c r="N1839" s="291">
        <v>238</v>
      </c>
      <c r="O1839" s="291">
        <v>0</v>
      </c>
      <c r="P1839" s="274">
        <v>564</v>
      </c>
      <c r="Q1839" s="274">
        <v>115</v>
      </c>
      <c r="R1839" s="274">
        <v>1397</v>
      </c>
      <c r="S1839" s="274">
        <v>128</v>
      </c>
      <c r="T1839" s="287">
        <f t="shared" si="28"/>
        <v>2018</v>
      </c>
      <c r="U1839" s="274">
        <f>VLOOKUP(A1839,'[1]SB35 Determination Data'!$B$4:$F$542,5,FALSE)</f>
        <v>2014</v>
      </c>
    </row>
    <row r="1840" spans="1:21" s="274" customFormat="1" ht="12.75" x14ac:dyDescent="0.2">
      <c r="A1840" s="274" t="s">
        <v>618</v>
      </c>
      <c r="B1840" s="274" t="s">
        <v>595</v>
      </c>
      <c r="C1840" s="274" t="s">
        <v>654</v>
      </c>
      <c r="D1840" s="295">
        <v>2018</v>
      </c>
      <c r="E1840" s="274" t="s">
        <v>650</v>
      </c>
      <c r="F1840" s="291">
        <v>706</v>
      </c>
      <c r="G1840" s="285">
        <v>0</v>
      </c>
      <c r="H1840" s="291">
        <v>0</v>
      </c>
      <c r="I1840" s="291">
        <v>0</v>
      </c>
      <c r="J1840" s="291">
        <v>429</v>
      </c>
      <c r="K1840" s="284">
        <v>58</v>
      </c>
      <c r="L1840" s="291">
        <v>35</v>
      </c>
      <c r="M1840" s="291">
        <v>23</v>
      </c>
      <c r="N1840" s="291">
        <v>502</v>
      </c>
      <c r="O1840" s="291">
        <v>0</v>
      </c>
      <c r="P1840" s="274">
        <v>1152</v>
      </c>
      <c r="Q1840" s="274">
        <v>348</v>
      </c>
      <c r="R1840" s="274">
        <v>2789</v>
      </c>
      <c r="S1840" s="274">
        <v>406</v>
      </c>
      <c r="T1840" s="287">
        <f t="shared" si="28"/>
        <v>2018</v>
      </c>
      <c r="U1840" s="274">
        <f>VLOOKUP(A1840,'[1]SB35 Determination Data'!$B$4:$F$542,5,FALSE)</f>
        <v>2015</v>
      </c>
    </row>
    <row r="1841" spans="1:21" s="274" customFormat="1" ht="12.75" x14ac:dyDescent="0.2">
      <c r="A1841" s="274" t="s">
        <v>370</v>
      </c>
      <c r="B1841" s="274" t="s">
        <v>125</v>
      </c>
      <c r="C1841" s="274" t="s">
        <v>531</v>
      </c>
      <c r="D1841" s="295">
        <v>2018</v>
      </c>
      <c r="E1841" s="274" t="s">
        <v>650</v>
      </c>
      <c r="F1841" s="291">
        <v>393</v>
      </c>
      <c r="G1841" s="285">
        <v>0</v>
      </c>
      <c r="H1841" s="291">
        <v>0</v>
      </c>
      <c r="I1841" s="291">
        <v>0</v>
      </c>
      <c r="J1841" s="291">
        <v>204</v>
      </c>
      <c r="K1841" s="284">
        <v>1</v>
      </c>
      <c r="L1841" s="291">
        <v>0</v>
      </c>
      <c r="M1841" s="291">
        <v>1</v>
      </c>
      <c r="N1841" s="274">
        <v>161</v>
      </c>
      <c r="O1841" s="291">
        <v>21</v>
      </c>
      <c r="P1841" s="274">
        <v>553</v>
      </c>
      <c r="Q1841" s="274">
        <v>1</v>
      </c>
      <c r="R1841" s="274">
        <v>1311</v>
      </c>
      <c r="S1841" s="274">
        <v>23</v>
      </c>
      <c r="T1841" s="287">
        <f t="shared" si="28"/>
        <v>2018</v>
      </c>
      <c r="U1841" s="274">
        <f>VLOOKUP(A1841,'[1]SB35 Determination Data'!$B$4:$F$542,5,FALSE)</f>
        <v>2016</v>
      </c>
    </row>
    <row r="1842" spans="1:21" s="274" customFormat="1" ht="12.75" x14ac:dyDescent="0.2">
      <c r="A1842" s="274" t="s">
        <v>406</v>
      </c>
      <c r="B1842" s="274" t="s">
        <v>171</v>
      </c>
      <c r="C1842" s="274" t="s">
        <v>660</v>
      </c>
      <c r="D1842" s="295">
        <v>2018</v>
      </c>
      <c r="E1842" s="274" t="s">
        <v>650</v>
      </c>
      <c r="F1842" s="291">
        <v>8</v>
      </c>
      <c r="G1842" s="285">
        <v>0</v>
      </c>
      <c r="H1842" s="291">
        <v>0</v>
      </c>
      <c r="I1842" s="291">
        <v>0</v>
      </c>
      <c r="J1842" s="291">
        <v>4</v>
      </c>
      <c r="K1842" s="284">
        <v>0</v>
      </c>
      <c r="L1842" s="291">
        <v>0</v>
      </c>
      <c r="M1842" s="291">
        <v>0</v>
      </c>
      <c r="N1842" s="291">
        <v>4</v>
      </c>
      <c r="O1842" s="291">
        <v>0</v>
      </c>
      <c r="P1842" s="274">
        <v>15</v>
      </c>
      <c r="Q1842" s="274">
        <v>1</v>
      </c>
      <c r="R1842" s="274">
        <v>31</v>
      </c>
      <c r="S1842" s="274">
        <v>1</v>
      </c>
      <c r="T1842" s="287">
        <f t="shared" si="28"/>
        <v>2018</v>
      </c>
      <c r="U1842" s="274">
        <f>VLOOKUP(A1842,'[1]SB35 Determination Data'!$B$4:$F$542,5,FALSE)</f>
        <v>2014</v>
      </c>
    </row>
    <row r="1843" spans="1:21" s="274" customFormat="1" ht="12.75" x14ac:dyDescent="0.2">
      <c r="A1843" s="274" t="s">
        <v>622</v>
      </c>
      <c r="B1843" s="274" t="s">
        <v>663</v>
      </c>
      <c r="C1843" s="274" t="s">
        <v>654</v>
      </c>
      <c r="D1843" s="295">
        <v>2018</v>
      </c>
      <c r="E1843" s="274" t="s">
        <v>650</v>
      </c>
      <c r="F1843" s="291">
        <v>45</v>
      </c>
      <c r="G1843" s="285">
        <v>0</v>
      </c>
      <c r="H1843" s="291">
        <v>0</v>
      </c>
      <c r="I1843" s="291">
        <v>0</v>
      </c>
      <c r="J1843" s="291">
        <v>36</v>
      </c>
      <c r="K1843" s="284">
        <v>0</v>
      </c>
      <c r="L1843" s="291">
        <v>0</v>
      </c>
      <c r="M1843" s="291">
        <v>0</v>
      </c>
      <c r="N1843" s="291">
        <v>48</v>
      </c>
      <c r="O1843" s="291">
        <v>3</v>
      </c>
      <c r="P1843" s="274">
        <v>170</v>
      </c>
      <c r="Q1843" s="274">
        <v>6</v>
      </c>
      <c r="R1843" s="274">
        <v>299</v>
      </c>
      <c r="S1843" s="274">
        <v>9</v>
      </c>
      <c r="T1843" s="287">
        <f t="shared" si="28"/>
        <v>2018</v>
      </c>
      <c r="U1843" s="274">
        <f>VLOOKUP(A1843,'[1]SB35 Determination Data'!$B$4:$F$542,5,FALSE)</f>
        <v>2015</v>
      </c>
    </row>
    <row r="1844" spans="1:21" s="274" customFormat="1" ht="12.75" x14ac:dyDescent="0.2">
      <c r="A1844" s="274" t="s">
        <v>625</v>
      </c>
      <c r="B1844" s="274" t="s">
        <v>679</v>
      </c>
      <c r="C1844" s="274" t="s">
        <v>531</v>
      </c>
      <c r="D1844" s="295">
        <v>2018</v>
      </c>
      <c r="E1844" s="274" t="s">
        <v>650</v>
      </c>
      <c r="F1844" s="291">
        <v>321</v>
      </c>
      <c r="G1844" s="285">
        <v>0</v>
      </c>
      <c r="H1844" s="291">
        <v>0</v>
      </c>
      <c r="I1844" s="291">
        <v>0</v>
      </c>
      <c r="J1844" s="291">
        <v>206</v>
      </c>
      <c r="K1844" s="284">
        <v>0</v>
      </c>
      <c r="L1844" s="291">
        <v>0</v>
      </c>
      <c r="M1844" s="291">
        <v>0</v>
      </c>
      <c r="N1844" s="291">
        <v>217</v>
      </c>
      <c r="O1844" s="291">
        <v>0</v>
      </c>
      <c r="P1844" s="274">
        <v>536</v>
      </c>
      <c r="Q1844" s="274">
        <v>38</v>
      </c>
      <c r="R1844" s="274">
        <v>1280</v>
      </c>
      <c r="S1844" s="274">
        <v>38</v>
      </c>
      <c r="T1844" s="287">
        <f t="shared" si="28"/>
        <v>2018</v>
      </c>
      <c r="U1844" s="274">
        <f>VLOOKUP(A1844,'[1]SB35 Determination Data'!$B$4:$F$542,5,FALSE)</f>
        <v>2016</v>
      </c>
    </row>
    <row r="1845" spans="1:21" s="274" customFormat="1" ht="12.75" x14ac:dyDescent="0.2">
      <c r="A1845" s="274" t="s">
        <v>481</v>
      </c>
      <c r="B1845" s="274" t="s">
        <v>481</v>
      </c>
      <c r="C1845" s="274" t="s">
        <v>649</v>
      </c>
      <c r="D1845" s="295">
        <v>2018</v>
      </c>
      <c r="E1845" s="274" t="s">
        <v>650</v>
      </c>
      <c r="F1845" s="291">
        <v>2002</v>
      </c>
      <c r="G1845" s="285">
        <v>4</v>
      </c>
      <c r="H1845" s="291">
        <v>0</v>
      </c>
      <c r="I1845" s="291">
        <v>4</v>
      </c>
      <c r="J1845" s="291">
        <v>1336</v>
      </c>
      <c r="K1845" s="284">
        <v>0</v>
      </c>
      <c r="L1845" s="291">
        <v>0</v>
      </c>
      <c r="M1845" s="291">
        <v>0</v>
      </c>
      <c r="N1845" s="291">
        <v>1503</v>
      </c>
      <c r="O1845" s="291">
        <v>0</v>
      </c>
      <c r="P1845" s="274">
        <v>3442</v>
      </c>
      <c r="Q1845" s="274">
        <v>601</v>
      </c>
      <c r="R1845" s="274">
        <v>8283</v>
      </c>
      <c r="S1845" s="274">
        <v>605</v>
      </c>
      <c r="T1845" s="287">
        <f t="shared" si="28"/>
        <v>2018</v>
      </c>
      <c r="U1845" s="274">
        <f>VLOOKUP(A1845,'[1]SB35 Determination Data'!$B$4:$F$542,5,FALSE)</f>
        <v>2014</v>
      </c>
    </row>
    <row r="1846" spans="1:21" s="274" customFormat="1" ht="12.75" x14ac:dyDescent="0.2">
      <c r="A1846" s="274" t="s">
        <v>627</v>
      </c>
      <c r="B1846" s="274" t="s">
        <v>481</v>
      </c>
      <c r="C1846" s="274" t="s">
        <v>649</v>
      </c>
      <c r="D1846" s="295">
        <v>2018</v>
      </c>
      <c r="E1846" s="274" t="s">
        <v>650</v>
      </c>
      <c r="F1846" s="291">
        <v>7173</v>
      </c>
      <c r="G1846" s="285">
        <v>57</v>
      </c>
      <c r="H1846" s="291">
        <v>57</v>
      </c>
      <c r="I1846" s="291">
        <v>0</v>
      </c>
      <c r="J1846" s="291">
        <v>4871</v>
      </c>
      <c r="K1846" s="284">
        <v>0</v>
      </c>
      <c r="L1846" s="291">
        <v>0</v>
      </c>
      <c r="M1846" s="291">
        <v>0</v>
      </c>
      <c r="N1846" s="291">
        <v>5534</v>
      </c>
      <c r="O1846" s="291">
        <v>0</v>
      </c>
      <c r="P1846" s="274">
        <v>12725</v>
      </c>
      <c r="Q1846" s="274">
        <v>2250</v>
      </c>
      <c r="R1846" s="274">
        <v>30303</v>
      </c>
      <c r="S1846" s="274">
        <v>2307</v>
      </c>
      <c r="T1846" s="287">
        <f t="shared" si="28"/>
        <v>2018</v>
      </c>
      <c r="U1846" s="274">
        <f>VLOOKUP(A1846,'[1]SB35 Determination Data'!$B$4:$F$542,5,FALSE)</f>
        <v>2014</v>
      </c>
    </row>
    <row r="1847" spans="1:21" s="274" customFormat="1" ht="12.75" x14ac:dyDescent="0.2">
      <c r="A1847" s="274" t="s">
        <v>628</v>
      </c>
      <c r="B1847" s="274" t="s">
        <v>451</v>
      </c>
      <c r="C1847" s="274" t="s">
        <v>685</v>
      </c>
      <c r="D1847" s="295">
        <v>2018</v>
      </c>
      <c r="E1847" s="274" t="s">
        <v>650</v>
      </c>
      <c r="F1847" s="291">
        <v>1040</v>
      </c>
      <c r="G1847" s="285">
        <v>0</v>
      </c>
      <c r="H1847" s="291">
        <v>0</v>
      </c>
      <c r="I1847" s="291">
        <v>0</v>
      </c>
      <c r="J1847" s="291">
        <v>729</v>
      </c>
      <c r="K1847" s="284">
        <v>0</v>
      </c>
      <c r="L1847" s="291">
        <v>0</v>
      </c>
      <c r="M1847" s="291">
        <v>0</v>
      </c>
      <c r="N1847" s="291">
        <v>709</v>
      </c>
      <c r="O1847" s="291">
        <v>45</v>
      </c>
      <c r="P1847" s="274">
        <v>1335</v>
      </c>
      <c r="Q1847" s="274">
        <v>540</v>
      </c>
      <c r="R1847" s="274">
        <v>3813</v>
      </c>
      <c r="S1847" s="274">
        <v>585</v>
      </c>
      <c r="T1847" s="287">
        <f t="shared" si="28"/>
        <v>2018</v>
      </c>
      <c r="U1847" s="274">
        <f>VLOOKUP(A1847,'[1]SB35 Determination Data'!$B$4:$F$542,5,FALSE)</f>
        <v>2014</v>
      </c>
    </row>
    <row r="1848" spans="1:21" s="274" customFormat="1" ht="12.75" x14ac:dyDescent="0.2">
      <c r="A1848" s="274" t="s">
        <v>629</v>
      </c>
      <c r="B1848" s="274" t="s">
        <v>669</v>
      </c>
      <c r="C1848" s="274" t="s">
        <v>654</v>
      </c>
      <c r="D1848" s="295">
        <v>2018</v>
      </c>
      <c r="E1848" s="274" t="s">
        <v>650</v>
      </c>
      <c r="F1848" s="291">
        <v>181</v>
      </c>
      <c r="G1848" s="285">
        <v>109</v>
      </c>
      <c r="H1848" s="291">
        <v>109</v>
      </c>
      <c r="I1848" s="291">
        <v>0</v>
      </c>
      <c r="J1848" s="291">
        <v>107</v>
      </c>
      <c r="K1848" s="284">
        <v>109</v>
      </c>
      <c r="L1848" s="291">
        <v>109</v>
      </c>
      <c r="M1848" s="291">
        <v>0</v>
      </c>
      <c r="N1848" s="291">
        <v>127</v>
      </c>
      <c r="O1848" s="291">
        <v>5</v>
      </c>
      <c r="P1848" s="274">
        <v>484</v>
      </c>
      <c r="Q1848" s="274">
        <v>371</v>
      </c>
      <c r="R1848" s="274">
        <v>899</v>
      </c>
      <c r="S1848" s="274">
        <v>594</v>
      </c>
      <c r="T1848" s="287">
        <f t="shared" si="28"/>
        <v>2018</v>
      </c>
      <c r="U1848" s="274">
        <f>VLOOKUP(A1848,'[1]SB35 Determination Data'!$B$4:$F$542,5,FALSE)</f>
        <v>2015</v>
      </c>
    </row>
    <row r="1849" spans="1:21" s="274" customFormat="1" ht="12.75" x14ac:dyDescent="0.2">
      <c r="A1849" s="274" t="s">
        <v>617</v>
      </c>
      <c r="B1849" s="274" t="s">
        <v>262</v>
      </c>
      <c r="C1849" s="274" t="s">
        <v>649</v>
      </c>
      <c r="D1849" s="295">
        <v>2018</v>
      </c>
      <c r="E1849" s="274" t="s">
        <v>650</v>
      </c>
      <c r="F1849" s="291">
        <v>1</v>
      </c>
      <c r="G1849" s="285">
        <v>0</v>
      </c>
      <c r="H1849" s="291">
        <v>0</v>
      </c>
      <c r="I1849" s="291">
        <v>0</v>
      </c>
      <c r="J1849" s="291">
        <v>1</v>
      </c>
      <c r="K1849" s="284">
        <v>0</v>
      </c>
      <c r="L1849" s="291">
        <v>0</v>
      </c>
      <c r="M1849" s="291">
        <v>0</v>
      </c>
      <c r="N1849" s="291">
        <v>1</v>
      </c>
      <c r="O1849" s="291">
        <v>0</v>
      </c>
      <c r="P1849" s="274">
        <v>2</v>
      </c>
      <c r="Q1849" s="274">
        <v>276</v>
      </c>
      <c r="R1849" s="274">
        <v>5</v>
      </c>
      <c r="S1849" s="274">
        <v>276</v>
      </c>
      <c r="T1849" s="287">
        <f t="shared" si="28"/>
        <v>2018</v>
      </c>
      <c r="U1849" s="274">
        <f>VLOOKUP(A1849,'[1]SB35 Determination Data'!$B$4:$F$542,5,FALSE)</f>
        <v>2014</v>
      </c>
    </row>
    <row r="1850" spans="1:21" s="274" customFormat="1" ht="12.75" x14ac:dyDescent="0.2">
      <c r="A1850" s="274" t="s">
        <v>496</v>
      </c>
      <c r="B1850" s="274" t="s">
        <v>262</v>
      </c>
      <c r="C1850" s="274" t="s">
        <v>649</v>
      </c>
      <c r="D1850" s="295">
        <v>2018</v>
      </c>
      <c r="E1850" s="274" t="s">
        <v>650</v>
      </c>
      <c r="F1850" s="291">
        <v>153</v>
      </c>
      <c r="G1850" s="285">
        <v>0</v>
      </c>
      <c r="H1850" s="291">
        <v>0</v>
      </c>
      <c r="I1850" s="291">
        <v>0</v>
      </c>
      <c r="J1850" s="291">
        <v>88</v>
      </c>
      <c r="K1850" s="284">
        <v>9</v>
      </c>
      <c r="L1850" s="291">
        <v>9</v>
      </c>
      <c r="M1850" s="291">
        <v>0</v>
      </c>
      <c r="N1850" s="274">
        <v>99</v>
      </c>
      <c r="O1850" s="291">
        <v>51</v>
      </c>
      <c r="P1850" s="274">
        <v>262</v>
      </c>
      <c r="Q1850" s="274">
        <v>82</v>
      </c>
      <c r="R1850" s="274">
        <v>602</v>
      </c>
      <c r="S1850" s="274">
        <v>142</v>
      </c>
      <c r="T1850" s="287">
        <f t="shared" si="28"/>
        <v>2018</v>
      </c>
      <c r="U1850" s="274">
        <f>VLOOKUP(A1850,'[1]SB35 Determination Data'!$B$4:$F$542,5,FALSE)</f>
        <v>2014</v>
      </c>
    </row>
    <row r="1851" spans="1:21" s="274" customFormat="1" ht="12.75" x14ac:dyDescent="0.2">
      <c r="A1851" s="274" t="s">
        <v>632</v>
      </c>
      <c r="B1851" s="274" t="s">
        <v>451</v>
      </c>
      <c r="C1851" s="274" t="s">
        <v>685</v>
      </c>
      <c r="D1851" s="295">
        <v>2018</v>
      </c>
      <c r="E1851" s="274" t="s">
        <v>650</v>
      </c>
      <c r="F1851" s="291">
        <v>2268</v>
      </c>
      <c r="G1851" s="285">
        <v>0</v>
      </c>
      <c r="H1851" s="291">
        <v>0</v>
      </c>
      <c r="I1851" s="291">
        <v>0</v>
      </c>
      <c r="J1851" s="291">
        <v>1590</v>
      </c>
      <c r="K1851" s="284">
        <v>3</v>
      </c>
      <c r="L1851" s="291">
        <v>0</v>
      </c>
      <c r="M1851" s="291">
        <v>3</v>
      </c>
      <c r="N1851" s="291">
        <v>1577</v>
      </c>
      <c r="O1851" s="291">
        <v>333</v>
      </c>
      <c r="P1851" s="274">
        <v>3043</v>
      </c>
      <c r="Q1851" s="274">
        <v>472</v>
      </c>
      <c r="R1851" s="274">
        <v>8478</v>
      </c>
      <c r="S1851" s="274">
        <v>808</v>
      </c>
      <c r="T1851" s="287">
        <f t="shared" si="28"/>
        <v>2018</v>
      </c>
      <c r="U1851" s="274">
        <f>VLOOKUP(A1851,'[1]SB35 Determination Data'!$B$4:$F$542,5,FALSE)</f>
        <v>2014</v>
      </c>
    </row>
    <row r="1852" spans="1:21" s="274" customFormat="1" ht="12.75" x14ac:dyDescent="0.2">
      <c r="A1852" s="274" t="s">
        <v>633</v>
      </c>
      <c r="B1852" s="274" t="s">
        <v>301</v>
      </c>
      <c r="C1852" s="274" t="s">
        <v>654</v>
      </c>
      <c r="D1852" s="295">
        <v>2018</v>
      </c>
      <c r="E1852" s="274" t="s">
        <v>650</v>
      </c>
      <c r="F1852" s="291">
        <v>6</v>
      </c>
      <c r="G1852" s="285">
        <v>0</v>
      </c>
      <c r="H1852" s="291">
        <v>0</v>
      </c>
      <c r="I1852" s="291">
        <v>0</v>
      </c>
      <c r="J1852" s="291">
        <v>4</v>
      </c>
      <c r="K1852" s="284">
        <v>0</v>
      </c>
      <c r="L1852" s="291">
        <v>0</v>
      </c>
      <c r="M1852" s="291">
        <v>0</v>
      </c>
      <c r="N1852" s="291">
        <v>4</v>
      </c>
      <c r="O1852" s="291">
        <v>1</v>
      </c>
      <c r="P1852" s="274">
        <v>4</v>
      </c>
      <c r="Q1852" s="274">
        <v>0</v>
      </c>
      <c r="R1852" s="274">
        <v>18</v>
      </c>
      <c r="S1852" s="274">
        <v>1</v>
      </c>
      <c r="T1852" s="287">
        <f t="shared" si="28"/>
        <v>2018</v>
      </c>
      <c r="U1852" s="274">
        <f>VLOOKUP(A1852,'[1]SB35 Determination Data'!$B$4:$F$542,5,FALSE)</f>
        <v>2015</v>
      </c>
    </row>
    <row r="1853" spans="1:21" s="274" customFormat="1" ht="12.75" x14ac:dyDescent="0.2">
      <c r="A1853" s="274" t="s">
        <v>511</v>
      </c>
      <c r="B1853" s="274" t="s">
        <v>511</v>
      </c>
      <c r="C1853" s="274" t="s">
        <v>685</v>
      </c>
      <c r="D1853" s="295">
        <v>2018</v>
      </c>
      <c r="E1853" s="274" t="s">
        <v>650</v>
      </c>
      <c r="F1853" s="291">
        <v>4944</v>
      </c>
      <c r="G1853" s="285">
        <v>11</v>
      </c>
      <c r="H1853" s="291">
        <v>1</v>
      </c>
      <c r="I1853" s="291">
        <v>10</v>
      </c>
      <c r="J1853" s="291">
        <v>3467</v>
      </c>
      <c r="K1853" s="284">
        <v>69</v>
      </c>
      <c r="L1853" s="291">
        <v>59</v>
      </c>
      <c r="M1853" s="291">
        <v>10</v>
      </c>
      <c r="N1853" s="291">
        <v>4482</v>
      </c>
      <c r="O1853" s="291">
        <v>401</v>
      </c>
      <c r="P1853" s="274">
        <v>11208</v>
      </c>
      <c r="Q1853" s="274">
        <v>1894</v>
      </c>
      <c r="R1853" s="274">
        <v>24101</v>
      </c>
      <c r="S1853" s="274">
        <v>2375</v>
      </c>
      <c r="T1853" s="287">
        <f t="shared" si="28"/>
        <v>2018</v>
      </c>
      <c r="U1853" s="274">
        <f>VLOOKUP(A1853,'[1]SB35 Determination Data'!$B$4:$F$542,5,FALSE)</f>
        <v>2014</v>
      </c>
    </row>
    <row r="1854" spans="1:21" s="274" customFormat="1" ht="12.75" x14ac:dyDescent="0.2">
      <c r="A1854" s="274" t="s">
        <v>634</v>
      </c>
      <c r="B1854" s="274" t="s">
        <v>511</v>
      </c>
      <c r="C1854" s="274" t="s">
        <v>685</v>
      </c>
      <c r="D1854" s="295">
        <v>2018</v>
      </c>
      <c r="E1854" s="274" t="s">
        <v>650</v>
      </c>
      <c r="F1854" s="291">
        <v>3149</v>
      </c>
      <c r="G1854" s="285">
        <v>0</v>
      </c>
      <c r="H1854" s="291">
        <v>0</v>
      </c>
      <c r="I1854" s="291">
        <v>0</v>
      </c>
      <c r="J1854" s="291">
        <v>2208</v>
      </c>
      <c r="K1854" s="284">
        <v>12</v>
      </c>
      <c r="L1854" s="291">
        <v>12</v>
      </c>
      <c r="M1854" s="291">
        <v>0</v>
      </c>
      <c r="N1854" s="291">
        <v>2574</v>
      </c>
      <c r="O1854" s="291">
        <v>269</v>
      </c>
      <c r="P1854" s="274">
        <v>5913</v>
      </c>
      <c r="Q1854" s="274">
        <v>375</v>
      </c>
      <c r="R1854" s="274">
        <v>13844</v>
      </c>
      <c r="S1854" s="274">
        <v>656</v>
      </c>
      <c r="T1854" s="287">
        <f t="shared" si="28"/>
        <v>2018</v>
      </c>
      <c r="U1854" s="274">
        <f>VLOOKUP(A1854,'[1]SB35 Determination Data'!$B$4:$F$542,5,FALSE)</f>
        <v>2014</v>
      </c>
    </row>
    <row r="1855" spans="1:21" s="274" customFormat="1" ht="12.75" x14ac:dyDescent="0.2">
      <c r="A1855" s="274" t="s">
        <v>635</v>
      </c>
      <c r="B1855" s="274" t="s">
        <v>411</v>
      </c>
      <c r="C1855" s="274" t="s">
        <v>654</v>
      </c>
      <c r="D1855" s="295">
        <v>2018</v>
      </c>
      <c r="E1855" s="274" t="s">
        <v>650</v>
      </c>
      <c r="F1855" s="291">
        <v>8</v>
      </c>
      <c r="G1855" s="285">
        <v>0</v>
      </c>
      <c r="H1855" s="291">
        <v>0</v>
      </c>
      <c r="I1855" s="291">
        <v>0</v>
      </c>
      <c r="J1855" s="291">
        <v>5</v>
      </c>
      <c r="K1855" s="284">
        <v>0</v>
      </c>
      <c r="L1855" s="291">
        <v>0</v>
      </c>
      <c r="M1855" s="291">
        <v>0</v>
      </c>
      <c r="N1855" s="291">
        <v>5</v>
      </c>
      <c r="O1855" s="291">
        <v>0</v>
      </c>
      <c r="P1855" s="274">
        <v>13</v>
      </c>
      <c r="Q1855" s="274">
        <v>10</v>
      </c>
      <c r="R1855" s="274">
        <v>31</v>
      </c>
      <c r="S1855" s="274">
        <v>10</v>
      </c>
      <c r="T1855" s="287">
        <f t="shared" si="28"/>
        <v>2018</v>
      </c>
      <c r="U1855" s="274">
        <f>VLOOKUP(A1855,'[1]SB35 Determination Data'!$B$4:$F$542,5,FALSE)</f>
        <v>2015</v>
      </c>
    </row>
    <row r="1856" spans="1:21" s="274" customFormat="1" ht="12.75" x14ac:dyDescent="0.2">
      <c r="A1856" s="274" t="s">
        <v>636</v>
      </c>
      <c r="B1856" s="274" t="s">
        <v>403</v>
      </c>
      <c r="C1856" s="274" t="s">
        <v>531</v>
      </c>
      <c r="D1856" s="295">
        <v>2018</v>
      </c>
      <c r="E1856" s="274" t="s">
        <v>650</v>
      </c>
      <c r="F1856" s="291">
        <v>537</v>
      </c>
      <c r="G1856" s="285">
        <v>42</v>
      </c>
      <c r="H1856" s="291">
        <v>42</v>
      </c>
      <c r="I1856" s="291">
        <v>0</v>
      </c>
      <c r="J1856" s="291">
        <v>351</v>
      </c>
      <c r="K1856" s="284">
        <v>53</v>
      </c>
      <c r="L1856" s="291">
        <v>53</v>
      </c>
      <c r="M1856" s="291">
        <v>0</v>
      </c>
      <c r="N1856" s="274">
        <v>407</v>
      </c>
      <c r="O1856" s="291">
        <v>0</v>
      </c>
      <c r="P1856" s="274">
        <v>934</v>
      </c>
      <c r="Q1856" s="274">
        <v>71</v>
      </c>
      <c r="R1856" s="274">
        <v>2229</v>
      </c>
      <c r="S1856" s="274">
        <v>166</v>
      </c>
      <c r="T1856" s="287">
        <f t="shared" si="28"/>
        <v>2018</v>
      </c>
      <c r="U1856" s="274">
        <f>VLOOKUP(A1856,'[1]SB35 Determination Data'!$B$4:$F$542,5,FALSE)</f>
        <v>2016</v>
      </c>
    </row>
    <row r="1857" spans="1:21" s="274" customFormat="1" ht="12.75" x14ac:dyDescent="0.2">
      <c r="A1857" s="274" t="s">
        <v>637</v>
      </c>
      <c r="B1857" s="274" t="s">
        <v>301</v>
      </c>
      <c r="C1857" s="274" t="s">
        <v>654</v>
      </c>
      <c r="D1857" s="295">
        <v>2018</v>
      </c>
      <c r="E1857" s="274" t="s">
        <v>650</v>
      </c>
      <c r="F1857" s="291">
        <v>33</v>
      </c>
      <c r="G1857" s="285">
        <v>2</v>
      </c>
      <c r="H1857" s="291">
        <v>2</v>
      </c>
      <c r="I1857" s="291">
        <v>0</v>
      </c>
      <c r="J1857" s="291">
        <v>17</v>
      </c>
      <c r="K1857" s="284">
        <v>3</v>
      </c>
      <c r="L1857" s="291">
        <v>2</v>
      </c>
      <c r="M1857" s="291">
        <v>1</v>
      </c>
      <c r="N1857" s="291">
        <v>19</v>
      </c>
      <c r="O1857" s="291">
        <v>7</v>
      </c>
      <c r="P1857" s="274">
        <v>37</v>
      </c>
      <c r="Q1857" s="274">
        <v>25</v>
      </c>
      <c r="R1857" s="274">
        <v>106</v>
      </c>
      <c r="S1857" s="274">
        <v>37</v>
      </c>
      <c r="T1857" s="287">
        <f t="shared" si="28"/>
        <v>2018</v>
      </c>
      <c r="U1857" s="274">
        <f>VLOOKUP(A1857,'[1]SB35 Determination Data'!$B$4:$F$542,5,FALSE)</f>
        <v>2015</v>
      </c>
    </row>
    <row r="1858" spans="1:21" s="274" customFormat="1" ht="12.75" x14ac:dyDescent="0.2">
      <c r="A1858" s="274" t="s">
        <v>638</v>
      </c>
      <c r="B1858" s="274" t="s">
        <v>530</v>
      </c>
      <c r="C1858" s="274" t="s">
        <v>531</v>
      </c>
      <c r="D1858" s="295">
        <v>2018</v>
      </c>
      <c r="E1858" s="274" t="s">
        <v>650</v>
      </c>
      <c r="F1858" s="291">
        <v>198</v>
      </c>
      <c r="G1858" s="285">
        <v>0</v>
      </c>
      <c r="H1858" s="291">
        <v>0</v>
      </c>
      <c r="I1858" s="291">
        <v>0</v>
      </c>
      <c r="J1858" s="291">
        <v>120</v>
      </c>
      <c r="K1858" s="284">
        <v>0</v>
      </c>
      <c r="L1858" s="291">
        <v>0</v>
      </c>
      <c r="M1858" s="291">
        <v>0</v>
      </c>
      <c r="N1858" s="291">
        <v>164</v>
      </c>
      <c r="O1858" s="291">
        <v>1</v>
      </c>
      <c r="P1858" s="274">
        <v>355</v>
      </c>
      <c r="Q1858" s="274">
        <v>177</v>
      </c>
      <c r="R1858" s="274">
        <v>837</v>
      </c>
      <c r="S1858" s="274">
        <v>178</v>
      </c>
      <c r="T1858" s="287">
        <f t="shared" si="28"/>
        <v>2018</v>
      </c>
      <c r="U1858" s="274">
        <f>VLOOKUP(A1858,'[1]SB35 Determination Data'!$B$4:$F$542,5,FALSE)</f>
        <v>2016</v>
      </c>
    </row>
    <row r="1859" spans="1:21" s="274" customFormat="1" ht="12.75" x14ac:dyDescent="0.2">
      <c r="A1859" s="274" t="s">
        <v>639</v>
      </c>
      <c r="B1859" s="274" t="s">
        <v>542</v>
      </c>
      <c r="C1859" s="274" t="s">
        <v>649</v>
      </c>
      <c r="D1859" s="295">
        <v>2018</v>
      </c>
      <c r="E1859" s="274" t="s">
        <v>650</v>
      </c>
      <c r="F1859" s="291">
        <v>9</v>
      </c>
      <c r="G1859" s="285">
        <v>1</v>
      </c>
      <c r="H1859" s="291">
        <v>0</v>
      </c>
      <c r="I1859" s="291">
        <v>1</v>
      </c>
      <c r="J1859" s="291">
        <v>6</v>
      </c>
      <c r="K1859" s="284">
        <v>6</v>
      </c>
      <c r="L1859" s="291">
        <v>0</v>
      </c>
      <c r="M1859" s="291">
        <v>6</v>
      </c>
      <c r="N1859" s="291">
        <v>7</v>
      </c>
      <c r="O1859" s="291">
        <v>53</v>
      </c>
      <c r="P1859" s="274">
        <v>17</v>
      </c>
      <c r="Q1859" s="274">
        <v>247</v>
      </c>
      <c r="R1859" s="274">
        <v>39</v>
      </c>
      <c r="S1859" s="274">
        <v>307</v>
      </c>
      <c r="T1859" s="287">
        <f t="shared" si="28"/>
        <v>2018</v>
      </c>
      <c r="U1859" s="274">
        <f>VLOOKUP(A1859,'[1]SB35 Determination Data'!$B$4:$F$542,5,FALSE)</f>
        <v>2014</v>
      </c>
    </row>
    <row r="1860" spans="1:21" s="274" customFormat="1" ht="12.75" x14ac:dyDescent="0.2">
      <c r="A1860" s="274" t="s">
        <v>641</v>
      </c>
      <c r="B1860" s="274" t="s">
        <v>595</v>
      </c>
      <c r="C1860" s="274" t="s">
        <v>654</v>
      </c>
      <c r="D1860" s="295">
        <v>2018</v>
      </c>
      <c r="E1860" s="274" t="s">
        <v>650</v>
      </c>
      <c r="F1860" s="291">
        <v>358</v>
      </c>
      <c r="G1860" s="285">
        <v>0</v>
      </c>
      <c r="H1860" s="291">
        <v>0</v>
      </c>
      <c r="I1860" s="291">
        <v>0</v>
      </c>
      <c r="J1860" s="291">
        <v>161</v>
      </c>
      <c r="K1860" s="284">
        <v>6</v>
      </c>
      <c r="L1860" s="291">
        <v>0</v>
      </c>
      <c r="M1860" s="291">
        <v>6</v>
      </c>
      <c r="N1860" s="274">
        <v>205</v>
      </c>
      <c r="O1860" s="291">
        <v>0</v>
      </c>
      <c r="P1860" s="274">
        <v>431</v>
      </c>
      <c r="Q1860" s="274">
        <v>0</v>
      </c>
      <c r="R1860" s="274">
        <v>1155</v>
      </c>
      <c r="S1860" s="274">
        <v>6</v>
      </c>
      <c r="T1860" s="287">
        <f t="shared" ref="T1860:T1923" si="29">IF(D1860&gt;U1860,D1860,U1860)</f>
        <v>2018</v>
      </c>
      <c r="U1860" s="274">
        <f>VLOOKUP(A1860,'[1]SB35 Determination Data'!$B$4:$F$542,5,FALSE)</f>
        <v>2015</v>
      </c>
    </row>
    <row r="1861" spans="1:21" s="274" customFormat="1" ht="12.75" x14ac:dyDescent="0.2">
      <c r="A1861" s="274" t="s">
        <v>642</v>
      </c>
      <c r="B1861" s="274" t="s">
        <v>743</v>
      </c>
      <c r="C1861" s="274" t="s">
        <v>649</v>
      </c>
      <c r="D1861" s="295">
        <v>2018</v>
      </c>
      <c r="E1861" s="274" t="s">
        <v>650</v>
      </c>
      <c r="F1861" s="291">
        <v>861</v>
      </c>
      <c r="G1861" s="285">
        <v>24</v>
      </c>
      <c r="H1861" s="291">
        <v>24</v>
      </c>
      <c r="I1861" s="291">
        <v>0</v>
      </c>
      <c r="J1861" s="291">
        <v>591</v>
      </c>
      <c r="K1861" s="284">
        <v>12</v>
      </c>
      <c r="L1861" s="291">
        <v>12</v>
      </c>
      <c r="M1861" s="291">
        <v>0</v>
      </c>
      <c r="N1861" s="291">
        <v>673</v>
      </c>
      <c r="O1861" s="291">
        <v>15</v>
      </c>
      <c r="P1861" s="274">
        <v>1529</v>
      </c>
      <c r="Q1861" s="274">
        <v>291</v>
      </c>
      <c r="R1861" s="274">
        <v>3654</v>
      </c>
      <c r="S1861" s="274">
        <v>342</v>
      </c>
      <c r="T1861" s="287">
        <f t="shared" si="29"/>
        <v>2018</v>
      </c>
      <c r="U1861" s="274">
        <f>VLOOKUP(A1861,'[1]SB35 Determination Data'!$B$4:$F$542,5,FALSE)</f>
        <v>2014</v>
      </c>
    </row>
    <row r="1862" spans="1:21" s="274" customFormat="1" ht="12.75" x14ac:dyDescent="0.2">
      <c r="A1862" s="274" t="s">
        <v>643</v>
      </c>
      <c r="B1862" s="274" t="s">
        <v>595</v>
      </c>
      <c r="C1862" s="274" t="s">
        <v>654</v>
      </c>
      <c r="D1862" s="295">
        <v>2018</v>
      </c>
      <c r="E1862" s="274" t="s">
        <v>650</v>
      </c>
      <c r="F1862" s="291">
        <v>195</v>
      </c>
      <c r="G1862" s="285">
        <v>0</v>
      </c>
      <c r="H1862" s="291">
        <v>0</v>
      </c>
      <c r="I1862" s="291">
        <v>0</v>
      </c>
      <c r="J1862" s="291">
        <v>107</v>
      </c>
      <c r="K1862" s="284">
        <v>0</v>
      </c>
      <c r="L1862" s="291">
        <v>0</v>
      </c>
      <c r="M1862" s="291">
        <v>0</v>
      </c>
      <c r="N1862" s="291">
        <v>111</v>
      </c>
      <c r="O1862" s="291">
        <v>0</v>
      </c>
      <c r="P1862" s="274">
        <v>183</v>
      </c>
      <c r="Q1862" s="274">
        <v>32</v>
      </c>
      <c r="R1862" s="274">
        <v>596</v>
      </c>
      <c r="S1862" s="274">
        <v>32</v>
      </c>
      <c r="T1862" s="287">
        <f t="shared" si="29"/>
        <v>2018</v>
      </c>
      <c r="U1862" s="274">
        <f>VLOOKUP(A1862,'[1]SB35 Determination Data'!$B$4:$F$542,5,FALSE)</f>
        <v>2015</v>
      </c>
    </row>
    <row r="1863" spans="1:21" s="274" customFormat="1" ht="12.75" x14ac:dyDescent="0.2">
      <c r="A1863" s="274" t="s">
        <v>644</v>
      </c>
      <c r="B1863" s="274" t="s">
        <v>436</v>
      </c>
      <c r="C1863" s="274" t="s">
        <v>649</v>
      </c>
      <c r="D1863" s="295">
        <v>2018</v>
      </c>
      <c r="E1863" s="274" t="s">
        <v>650</v>
      </c>
      <c r="F1863" s="291">
        <v>134</v>
      </c>
      <c r="G1863" s="285">
        <v>0</v>
      </c>
      <c r="H1863" s="291">
        <v>0</v>
      </c>
      <c r="I1863" s="291">
        <v>0</v>
      </c>
      <c r="J1863" s="291">
        <v>95</v>
      </c>
      <c r="K1863" s="284">
        <v>0</v>
      </c>
      <c r="L1863" s="291">
        <v>0</v>
      </c>
      <c r="M1863" s="291">
        <v>0</v>
      </c>
      <c r="N1863" s="291">
        <v>108</v>
      </c>
      <c r="O1863" s="291">
        <v>11</v>
      </c>
      <c r="P1863" s="274">
        <v>244</v>
      </c>
      <c r="Q1863" s="274">
        <v>69</v>
      </c>
      <c r="R1863" s="274">
        <v>581</v>
      </c>
      <c r="S1863" s="274">
        <v>80</v>
      </c>
      <c r="T1863" s="287">
        <f t="shared" si="29"/>
        <v>2018</v>
      </c>
      <c r="U1863" s="274">
        <f>VLOOKUP(A1863,'[1]SB35 Determination Data'!$B$4:$F$542,5,FALSE)</f>
        <v>2014</v>
      </c>
    </row>
    <row r="1864" spans="1:21" s="274" customFormat="1" ht="12.75" x14ac:dyDescent="0.2">
      <c r="A1864" s="274" t="s">
        <v>557</v>
      </c>
      <c r="B1864" s="274" t="s">
        <v>557</v>
      </c>
      <c r="C1864" s="274" t="s">
        <v>758</v>
      </c>
      <c r="D1864" s="295">
        <v>2018</v>
      </c>
      <c r="E1864" s="274" t="s">
        <v>650</v>
      </c>
      <c r="F1864" s="291">
        <v>21977</v>
      </c>
      <c r="G1864" s="285">
        <v>249</v>
      </c>
      <c r="H1864" s="291">
        <v>249</v>
      </c>
      <c r="I1864" s="291">
        <v>0</v>
      </c>
      <c r="J1864" s="291">
        <v>16703</v>
      </c>
      <c r="K1864" s="284">
        <v>203</v>
      </c>
      <c r="L1864" s="291">
        <v>203</v>
      </c>
      <c r="M1864" s="291">
        <v>0</v>
      </c>
      <c r="N1864" s="291">
        <v>15462</v>
      </c>
      <c r="O1864" s="291">
        <v>6</v>
      </c>
      <c r="P1864" s="274">
        <v>33954</v>
      </c>
      <c r="Q1864" s="274">
        <v>3437</v>
      </c>
      <c r="R1864" s="274">
        <v>88096</v>
      </c>
      <c r="S1864" s="274">
        <v>3895</v>
      </c>
      <c r="T1864" s="287">
        <f t="shared" si="29"/>
        <v>2018</v>
      </c>
      <c r="U1864" s="274">
        <f>VLOOKUP(A1864,'[1]SB35 Determination Data'!$B$4:$F$542,5,FALSE)</f>
        <v>2013</v>
      </c>
    </row>
    <row r="1865" spans="1:21" s="274" customFormat="1" ht="12.75" x14ac:dyDescent="0.2">
      <c r="A1865" s="274" t="s">
        <v>645</v>
      </c>
      <c r="B1865" s="274" t="s">
        <v>557</v>
      </c>
      <c r="C1865" s="274" t="s">
        <v>758</v>
      </c>
      <c r="D1865" s="295">
        <v>2018</v>
      </c>
      <c r="E1865" s="274" t="s">
        <v>650</v>
      </c>
      <c r="F1865" s="291">
        <v>2085</v>
      </c>
      <c r="G1865" s="285">
        <v>10</v>
      </c>
      <c r="H1865" s="291">
        <v>0</v>
      </c>
      <c r="I1865" s="291">
        <v>10</v>
      </c>
      <c r="J1865" s="291">
        <v>1585</v>
      </c>
      <c r="K1865" s="284">
        <v>142</v>
      </c>
      <c r="L1865" s="291">
        <v>0</v>
      </c>
      <c r="M1865" s="291">
        <v>142</v>
      </c>
      <c r="N1865" s="274">
        <v>5864</v>
      </c>
      <c r="O1865" s="291">
        <v>177</v>
      </c>
      <c r="P1865" s="274">
        <v>12878</v>
      </c>
      <c r="Q1865" s="274">
        <v>399</v>
      </c>
      <c r="R1865" s="274">
        <v>22412</v>
      </c>
      <c r="S1865" s="274">
        <v>728</v>
      </c>
      <c r="T1865" s="287">
        <f t="shared" si="29"/>
        <v>2018</v>
      </c>
      <c r="U1865" s="274">
        <f>VLOOKUP(A1865,'[1]SB35 Determination Data'!$B$4:$F$542,5,FALSE)</f>
        <v>2013</v>
      </c>
    </row>
    <row r="1866" spans="1:21" s="274" customFormat="1" ht="12.75" x14ac:dyDescent="0.2">
      <c r="A1866" s="274" t="s">
        <v>497</v>
      </c>
      <c r="B1866" s="274" t="s">
        <v>262</v>
      </c>
      <c r="C1866" s="274" t="s">
        <v>649</v>
      </c>
      <c r="D1866" s="295">
        <v>2018</v>
      </c>
      <c r="E1866" s="274" t="s">
        <v>650</v>
      </c>
      <c r="F1866" s="291">
        <v>121</v>
      </c>
      <c r="G1866" s="285">
        <v>0</v>
      </c>
      <c r="H1866" s="291">
        <v>0</v>
      </c>
      <c r="I1866" s="291">
        <v>0</v>
      </c>
      <c r="J1866" s="291">
        <v>72</v>
      </c>
      <c r="K1866" s="284">
        <v>0</v>
      </c>
      <c r="L1866" s="291">
        <v>0</v>
      </c>
      <c r="M1866" s="291">
        <v>0</v>
      </c>
      <c r="N1866" s="291">
        <v>77</v>
      </c>
      <c r="O1866" s="291">
        <v>1</v>
      </c>
      <c r="P1866" s="274">
        <v>193</v>
      </c>
      <c r="Q1866" s="274">
        <v>1</v>
      </c>
      <c r="R1866" s="274">
        <v>463</v>
      </c>
      <c r="S1866" s="274">
        <v>2</v>
      </c>
      <c r="T1866" s="287">
        <f t="shared" si="29"/>
        <v>2018</v>
      </c>
      <c r="U1866" s="274">
        <f>VLOOKUP(A1866,'[1]SB35 Determination Data'!$B$4:$F$542,5,FALSE)</f>
        <v>2014</v>
      </c>
    </row>
    <row r="1867" spans="1:21" s="274" customFormat="1" ht="12.75" x14ac:dyDescent="0.2">
      <c r="A1867" s="274" t="s">
        <v>498</v>
      </c>
      <c r="B1867" s="274" t="s">
        <v>262</v>
      </c>
      <c r="C1867" s="274" t="s">
        <v>649</v>
      </c>
      <c r="D1867" s="295">
        <v>2018</v>
      </c>
      <c r="E1867" s="274" t="s">
        <v>650</v>
      </c>
      <c r="F1867" s="291">
        <v>55</v>
      </c>
      <c r="G1867" s="285">
        <v>0</v>
      </c>
      <c r="H1867" s="291">
        <v>0</v>
      </c>
      <c r="I1867" s="291">
        <v>0</v>
      </c>
      <c r="J1867" s="291">
        <v>32</v>
      </c>
      <c r="K1867" s="284">
        <v>67</v>
      </c>
      <c r="L1867" s="291">
        <v>0</v>
      </c>
      <c r="M1867" s="291">
        <v>67</v>
      </c>
      <c r="N1867" s="291">
        <v>35</v>
      </c>
      <c r="O1867" s="291">
        <v>27</v>
      </c>
      <c r="P1867" s="274">
        <v>95</v>
      </c>
      <c r="Q1867" s="274">
        <v>2</v>
      </c>
      <c r="R1867" s="274">
        <v>217</v>
      </c>
      <c r="S1867" s="274">
        <v>96</v>
      </c>
      <c r="T1867" s="287">
        <f t="shared" si="29"/>
        <v>2018</v>
      </c>
      <c r="U1867" s="274">
        <f>VLOOKUP(A1867,'[1]SB35 Determination Data'!$B$4:$F$542,5,FALSE)</f>
        <v>2014</v>
      </c>
    </row>
    <row r="1868" spans="1:21" s="274" customFormat="1" ht="12.75" x14ac:dyDescent="0.2">
      <c r="A1868" s="274" t="s">
        <v>575</v>
      </c>
      <c r="B1868" s="274" t="s">
        <v>575</v>
      </c>
      <c r="C1868" s="274" t="s">
        <v>654</v>
      </c>
      <c r="D1868" s="295">
        <v>2018</v>
      </c>
      <c r="E1868" s="274" t="s">
        <v>650</v>
      </c>
      <c r="F1868" s="291">
        <v>6234</v>
      </c>
      <c r="G1868" s="285">
        <v>0</v>
      </c>
      <c r="H1868" s="291">
        <v>0</v>
      </c>
      <c r="I1868" s="291">
        <v>0</v>
      </c>
      <c r="J1868" s="291">
        <v>4639</v>
      </c>
      <c r="K1868" s="284">
        <v>922</v>
      </c>
      <c r="L1868" s="291">
        <v>922</v>
      </c>
      <c r="M1868" s="291">
        <v>0</v>
      </c>
      <c r="N1868" s="291">
        <v>5460</v>
      </c>
      <c r="O1868" s="291">
        <v>492</v>
      </c>
      <c r="P1868" s="274">
        <v>12536</v>
      </c>
      <c r="Q1868" s="274">
        <v>4683</v>
      </c>
      <c r="R1868" s="274">
        <v>28869</v>
      </c>
      <c r="S1868" s="274">
        <v>6097</v>
      </c>
      <c r="T1868" s="287">
        <f t="shared" si="29"/>
        <v>2018</v>
      </c>
      <c r="U1868" s="274">
        <f>VLOOKUP(A1868,'[1]SB35 Determination Data'!$B$4:$F$542,5,FALSE)</f>
        <v>2015</v>
      </c>
    </row>
    <row r="1869" spans="1:21" s="274" customFormat="1" ht="12.75" x14ac:dyDescent="0.2">
      <c r="A1869" s="274" t="s">
        <v>500</v>
      </c>
      <c r="B1869" s="274" t="s">
        <v>262</v>
      </c>
      <c r="C1869" s="274" t="s">
        <v>649</v>
      </c>
      <c r="D1869" s="295">
        <v>2018</v>
      </c>
      <c r="E1869" s="274" t="s">
        <v>650</v>
      </c>
      <c r="F1869" s="291">
        <v>236</v>
      </c>
      <c r="G1869" s="285">
        <v>0</v>
      </c>
      <c r="H1869" s="291">
        <v>0</v>
      </c>
      <c r="I1869" s="291">
        <v>0</v>
      </c>
      <c r="J1869" s="291">
        <v>142</v>
      </c>
      <c r="K1869" s="284">
        <v>0</v>
      </c>
      <c r="L1869" s="291">
        <v>0</v>
      </c>
      <c r="M1869" s="291">
        <v>0</v>
      </c>
      <c r="N1869" s="274">
        <v>154</v>
      </c>
      <c r="O1869" s="291">
        <v>10</v>
      </c>
      <c r="P1869" s="274">
        <v>398</v>
      </c>
      <c r="Q1869" s="274">
        <v>12</v>
      </c>
      <c r="R1869" s="274">
        <v>930</v>
      </c>
      <c r="S1869" s="274">
        <v>22</v>
      </c>
      <c r="T1869" s="287">
        <f t="shared" si="29"/>
        <v>2018</v>
      </c>
      <c r="U1869" s="274">
        <f>VLOOKUP(A1869,'[1]SB35 Determination Data'!$B$4:$F$542,5,FALSE)</f>
        <v>2014</v>
      </c>
    </row>
    <row r="1870" spans="1:21" s="274" customFormat="1" ht="12.75" x14ac:dyDescent="0.2">
      <c r="A1870" s="274" t="s">
        <v>648</v>
      </c>
      <c r="B1870" s="274" t="s">
        <v>481</v>
      </c>
      <c r="C1870" s="274" t="s">
        <v>649</v>
      </c>
      <c r="D1870" s="295">
        <v>2018</v>
      </c>
      <c r="E1870" s="274" t="s">
        <v>650</v>
      </c>
      <c r="F1870" s="291">
        <v>562</v>
      </c>
      <c r="G1870" s="285">
        <v>0</v>
      </c>
      <c r="H1870" s="291">
        <v>0</v>
      </c>
      <c r="I1870" s="291">
        <v>0</v>
      </c>
      <c r="J1870" s="291">
        <v>394</v>
      </c>
      <c r="K1870" s="284">
        <v>0</v>
      </c>
      <c r="L1870" s="291">
        <v>0</v>
      </c>
      <c r="M1870" s="291">
        <v>0</v>
      </c>
      <c r="N1870" s="291">
        <v>441</v>
      </c>
      <c r="O1870" s="291">
        <v>270</v>
      </c>
      <c r="P1870" s="274">
        <v>1036</v>
      </c>
      <c r="Q1870" s="274">
        <v>0</v>
      </c>
      <c r="R1870" s="274">
        <v>2433</v>
      </c>
      <c r="S1870" s="274">
        <v>270</v>
      </c>
      <c r="T1870" s="287">
        <f t="shared" si="29"/>
        <v>2018</v>
      </c>
      <c r="U1870" s="274">
        <f>VLOOKUP(A1870,'[1]SB35 Determination Data'!$B$4:$F$542,5,FALSE)</f>
        <v>2014</v>
      </c>
    </row>
    <row r="1871" spans="1:21" s="274" customFormat="1" ht="12.75" x14ac:dyDescent="0.2">
      <c r="A1871" s="274" t="s">
        <v>383</v>
      </c>
      <c r="B1871" s="274" t="s">
        <v>125</v>
      </c>
      <c r="C1871" s="274" t="s">
        <v>531</v>
      </c>
      <c r="D1871" s="295">
        <v>2018</v>
      </c>
      <c r="E1871" s="274" t="s">
        <v>650</v>
      </c>
      <c r="F1871" s="291">
        <v>103</v>
      </c>
      <c r="G1871" s="285"/>
      <c r="H1871" s="291"/>
      <c r="I1871" s="291"/>
      <c r="J1871" s="291">
        <v>36</v>
      </c>
      <c r="K1871" s="284"/>
      <c r="L1871" s="291"/>
      <c r="M1871" s="291"/>
      <c r="N1871" s="291">
        <v>35</v>
      </c>
      <c r="O1871" s="291"/>
      <c r="P1871" s="274">
        <v>204</v>
      </c>
      <c r="R1871" s="274">
        <v>378</v>
      </c>
      <c r="T1871" s="287">
        <f t="shared" si="29"/>
        <v>2018</v>
      </c>
      <c r="U1871" s="274">
        <f>VLOOKUP(A1871,'[1]SB35 Determination Data'!$B$4:$F$542,5,FALSE)</f>
        <v>2016</v>
      </c>
    </row>
    <row r="1872" spans="1:21" s="274" customFormat="1" ht="12.75" x14ac:dyDescent="0.2">
      <c r="A1872" s="274" t="s">
        <v>653</v>
      </c>
      <c r="B1872" s="274" t="s">
        <v>614</v>
      </c>
      <c r="C1872" s="274" t="s">
        <v>654</v>
      </c>
      <c r="D1872" s="295">
        <v>2018</v>
      </c>
      <c r="E1872" s="274" t="s">
        <v>650</v>
      </c>
      <c r="F1872" s="291">
        <v>9233</v>
      </c>
      <c r="G1872" s="285">
        <v>146</v>
      </c>
      <c r="H1872" s="291">
        <v>146</v>
      </c>
      <c r="I1872" s="291">
        <v>0</v>
      </c>
      <c r="J1872" s="291">
        <v>5428</v>
      </c>
      <c r="K1872" s="284">
        <v>0</v>
      </c>
      <c r="L1872" s="291">
        <v>0</v>
      </c>
      <c r="M1872" s="291">
        <v>0</v>
      </c>
      <c r="N1872" s="291">
        <v>6188</v>
      </c>
      <c r="O1872" s="291">
        <v>1300</v>
      </c>
      <c r="P1872" s="274">
        <v>14231</v>
      </c>
      <c r="Q1872" s="274">
        <v>1527</v>
      </c>
      <c r="R1872" s="274">
        <v>35080</v>
      </c>
      <c r="S1872" s="274">
        <v>2973</v>
      </c>
      <c r="T1872" s="287">
        <f t="shared" si="29"/>
        <v>2018</v>
      </c>
      <c r="U1872" s="274">
        <f>VLOOKUP(A1872,'[1]SB35 Determination Data'!$B$4:$F$542,5,FALSE)</f>
        <v>2015</v>
      </c>
    </row>
    <row r="1873" spans="1:21" s="274" customFormat="1" ht="12.75" x14ac:dyDescent="0.2">
      <c r="A1873" s="274" t="s">
        <v>655</v>
      </c>
      <c r="B1873" s="274" t="s">
        <v>530</v>
      </c>
      <c r="C1873" s="274" t="s">
        <v>531</v>
      </c>
      <c r="D1873" s="295">
        <v>2018</v>
      </c>
      <c r="E1873" s="274" t="s">
        <v>650</v>
      </c>
      <c r="F1873" s="291">
        <v>10</v>
      </c>
      <c r="G1873" s="285"/>
      <c r="H1873" s="291"/>
      <c r="I1873" s="291"/>
      <c r="J1873" s="291">
        <v>6</v>
      </c>
      <c r="K1873" s="284"/>
      <c r="L1873" s="291"/>
      <c r="M1873" s="291"/>
      <c r="N1873" s="274">
        <v>8</v>
      </c>
      <c r="O1873" s="291"/>
      <c r="P1873" s="274">
        <v>17</v>
      </c>
      <c r="R1873" s="274">
        <v>41</v>
      </c>
      <c r="T1873" s="287">
        <f t="shared" si="29"/>
        <v>2018</v>
      </c>
      <c r="U1873" s="274">
        <f>VLOOKUP(A1873,'[1]SB35 Determination Data'!$B$4:$F$542,5,FALSE)</f>
        <v>2016</v>
      </c>
    </row>
    <row r="1874" spans="1:21" s="274" customFormat="1" ht="12.75" x14ac:dyDescent="0.2">
      <c r="A1874" s="274" t="s">
        <v>656</v>
      </c>
      <c r="B1874" s="274" t="s">
        <v>436</v>
      </c>
      <c r="C1874" s="274" t="s">
        <v>649</v>
      </c>
      <c r="D1874" s="295">
        <v>2018</v>
      </c>
      <c r="E1874" s="274" t="s">
        <v>650</v>
      </c>
      <c r="F1874" s="291">
        <v>147</v>
      </c>
      <c r="G1874" s="285">
        <v>0</v>
      </c>
      <c r="H1874" s="291">
        <v>0</v>
      </c>
      <c r="I1874" s="291">
        <v>0</v>
      </c>
      <c r="J1874" s="291">
        <v>104</v>
      </c>
      <c r="K1874" s="284">
        <v>0</v>
      </c>
      <c r="L1874" s="291">
        <v>0</v>
      </c>
      <c r="M1874" s="291">
        <v>0</v>
      </c>
      <c r="N1874" s="291">
        <v>120</v>
      </c>
      <c r="O1874" s="291">
        <v>24</v>
      </c>
      <c r="P1874" s="274">
        <v>267</v>
      </c>
      <c r="Q1874" s="274">
        <v>64</v>
      </c>
      <c r="R1874" s="274">
        <v>638</v>
      </c>
      <c r="S1874" s="274">
        <v>88</v>
      </c>
      <c r="T1874" s="287">
        <f t="shared" si="29"/>
        <v>2018</v>
      </c>
      <c r="U1874" s="274">
        <f>VLOOKUP(A1874,'[1]SB35 Determination Data'!$B$4:$F$542,5,FALSE)</f>
        <v>2014</v>
      </c>
    </row>
    <row r="1875" spans="1:21" s="274" customFormat="1" ht="12.75" x14ac:dyDescent="0.2">
      <c r="A1875" s="274" t="s">
        <v>194</v>
      </c>
      <c r="B1875" s="274" t="s">
        <v>40</v>
      </c>
      <c r="C1875" s="274" t="s">
        <v>654</v>
      </c>
      <c r="D1875" s="295">
        <v>2018</v>
      </c>
      <c r="E1875" s="274" t="s">
        <v>650</v>
      </c>
      <c r="F1875" s="291">
        <v>504</v>
      </c>
      <c r="G1875" s="285">
        <v>0</v>
      </c>
      <c r="H1875" s="291">
        <v>0</v>
      </c>
      <c r="I1875" s="291">
        <v>0</v>
      </c>
      <c r="J1875" s="291">
        <v>270</v>
      </c>
      <c r="K1875" s="284">
        <v>0</v>
      </c>
      <c r="L1875" s="291">
        <v>0</v>
      </c>
      <c r="M1875" s="291">
        <v>0</v>
      </c>
      <c r="N1875" s="291">
        <v>352</v>
      </c>
      <c r="O1875" s="291">
        <v>0</v>
      </c>
      <c r="P1875" s="274">
        <v>1161</v>
      </c>
      <c r="Q1875" s="274">
        <v>7</v>
      </c>
      <c r="R1875" s="274">
        <v>2287</v>
      </c>
      <c r="S1875" s="274">
        <v>7</v>
      </c>
      <c r="T1875" s="287">
        <f t="shared" si="29"/>
        <v>2018</v>
      </c>
      <c r="U1875" s="274">
        <f>VLOOKUP(A1875,'[1]SB35 Determination Data'!$B$4:$F$542,5,FALSE)</f>
        <v>2015</v>
      </c>
    </row>
    <row r="1876" spans="1:21" s="274" customFormat="1" ht="12.75" x14ac:dyDescent="0.2">
      <c r="A1876" s="274" t="s">
        <v>583</v>
      </c>
      <c r="B1876" s="274" t="s">
        <v>583</v>
      </c>
      <c r="C1876" s="274" t="s">
        <v>660</v>
      </c>
      <c r="D1876" s="295">
        <v>2018</v>
      </c>
      <c r="E1876" s="274" t="s">
        <v>650</v>
      </c>
      <c r="F1876" s="291">
        <v>285</v>
      </c>
      <c r="G1876" s="285">
        <v>70</v>
      </c>
      <c r="H1876" s="291">
        <v>70</v>
      </c>
      <c r="I1876" s="291">
        <v>0</v>
      </c>
      <c r="J1876" s="291">
        <v>179</v>
      </c>
      <c r="K1876" s="284">
        <v>4</v>
      </c>
      <c r="L1876" s="291">
        <v>4</v>
      </c>
      <c r="M1876" s="291">
        <v>0</v>
      </c>
      <c r="N1876" s="291">
        <v>201</v>
      </c>
      <c r="O1876" s="291">
        <v>0</v>
      </c>
      <c r="P1876" s="274">
        <v>478</v>
      </c>
      <c r="Q1876" s="274">
        <v>220</v>
      </c>
      <c r="R1876" s="274">
        <v>1143</v>
      </c>
      <c r="S1876" s="274">
        <v>294</v>
      </c>
      <c r="T1876" s="287">
        <f t="shared" si="29"/>
        <v>2018</v>
      </c>
      <c r="U1876" s="274">
        <f>VLOOKUP(A1876,'[1]SB35 Determination Data'!$B$4:$F$542,5,FALSE)</f>
        <v>2014</v>
      </c>
    </row>
    <row r="1877" spans="1:21" s="274" customFormat="1" ht="12.75" x14ac:dyDescent="0.2">
      <c r="A1877" s="274" t="s">
        <v>657</v>
      </c>
      <c r="B1877" s="274" t="s">
        <v>583</v>
      </c>
      <c r="C1877" s="274" t="s">
        <v>660</v>
      </c>
      <c r="D1877" s="295">
        <v>2018</v>
      </c>
      <c r="E1877" s="274" t="s">
        <v>650</v>
      </c>
      <c r="F1877" s="291">
        <v>336</v>
      </c>
      <c r="G1877" s="285">
        <v>12</v>
      </c>
      <c r="H1877" s="291">
        <v>12</v>
      </c>
      <c r="I1877" s="291">
        <v>0</v>
      </c>
      <c r="J1877" s="291">
        <v>211</v>
      </c>
      <c r="K1877" s="284">
        <v>17</v>
      </c>
      <c r="L1877" s="291">
        <v>17</v>
      </c>
      <c r="M1877" s="291">
        <v>0</v>
      </c>
      <c r="N1877" s="291">
        <v>237</v>
      </c>
      <c r="O1877" s="291">
        <v>14</v>
      </c>
      <c r="P1877" s="274">
        <v>563</v>
      </c>
      <c r="Q1877" s="274">
        <v>343</v>
      </c>
      <c r="R1877" s="274">
        <v>1347</v>
      </c>
      <c r="S1877" s="274">
        <v>386</v>
      </c>
      <c r="T1877" s="287">
        <f t="shared" si="29"/>
        <v>2018</v>
      </c>
      <c r="U1877" s="274">
        <f>VLOOKUP(A1877,'[1]SB35 Determination Data'!$B$4:$F$542,5,FALSE)</f>
        <v>2014</v>
      </c>
    </row>
    <row r="1878" spans="1:21" s="274" customFormat="1" ht="12.75" x14ac:dyDescent="0.2">
      <c r="A1878" s="274" t="s">
        <v>658</v>
      </c>
      <c r="B1878" s="274" t="s">
        <v>557</v>
      </c>
      <c r="C1878" s="274" t="s">
        <v>758</v>
      </c>
      <c r="D1878" s="295">
        <v>2018</v>
      </c>
      <c r="E1878" s="274" t="s">
        <v>650</v>
      </c>
      <c r="F1878" s="291">
        <v>1043</v>
      </c>
      <c r="G1878" s="285">
        <v>2</v>
      </c>
      <c r="H1878" s="291">
        <v>2</v>
      </c>
      <c r="I1878" s="291">
        <v>0</v>
      </c>
      <c r="J1878" s="291">
        <v>793</v>
      </c>
      <c r="K1878" s="284">
        <v>0</v>
      </c>
      <c r="L1878" s="291">
        <v>0</v>
      </c>
      <c r="M1878" s="291">
        <v>0</v>
      </c>
      <c r="N1878" s="291">
        <v>734</v>
      </c>
      <c r="O1878" s="291">
        <v>0</v>
      </c>
      <c r="P1878" s="274">
        <v>1613</v>
      </c>
      <c r="Q1878" s="274">
        <v>253</v>
      </c>
      <c r="R1878" s="274">
        <v>4183</v>
      </c>
      <c r="S1878" s="274">
        <v>255</v>
      </c>
      <c r="T1878" s="287">
        <f t="shared" si="29"/>
        <v>2018</v>
      </c>
      <c r="U1878" s="274">
        <f>VLOOKUP(A1878,'[1]SB35 Determination Data'!$B$4:$F$542,5,FALSE)</f>
        <v>2013</v>
      </c>
    </row>
    <row r="1879" spans="1:21" s="274" customFormat="1" ht="12.75" x14ac:dyDescent="0.2">
      <c r="A1879" s="274" t="s">
        <v>554</v>
      </c>
      <c r="B1879" s="274" t="s">
        <v>262</v>
      </c>
      <c r="C1879" s="274" t="s">
        <v>649</v>
      </c>
      <c r="D1879" s="295">
        <v>2018</v>
      </c>
      <c r="E1879" s="274" t="s">
        <v>650</v>
      </c>
      <c r="F1879" s="291">
        <v>1</v>
      </c>
      <c r="G1879" s="285">
        <v>2</v>
      </c>
      <c r="H1879" s="291">
        <v>2</v>
      </c>
      <c r="I1879" s="291">
        <v>0</v>
      </c>
      <c r="J1879" s="291">
        <v>1</v>
      </c>
      <c r="K1879" s="284">
        <v>1</v>
      </c>
      <c r="L1879" s="291">
        <v>1</v>
      </c>
      <c r="M1879" s="291">
        <v>0</v>
      </c>
      <c r="N1879" s="291">
        <v>0</v>
      </c>
      <c r="O1879" s="291">
        <v>1</v>
      </c>
      <c r="P1879" s="274">
        <v>0</v>
      </c>
      <c r="Q1879" s="274">
        <v>6</v>
      </c>
      <c r="R1879" s="274">
        <v>2</v>
      </c>
      <c r="S1879" s="274">
        <v>10</v>
      </c>
      <c r="T1879" s="287">
        <f t="shared" si="29"/>
        <v>2018</v>
      </c>
      <c r="U1879" s="274">
        <f>VLOOKUP(A1879,'[1]SB35 Determination Data'!$B$4:$F$542,5,FALSE)</f>
        <v>2014</v>
      </c>
    </row>
    <row r="1880" spans="1:21" s="274" customFormat="1" ht="12.75" x14ac:dyDescent="0.2">
      <c r="A1880" s="274" t="s">
        <v>595</v>
      </c>
      <c r="B1880" s="274" t="s">
        <v>595</v>
      </c>
      <c r="C1880" s="274" t="s">
        <v>654</v>
      </c>
      <c r="D1880" s="295">
        <v>2018</v>
      </c>
      <c r="E1880" s="274" t="s">
        <v>650</v>
      </c>
      <c r="F1880" s="291">
        <v>859</v>
      </c>
      <c r="G1880" s="285">
        <v>0</v>
      </c>
      <c r="H1880" s="291">
        <v>0</v>
      </c>
      <c r="I1880" s="291">
        <v>0</v>
      </c>
      <c r="J1880" s="291">
        <v>469</v>
      </c>
      <c r="K1880" s="284">
        <v>21</v>
      </c>
      <c r="L1880" s="291">
        <v>0</v>
      </c>
      <c r="M1880" s="291">
        <v>21</v>
      </c>
      <c r="N1880" s="291">
        <v>530</v>
      </c>
      <c r="O1880" s="291">
        <v>0</v>
      </c>
      <c r="P1880" s="274">
        <v>1242</v>
      </c>
      <c r="Q1880" s="274">
        <v>62</v>
      </c>
      <c r="R1880" s="274">
        <v>3100</v>
      </c>
      <c r="S1880" s="274">
        <v>83</v>
      </c>
      <c r="T1880" s="287">
        <f t="shared" si="29"/>
        <v>2018</v>
      </c>
      <c r="U1880" s="274">
        <f>VLOOKUP(A1880,'[1]SB35 Determination Data'!$B$4:$F$542,5,FALSE)</f>
        <v>2015</v>
      </c>
    </row>
    <row r="1881" spans="1:21" s="274" customFormat="1" ht="12.75" x14ac:dyDescent="0.2">
      <c r="A1881" s="274" t="s">
        <v>659</v>
      </c>
      <c r="B1881" s="274" t="s">
        <v>595</v>
      </c>
      <c r="C1881" s="274" t="s">
        <v>654</v>
      </c>
      <c r="D1881" s="295">
        <v>2018</v>
      </c>
      <c r="E1881" s="274" t="s">
        <v>650</v>
      </c>
      <c r="F1881" s="291">
        <v>153</v>
      </c>
      <c r="G1881" s="285">
        <v>0</v>
      </c>
      <c r="H1881" s="291">
        <v>0</v>
      </c>
      <c r="I1881" s="291">
        <v>0</v>
      </c>
      <c r="J1881" s="291">
        <v>103</v>
      </c>
      <c r="K1881" s="284">
        <v>21</v>
      </c>
      <c r="L1881" s="291">
        <v>0</v>
      </c>
      <c r="M1881" s="291">
        <v>21</v>
      </c>
      <c r="N1881" s="291">
        <v>102</v>
      </c>
      <c r="O1881" s="291">
        <v>0</v>
      </c>
      <c r="P1881" s="274">
        <v>555</v>
      </c>
      <c r="Q1881" s="274">
        <v>62</v>
      </c>
      <c r="R1881" s="274">
        <v>913</v>
      </c>
      <c r="S1881" s="274">
        <v>83</v>
      </c>
      <c r="T1881" s="287">
        <f t="shared" si="29"/>
        <v>2018</v>
      </c>
      <c r="U1881" s="274">
        <f>VLOOKUP(A1881,'[1]SB35 Determination Data'!$B$4:$F$542,5,FALSE)</f>
        <v>2015</v>
      </c>
    </row>
    <row r="1882" spans="1:21" s="274" customFormat="1" ht="12.75" x14ac:dyDescent="0.2">
      <c r="A1882" s="274" t="s">
        <v>313</v>
      </c>
      <c r="B1882" s="274" t="s">
        <v>120</v>
      </c>
      <c r="C1882" s="274" t="s">
        <v>654</v>
      </c>
      <c r="D1882" s="295">
        <v>2018</v>
      </c>
      <c r="E1882" s="274" t="s">
        <v>650</v>
      </c>
      <c r="F1882" s="291">
        <v>56</v>
      </c>
      <c r="G1882" s="285">
        <v>0</v>
      </c>
      <c r="H1882" s="291">
        <v>0</v>
      </c>
      <c r="I1882" s="291">
        <v>0</v>
      </c>
      <c r="J1882" s="291">
        <v>53</v>
      </c>
      <c r="K1882" s="284">
        <v>2</v>
      </c>
      <c r="L1882" s="291">
        <v>1</v>
      </c>
      <c r="M1882" s="291">
        <v>1</v>
      </c>
      <c r="N1882" s="291">
        <v>75</v>
      </c>
      <c r="O1882" s="291">
        <v>0</v>
      </c>
      <c r="P1882" s="274">
        <v>265</v>
      </c>
      <c r="Q1882" s="274">
        <v>2</v>
      </c>
      <c r="R1882" s="274">
        <v>449</v>
      </c>
      <c r="S1882" s="274">
        <v>4</v>
      </c>
      <c r="T1882" s="287">
        <f t="shared" si="29"/>
        <v>2018</v>
      </c>
      <c r="U1882" s="274">
        <f>VLOOKUP(A1882,'[1]SB35 Determination Data'!$B$4:$F$542,5,FALSE)</f>
        <v>2015</v>
      </c>
    </row>
    <row r="1883" spans="1:21" s="274" customFormat="1" ht="12.75" x14ac:dyDescent="0.2">
      <c r="A1883" s="274" t="s">
        <v>661</v>
      </c>
      <c r="B1883" s="274" t="s">
        <v>301</v>
      </c>
      <c r="C1883" s="274" t="s">
        <v>654</v>
      </c>
      <c r="D1883" s="295">
        <v>2018</v>
      </c>
      <c r="E1883" s="274" t="s">
        <v>650</v>
      </c>
      <c r="F1883" s="291">
        <v>240</v>
      </c>
      <c r="G1883" s="285">
        <v>1</v>
      </c>
      <c r="H1883" s="291">
        <v>1</v>
      </c>
      <c r="I1883" s="291">
        <v>0</v>
      </c>
      <c r="J1883" s="291">
        <v>148</v>
      </c>
      <c r="K1883" s="284">
        <v>23</v>
      </c>
      <c r="L1883" s="291">
        <v>1</v>
      </c>
      <c r="M1883" s="291">
        <v>22</v>
      </c>
      <c r="N1883" s="274">
        <v>181</v>
      </c>
      <c r="O1883" s="291">
        <v>1</v>
      </c>
      <c r="P1883" s="274">
        <v>438</v>
      </c>
      <c r="Q1883" s="274">
        <v>14</v>
      </c>
      <c r="R1883" s="274">
        <v>1007</v>
      </c>
      <c r="S1883" s="274">
        <v>39</v>
      </c>
      <c r="T1883" s="287">
        <f t="shared" si="29"/>
        <v>2018</v>
      </c>
      <c r="U1883" s="274">
        <f>VLOOKUP(A1883,'[1]SB35 Determination Data'!$B$4:$F$542,5,FALSE)</f>
        <v>2015</v>
      </c>
    </row>
    <row r="1884" spans="1:21" s="274" customFormat="1" ht="12.75" x14ac:dyDescent="0.2">
      <c r="A1884" s="274" t="s">
        <v>661</v>
      </c>
      <c r="B1884" s="274" t="s">
        <v>301</v>
      </c>
      <c r="C1884" s="274" t="s">
        <v>654</v>
      </c>
      <c r="D1884" s="295">
        <v>2018</v>
      </c>
      <c r="E1884" s="274" t="s">
        <v>650</v>
      </c>
      <c r="F1884" s="291">
        <v>240</v>
      </c>
      <c r="G1884" s="285">
        <v>1</v>
      </c>
      <c r="H1884" s="291">
        <v>1</v>
      </c>
      <c r="I1884" s="291">
        <v>0</v>
      </c>
      <c r="J1884" s="291">
        <v>148</v>
      </c>
      <c r="K1884" s="284">
        <v>23</v>
      </c>
      <c r="L1884" s="291">
        <v>1</v>
      </c>
      <c r="M1884" s="291">
        <v>22</v>
      </c>
      <c r="N1884" s="291">
        <v>181</v>
      </c>
      <c r="O1884" s="291">
        <v>1</v>
      </c>
      <c r="P1884" s="274">
        <v>438</v>
      </c>
      <c r="Q1884" s="274">
        <v>14</v>
      </c>
      <c r="R1884" s="274">
        <v>1007</v>
      </c>
      <c r="S1884" s="274">
        <v>39</v>
      </c>
      <c r="T1884" s="287">
        <f t="shared" si="29"/>
        <v>2018</v>
      </c>
      <c r="U1884" s="274">
        <f>VLOOKUP(A1884,'[1]SB35 Determination Data'!$B$4:$F$542,5,FALSE)</f>
        <v>2015</v>
      </c>
    </row>
    <row r="1885" spans="1:21" s="274" customFormat="1" ht="12.75" x14ac:dyDescent="0.2">
      <c r="A1885" s="274" t="s">
        <v>314</v>
      </c>
      <c r="B1885" s="274" t="s">
        <v>120</v>
      </c>
      <c r="C1885" s="274" t="s">
        <v>654</v>
      </c>
      <c r="D1885" s="295">
        <v>2018</v>
      </c>
      <c r="E1885" s="274" t="s">
        <v>650</v>
      </c>
      <c r="F1885" s="291">
        <v>516</v>
      </c>
      <c r="G1885" s="285">
        <v>0</v>
      </c>
      <c r="H1885" s="291">
        <v>0</v>
      </c>
      <c r="I1885" s="291">
        <v>0</v>
      </c>
      <c r="J1885" s="291">
        <v>279</v>
      </c>
      <c r="K1885" s="284">
        <v>0</v>
      </c>
      <c r="L1885" s="291">
        <v>0</v>
      </c>
      <c r="M1885" s="291">
        <v>0</v>
      </c>
      <c r="N1885" s="291">
        <v>282</v>
      </c>
      <c r="O1885" s="291">
        <v>0</v>
      </c>
      <c r="P1885" s="274">
        <v>340</v>
      </c>
      <c r="Q1885" s="274">
        <v>275</v>
      </c>
      <c r="R1885" s="274">
        <v>1417</v>
      </c>
      <c r="S1885" s="274">
        <v>275</v>
      </c>
      <c r="T1885" s="287">
        <f t="shared" si="29"/>
        <v>2018</v>
      </c>
      <c r="U1885" s="274">
        <f>VLOOKUP(A1885,'[1]SB35 Determination Data'!$B$4:$F$542,5,FALSE)</f>
        <v>2015</v>
      </c>
    </row>
    <row r="1886" spans="1:21" s="274" customFormat="1" ht="12.75" x14ac:dyDescent="0.2">
      <c r="A1886" s="274" t="s">
        <v>662</v>
      </c>
      <c r="B1886" s="274" t="s">
        <v>403</v>
      </c>
      <c r="C1886" s="274" t="s">
        <v>531</v>
      </c>
      <c r="D1886" s="295">
        <v>2018</v>
      </c>
      <c r="E1886" s="274" t="s">
        <v>650</v>
      </c>
      <c r="F1886" s="291">
        <v>13</v>
      </c>
      <c r="G1886" s="285">
        <v>0</v>
      </c>
      <c r="H1886" s="291">
        <v>0</v>
      </c>
      <c r="I1886" s="291">
        <v>0</v>
      </c>
      <c r="J1886" s="291">
        <v>9</v>
      </c>
      <c r="K1886" s="284">
        <v>0</v>
      </c>
      <c r="L1886" s="291">
        <v>0</v>
      </c>
      <c r="M1886" s="291">
        <v>0</v>
      </c>
      <c r="N1886" s="291">
        <v>10</v>
      </c>
      <c r="O1886" s="291">
        <v>0</v>
      </c>
      <c r="P1886" s="274">
        <v>23</v>
      </c>
      <c r="Q1886" s="274">
        <v>0</v>
      </c>
      <c r="R1886" s="274">
        <v>55</v>
      </c>
      <c r="S1886" s="274">
        <v>0</v>
      </c>
      <c r="T1886" s="287">
        <f t="shared" si="29"/>
        <v>2018</v>
      </c>
      <c r="U1886" s="274">
        <f>VLOOKUP(A1886,'[1]SB35 Determination Data'!$B$4:$F$542,5,FALSE)</f>
        <v>2016</v>
      </c>
    </row>
    <row r="1887" spans="1:21" s="274" customFormat="1" ht="12.75" x14ac:dyDescent="0.2">
      <c r="A1887" s="274" t="s">
        <v>664</v>
      </c>
      <c r="B1887" s="274" t="s">
        <v>436</v>
      </c>
      <c r="C1887" s="274" t="s">
        <v>649</v>
      </c>
      <c r="D1887" s="295">
        <v>2018</v>
      </c>
      <c r="E1887" s="274" t="s">
        <v>650</v>
      </c>
      <c r="F1887" s="291">
        <v>45</v>
      </c>
      <c r="G1887" s="285">
        <v>172</v>
      </c>
      <c r="H1887" s="291">
        <v>172</v>
      </c>
      <c r="I1887" s="291">
        <v>0</v>
      </c>
      <c r="J1887" s="291">
        <v>32</v>
      </c>
      <c r="K1887" s="284">
        <v>388</v>
      </c>
      <c r="L1887" s="291">
        <v>388</v>
      </c>
      <c r="M1887" s="291">
        <v>0</v>
      </c>
      <c r="N1887" s="291">
        <v>37</v>
      </c>
      <c r="O1887" s="291">
        <v>17</v>
      </c>
      <c r="P1887" s="274">
        <v>90</v>
      </c>
      <c r="Q1887" s="274">
        <v>796</v>
      </c>
      <c r="R1887" s="274">
        <v>204</v>
      </c>
      <c r="S1887" s="274">
        <v>1373</v>
      </c>
      <c r="T1887" s="287">
        <f t="shared" si="29"/>
        <v>2018</v>
      </c>
      <c r="U1887" s="274">
        <f>VLOOKUP(A1887,'[1]SB35 Determination Data'!$B$4:$F$542,5,FALSE)</f>
        <v>2014</v>
      </c>
    </row>
    <row r="1888" spans="1:21" s="274" customFormat="1" ht="12.75" x14ac:dyDescent="0.2">
      <c r="A1888" s="274" t="s">
        <v>602</v>
      </c>
      <c r="B1888" s="274" t="s">
        <v>602</v>
      </c>
      <c r="C1888" s="274" t="s">
        <v>732</v>
      </c>
      <c r="D1888" s="295">
        <v>2018</v>
      </c>
      <c r="E1888" s="274" t="s">
        <v>650</v>
      </c>
      <c r="F1888" s="291">
        <v>962</v>
      </c>
      <c r="G1888" s="285">
        <v>57</v>
      </c>
      <c r="H1888" s="291">
        <v>57</v>
      </c>
      <c r="I1888" s="291">
        <v>0</v>
      </c>
      <c r="J1888" s="291">
        <v>701</v>
      </c>
      <c r="K1888" s="284">
        <v>48</v>
      </c>
      <c r="L1888" s="291">
        <v>48</v>
      </c>
      <c r="M1888" s="291">
        <v>0</v>
      </c>
      <c r="N1888" s="274">
        <v>820</v>
      </c>
      <c r="O1888" s="291">
        <v>0</v>
      </c>
      <c r="P1888" s="274">
        <v>1617</v>
      </c>
      <c r="Q1888" s="274">
        <v>245</v>
      </c>
      <c r="R1888" s="274">
        <v>4100</v>
      </c>
      <c r="S1888" s="274">
        <v>350</v>
      </c>
      <c r="T1888" s="287">
        <f t="shared" si="29"/>
        <v>2018</v>
      </c>
      <c r="U1888" s="274">
        <f>VLOOKUP(A1888,'[1]SB35 Determination Data'!$B$4:$F$542,5,FALSE)</f>
        <v>2015</v>
      </c>
    </row>
    <row r="1889" spans="1:21" s="274" customFormat="1" ht="12.75" x14ac:dyDescent="0.2">
      <c r="A1889" s="274" t="s">
        <v>665</v>
      </c>
      <c r="B1889" s="274" t="s">
        <v>602</v>
      </c>
      <c r="C1889" s="274" t="s">
        <v>732</v>
      </c>
      <c r="D1889" s="295">
        <v>2018</v>
      </c>
      <c r="E1889" s="274" t="s">
        <v>650</v>
      </c>
      <c r="F1889" s="291">
        <v>159</v>
      </c>
      <c r="G1889" s="285">
        <v>1</v>
      </c>
      <c r="H1889" s="291">
        <v>0</v>
      </c>
      <c r="I1889" s="291">
        <v>1</v>
      </c>
      <c r="J1889" s="291">
        <v>106</v>
      </c>
      <c r="K1889" s="284">
        <v>14</v>
      </c>
      <c r="L1889" s="291">
        <v>0</v>
      </c>
      <c r="M1889" s="291">
        <v>14</v>
      </c>
      <c r="N1889" s="291">
        <v>112</v>
      </c>
      <c r="O1889" s="291">
        <v>82</v>
      </c>
      <c r="P1889" s="274">
        <v>284</v>
      </c>
      <c r="Q1889" s="274">
        <v>231</v>
      </c>
      <c r="R1889" s="274">
        <v>661</v>
      </c>
      <c r="S1889" s="274">
        <v>328</v>
      </c>
      <c r="T1889" s="287">
        <f t="shared" si="29"/>
        <v>2018</v>
      </c>
      <c r="U1889" s="274">
        <f>VLOOKUP(A1889,'[1]SB35 Determination Data'!$B$4:$F$542,5,FALSE)</f>
        <v>2015</v>
      </c>
    </row>
    <row r="1890" spans="1:21" s="274" customFormat="1" ht="12.75" x14ac:dyDescent="0.2">
      <c r="A1890" s="274" t="s">
        <v>614</v>
      </c>
      <c r="B1890" s="274" t="s">
        <v>614</v>
      </c>
      <c r="C1890" s="274" t="s">
        <v>654</v>
      </c>
      <c r="D1890" s="295">
        <v>2018</v>
      </c>
      <c r="E1890" s="274" t="s">
        <v>650</v>
      </c>
      <c r="F1890" s="291">
        <v>1050</v>
      </c>
      <c r="G1890" s="285">
        <v>0</v>
      </c>
      <c r="H1890" s="291">
        <v>0</v>
      </c>
      <c r="I1890" s="291">
        <v>0</v>
      </c>
      <c r="J1890" s="291">
        <v>695</v>
      </c>
      <c r="K1890" s="284">
        <v>0</v>
      </c>
      <c r="L1890" s="291">
        <v>0</v>
      </c>
      <c r="M1890" s="291">
        <v>0</v>
      </c>
      <c r="N1890" s="291">
        <v>755</v>
      </c>
      <c r="O1890" s="291">
        <v>5</v>
      </c>
      <c r="P1890" s="274">
        <v>1593</v>
      </c>
      <c r="Q1890" s="274">
        <v>1162</v>
      </c>
      <c r="R1890" s="274">
        <v>4093</v>
      </c>
      <c r="S1890" s="274">
        <v>1167</v>
      </c>
      <c r="T1890" s="287">
        <f t="shared" si="29"/>
        <v>2018</v>
      </c>
      <c r="U1890" s="274">
        <f>VLOOKUP(A1890,'[1]SB35 Determination Data'!$B$4:$F$542,5,FALSE)</f>
        <v>2015</v>
      </c>
    </row>
    <row r="1891" spans="1:21" s="274" customFormat="1" ht="12.75" x14ac:dyDescent="0.2">
      <c r="A1891" s="274" t="s">
        <v>666</v>
      </c>
      <c r="B1891" s="274" t="s">
        <v>614</v>
      </c>
      <c r="C1891" s="274" t="s">
        <v>654</v>
      </c>
      <c r="D1891" s="295">
        <v>2018</v>
      </c>
      <c r="E1891" s="274" t="s">
        <v>650</v>
      </c>
      <c r="F1891" s="291">
        <v>22</v>
      </c>
      <c r="G1891" s="285">
        <v>22</v>
      </c>
      <c r="H1891" s="291">
        <v>0</v>
      </c>
      <c r="I1891" s="291">
        <v>22</v>
      </c>
      <c r="J1891" s="291">
        <v>13</v>
      </c>
      <c r="K1891" s="284">
        <v>0</v>
      </c>
      <c r="L1891" s="291">
        <v>0</v>
      </c>
      <c r="M1891" s="291">
        <v>0</v>
      </c>
      <c r="N1891" s="291">
        <v>214</v>
      </c>
      <c r="O1891" s="291">
        <v>65</v>
      </c>
      <c r="P1891" s="274">
        <v>28</v>
      </c>
      <c r="Q1891" s="274">
        <v>0</v>
      </c>
      <c r="R1891" s="274">
        <v>277</v>
      </c>
      <c r="S1891" s="274">
        <v>87</v>
      </c>
      <c r="T1891" s="287">
        <f t="shared" si="29"/>
        <v>2018</v>
      </c>
      <c r="U1891" s="274">
        <f>VLOOKUP(A1891,'[1]SB35 Determination Data'!$B$4:$F$542,5,FALSE)</f>
        <v>2015</v>
      </c>
    </row>
    <row r="1892" spans="1:21" s="274" customFormat="1" ht="12.75" x14ac:dyDescent="0.2">
      <c r="A1892" s="274" t="s">
        <v>502</v>
      </c>
      <c r="B1892" s="274" t="s">
        <v>262</v>
      </c>
      <c r="C1892" s="274" t="s">
        <v>649</v>
      </c>
      <c r="D1892" s="295">
        <v>2018</v>
      </c>
      <c r="E1892" s="274" t="s">
        <v>650</v>
      </c>
      <c r="F1892" s="291">
        <v>2645</v>
      </c>
      <c r="G1892" s="285">
        <v>0</v>
      </c>
      <c r="H1892" s="291">
        <v>0</v>
      </c>
      <c r="I1892" s="291">
        <v>0</v>
      </c>
      <c r="J1892" s="291">
        <v>1678</v>
      </c>
      <c r="K1892" s="284">
        <v>0</v>
      </c>
      <c r="L1892" s="291">
        <v>0</v>
      </c>
      <c r="M1892" s="291">
        <v>0</v>
      </c>
      <c r="N1892" s="291">
        <v>1532</v>
      </c>
      <c r="O1892" s="291">
        <v>3</v>
      </c>
      <c r="P1892" s="274">
        <v>5126</v>
      </c>
      <c r="Q1892" s="274">
        <v>415</v>
      </c>
      <c r="R1892" s="274">
        <v>10981</v>
      </c>
      <c r="S1892" s="274">
        <v>418</v>
      </c>
      <c r="T1892" s="287">
        <f t="shared" si="29"/>
        <v>2018</v>
      </c>
      <c r="U1892" s="274">
        <f>VLOOKUP(A1892,'[1]SB35 Determination Data'!$B$4:$F$542,5,FALSE)</f>
        <v>2014</v>
      </c>
    </row>
    <row r="1893" spans="1:21" s="274" customFormat="1" ht="12.75" x14ac:dyDescent="0.2">
      <c r="A1893" s="274" t="s">
        <v>621</v>
      </c>
      <c r="B1893" s="274" t="s">
        <v>621</v>
      </c>
      <c r="C1893" s="274" t="s">
        <v>531</v>
      </c>
      <c r="D1893" s="295">
        <v>2018</v>
      </c>
      <c r="E1893" s="274" t="s">
        <v>650</v>
      </c>
      <c r="F1893" s="274">
        <v>180</v>
      </c>
      <c r="G1893" s="285">
        <v>6</v>
      </c>
      <c r="H1893" s="274">
        <v>6</v>
      </c>
      <c r="I1893" s="274">
        <v>0</v>
      </c>
      <c r="J1893" s="274">
        <v>118</v>
      </c>
      <c r="K1893" s="284">
        <v>53</v>
      </c>
      <c r="L1893" s="274">
        <v>47</v>
      </c>
      <c r="M1893" s="274">
        <v>6</v>
      </c>
      <c r="N1893" s="274">
        <v>136</v>
      </c>
      <c r="O1893" s="274">
        <v>1</v>
      </c>
      <c r="P1893" s="274">
        <v>313</v>
      </c>
      <c r="Q1893" s="274">
        <v>90</v>
      </c>
      <c r="R1893" s="274">
        <v>747</v>
      </c>
      <c r="S1893" s="274">
        <v>150</v>
      </c>
      <c r="T1893" s="287">
        <f t="shared" si="29"/>
        <v>2018</v>
      </c>
      <c r="U1893" s="274">
        <f>VLOOKUP(A1893,'[1]SB35 Determination Data'!$B$4:$F$542,5,FALSE)</f>
        <v>2016</v>
      </c>
    </row>
    <row r="1894" spans="1:21" s="274" customFormat="1" ht="12.75" x14ac:dyDescent="0.2">
      <c r="A1894" s="274" t="s">
        <v>667</v>
      </c>
      <c r="B1894" s="274" t="s">
        <v>621</v>
      </c>
      <c r="C1894" s="274" t="s">
        <v>531</v>
      </c>
      <c r="D1894" s="295">
        <v>2018</v>
      </c>
      <c r="E1894" s="274" t="s">
        <v>650</v>
      </c>
      <c r="F1894" s="274">
        <v>317</v>
      </c>
      <c r="G1894" s="285">
        <v>0</v>
      </c>
      <c r="H1894" s="274">
        <v>0</v>
      </c>
      <c r="I1894" s="274">
        <v>0</v>
      </c>
      <c r="J1894" s="274">
        <v>207</v>
      </c>
      <c r="K1894" s="284">
        <v>15</v>
      </c>
      <c r="L1894" s="274">
        <v>0</v>
      </c>
      <c r="M1894" s="274">
        <v>15</v>
      </c>
      <c r="N1894" s="274">
        <v>239</v>
      </c>
      <c r="O1894" s="274">
        <v>26</v>
      </c>
      <c r="P1894" s="274">
        <v>551</v>
      </c>
      <c r="Q1894" s="274">
        <v>44</v>
      </c>
      <c r="R1894" s="274">
        <v>1314</v>
      </c>
      <c r="S1894" s="274">
        <v>85</v>
      </c>
      <c r="T1894" s="287">
        <f t="shared" si="29"/>
        <v>2018</v>
      </c>
      <c r="U1894" s="274">
        <f>VLOOKUP(A1894,'[1]SB35 Determination Data'!$B$4:$F$542,5,FALSE)</f>
        <v>2016</v>
      </c>
    </row>
    <row r="1895" spans="1:21" s="274" customFormat="1" ht="12.75" x14ac:dyDescent="0.2">
      <c r="A1895" s="274" t="s">
        <v>504</v>
      </c>
      <c r="B1895" s="274" t="s">
        <v>262</v>
      </c>
      <c r="C1895" s="274" t="s">
        <v>649</v>
      </c>
      <c r="D1895" s="295">
        <v>2018</v>
      </c>
      <c r="E1895" s="274" t="s">
        <v>650</v>
      </c>
      <c r="F1895" s="274">
        <v>82</v>
      </c>
      <c r="G1895" s="285">
        <v>0</v>
      </c>
      <c r="H1895" s="274">
        <v>0</v>
      </c>
      <c r="I1895" s="274">
        <v>0</v>
      </c>
      <c r="J1895" s="274">
        <v>50</v>
      </c>
      <c r="K1895" s="284">
        <v>2</v>
      </c>
      <c r="L1895" s="274">
        <v>0</v>
      </c>
      <c r="M1895" s="274">
        <v>2</v>
      </c>
      <c r="N1895" s="274">
        <v>53</v>
      </c>
      <c r="O1895" s="274">
        <v>0</v>
      </c>
      <c r="P1895" s="274">
        <v>139</v>
      </c>
      <c r="Q1895" s="274">
        <v>0</v>
      </c>
      <c r="R1895" s="274">
        <v>324</v>
      </c>
      <c r="S1895" s="274">
        <v>2</v>
      </c>
      <c r="T1895" s="287">
        <f t="shared" si="29"/>
        <v>2018</v>
      </c>
      <c r="U1895" s="274">
        <f>VLOOKUP(A1895,'[1]SB35 Determination Data'!$B$4:$F$542,5,FALSE)</f>
        <v>2014</v>
      </c>
    </row>
    <row r="1896" spans="1:21" s="274" customFormat="1" ht="12.75" x14ac:dyDescent="0.2">
      <c r="A1896" s="274" t="s">
        <v>668</v>
      </c>
      <c r="B1896" s="274" t="s">
        <v>602</v>
      </c>
      <c r="C1896" s="274" t="s">
        <v>732</v>
      </c>
      <c r="D1896" s="295">
        <v>2018</v>
      </c>
      <c r="E1896" s="274" t="s">
        <v>650</v>
      </c>
      <c r="F1896" s="274">
        <v>985</v>
      </c>
      <c r="G1896" s="285">
        <v>0</v>
      </c>
      <c r="H1896" s="274">
        <v>0</v>
      </c>
      <c r="I1896" s="274">
        <v>0</v>
      </c>
      <c r="J1896" s="274">
        <v>656</v>
      </c>
      <c r="K1896" s="284">
        <v>108</v>
      </c>
      <c r="L1896" s="274">
        <v>78</v>
      </c>
      <c r="M1896" s="274">
        <v>30</v>
      </c>
      <c r="N1896" s="274">
        <v>730</v>
      </c>
      <c r="O1896" s="274">
        <v>0</v>
      </c>
      <c r="P1896" s="274">
        <v>1731</v>
      </c>
      <c r="Q1896" s="274">
        <v>52</v>
      </c>
      <c r="R1896" s="274">
        <v>4102</v>
      </c>
      <c r="S1896" s="274">
        <v>160</v>
      </c>
      <c r="T1896" s="287">
        <f t="shared" si="29"/>
        <v>2018</v>
      </c>
      <c r="U1896" s="274">
        <f>VLOOKUP(A1896,'[1]SB35 Determination Data'!$B$4:$F$542,5,FALSE)</f>
        <v>2015</v>
      </c>
    </row>
    <row r="1897" spans="1:21" s="274" customFormat="1" ht="12.75" x14ac:dyDescent="0.2">
      <c r="A1897" s="274" t="s">
        <v>505</v>
      </c>
      <c r="B1897" s="274" t="s">
        <v>262</v>
      </c>
      <c r="C1897" s="274" t="s">
        <v>649</v>
      </c>
      <c r="D1897" s="295">
        <v>2018</v>
      </c>
      <c r="E1897" s="274" t="s">
        <v>650</v>
      </c>
      <c r="F1897" s="274">
        <v>428</v>
      </c>
      <c r="G1897" s="285">
        <v>53</v>
      </c>
      <c r="H1897" s="274">
        <v>53</v>
      </c>
      <c r="I1897" s="274">
        <v>0</v>
      </c>
      <c r="J1897" s="274">
        <v>263</v>
      </c>
      <c r="K1897" s="284">
        <v>9</v>
      </c>
      <c r="L1897" s="274">
        <v>9</v>
      </c>
      <c r="M1897" s="274">
        <v>0</v>
      </c>
      <c r="N1897" s="274">
        <v>283</v>
      </c>
      <c r="O1897" s="274">
        <v>25</v>
      </c>
      <c r="P1897" s="274">
        <v>700</v>
      </c>
      <c r="Q1897" s="274">
        <v>312</v>
      </c>
      <c r="R1897" s="274">
        <v>1674</v>
      </c>
      <c r="S1897" s="274">
        <v>399</v>
      </c>
      <c r="T1897" s="287">
        <f t="shared" si="29"/>
        <v>2018</v>
      </c>
      <c r="U1897" s="274">
        <f>VLOOKUP(A1897,'[1]SB35 Determination Data'!$B$4:$F$542,5,FALSE)</f>
        <v>2014</v>
      </c>
    </row>
    <row r="1898" spans="1:21" s="274" customFormat="1" ht="12.75" x14ac:dyDescent="0.2">
      <c r="A1898" s="274" t="s">
        <v>670</v>
      </c>
      <c r="B1898" s="274" t="s">
        <v>743</v>
      </c>
      <c r="C1898" s="274" t="s">
        <v>649</v>
      </c>
      <c r="D1898" s="295">
        <v>2018</v>
      </c>
      <c r="E1898" s="274" t="s">
        <v>650</v>
      </c>
      <c r="F1898" s="274">
        <v>288</v>
      </c>
      <c r="G1898" s="285"/>
      <c r="J1898" s="274">
        <v>201</v>
      </c>
      <c r="K1898" s="284"/>
      <c r="N1898" s="274">
        <v>241</v>
      </c>
      <c r="P1898" s="274">
        <v>555</v>
      </c>
      <c r="R1898" s="274">
        <v>1285</v>
      </c>
      <c r="T1898" s="287">
        <f t="shared" si="29"/>
        <v>2018</v>
      </c>
      <c r="U1898" s="274">
        <f>VLOOKUP(A1898,'[1]SB35 Determination Data'!$B$4:$F$542,5,FALSE)</f>
        <v>2014</v>
      </c>
    </row>
    <row r="1899" spans="1:21" s="274" customFormat="1" ht="12.75" x14ac:dyDescent="0.2">
      <c r="A1899" s="274" t="s">
        <v>672</v>
      </c>
      <c r="B1899" s="274" t="s">
        <v>557</v>
      </c>
      <c r="C1899" s="274" t="s">
        <v>758</v>
      </c>
      <c r="D1899" s="295">
        <v>2018</v>
      </c>
      <c r="E1899" s="274" t="s">
        <v>650</v>
      </c>
      <c r="F1899" s="274">
        <v>914</v>
      </c>
      <c r="G1899" s="285">
        <v>0</v>
      </c>
      <c r="H1899" s="274">
        <v>0</v>
      </c>
      <c r="I1899" s="274">
        <v>0</v>
      </c>
      <c r="J1899" s="274">
        <v>694</v>
      </c>
      <c r="K1899" s="284">
        <v>0</v>
      </c>
      <c r="L1899" s="274">
        <v>0</v>
      </c>
      <c r="M1899" s="274">
        <v>0</v>
      </c>
      <c r="N1899" s="274">
        <v>642</v>
      </c>
      <c r="O1899" s="274">
        <v>0</v>
      </c>
      <c r="P1899" s="274">
        <v>1410</v>
      </c>
      <c r="Q1899" s="274">
        <v>157</v>
      </c>
      <c r="R1899" s="274">
        <v>3660</v>
      </c>
      <c r="S1899" s="274">
        <v>157</v>
      </c>
      <c r="T1899" s="287">
        <f t="shared" si="29"/>
        <v>2018</v>
      </c>
      <c r="U1899" s="274">
        <f>VLOOKUP(A1899,'[1]SB35 Determination Data'!$B$4:$F$542,5,FALSE)</f>
        <v>2013</v>
      </c>
    </row>
    <row r="1900" spans="1:21" s="274" customFormat="1" ht="12.75" x14ac:dyDescent="0.2">
      <c r="A1900" s="274" t="s">
        <v>673</v>
      </c>
      <c r="B1900" s="274" t="s">
        <v>614</v>
      </c>
      <c r="C1900" s="274" t="s">
        <v>654</v>
      </c>
      <c r="D1900" s="295">
        <v>2018</v>
      </c>
      <c r="E1900" s="274" t="s">
        <v>650</v>
      </c>
      <c r="F1900" s="274">
        <v>147</v>
      </c>
      <c r="G1900" s="285"/>
      <c r="J1900" s="274">
        <v>95</v>
      </c>
      <c r="K1900" s="284"/>
      <c r="N1900" s="274">
        <v>104</v>
      </c>
      <c r="P1900" s="274">
        <v>93</v>
      </c>
      <c r="R1900" s="274">
        <v>439</v>
      </c>
      <c r="T1900" s="287">
        <f t="shared" si="29"/>
        <v>2018</v>
      </c>
      <c r="U1900" s="274">
        <f>VLOOKUP(A1900,'[1]SB35 Determination Data'!$B$4:$F$542,5,FALSE)</f>
        <v>2015</v>
      </c>
    </row>
    <row r="1901" spans="1:21" s="274" customFormat="1" ht="12.75" x14ac:dyDescent="0.2">
      <c r="A1901" s="274" t="s">
        <v>674</v>
      </c>
      <c r="B1901" s="274" t="s">
        <v>301</v>
      </c>
      <c r="C1901" s="274" t="s">
        <v>654</v>
      </c>
      <c r="D1901" s="295">
        <v>2018</v>
      </c>
      <c r="E1901" s="274" t="s">
        <v>650</v>
      </c>
      <c r="F1901" s="274">
        <v>26</v>
      </c>
      <c r="G1901" s="285">
        <v>0</v>
      </c>
      <c r="H1901" s="274">
        <v>0</v>
      </c>
      <c r="I1901" s="274">
        <v>0</v>
      </c>
      <c r="J1901" s="274">
        <v>14</v>
      </c>
      <c r="K1901" s="284">
        <v>0</v>
      </c>
      <c r="L1901" s="274">
        <v>0</v>
      </c>
      <c r="M1901" s="274">
        <v>0</v>
      </c>
      <c r="N1901" s="274">
        <v>16</v>
      </c>
      <c r="O1901" s="274">
        <v>1</v>
      </c>
      <c r="P1901" s="274">
        <v>23</v>
      </c>
      <c r="Q1901" s="274">
        <v>2</v>
      </c>
      <c r="R1901" s="274">
        <v>79</v>
      </c>
      <c r="S1901" s="274">
        <v>3</v>
      </c>
      <c r="T1901" s="287">
        <f t="shared" si="29"/>
        <v>2018</v>
      </c>
      <c r="U1901" s="274">
        <f>VLOOKUP(A1901,'[1]SB35 Determination Data'!$B$4:$F$542,5,FALSE)</f>
        <v>2015</v>
      </c>
    </row>
    <row r="1902" spans="1:21" s="274" customFormat="1" ht="12.75" x14ac:dyDescent="0.2">
      <c r="A1902" s="274" t="s">
        <v>675</v>
      </c>
      <c r="B1902" s="274" t="s">
        <v>621</v>
      </c>
      <c r="C1902" s="274" t="s">
        <v>531</v>
      </c>
      <c r="D1902" s="295">
        <v>2018</v>
      </c>
      <c r="E1902" s="274" t="s">
        <v>650</v>
      </c>
      <c r="F1902" s="274">
        <v>34</v>
      </c>
      <c r="G1902" s="285">
        <v>0</v>
      </c>
      <c r="H1902" s="274">
        <v>0</v>
      </c>
      <c r="I1902" s="274">
        <v>0</v>
      </c>
      <c r="J1902" s="274">
        <v>22</v>
      </c>
      <c r="K1902" s="284">
        <v>0</v>
      </c>
      <c r="L1902" s="274">
        <v>0</v>
      </c>
      <c r="M1902" s="274">
        <v>0</v>
      </c>
      <c r="N1902" s="274">
        <v>26</v>
      </c>
      <c r="O1902" s="274">
        <v>3</v>
      </c>
      <c r="P1902" s="274">
        <v>58</v>
      </c>
      <c r="Q1902" s="274">
        <v>63</v>
      </c>
      <c r="R1902" s="274">
        <v>140</v>
      </c>
      <c r="S1902" s="274">
        <v>66</v>
      </c>
      <c r="T1902" s="287">
        <f t="shared" si="29"/>
        <v>2018</v>
      </c>
      <c r="U1902" s="274">
        <f>VLOOKUP(A1902,'[1]SB35 Determination Data'!$B$4:$F$542,5,FALSE)</f>
        <v>2016</v>
      </c>
    </row>
    <row r="1903" spans="1:21" s="274" customFormat="1" ht="12.75" x14ac:dyDescent="0.2">
      <c r="A1903" s="274" t="s">
        <v>676</v>
      </c>
      <c r="B1903" s="274" t="s">
        <v>436</v>
      </c>
      <c r="C1903" s="274" t="s">
        <v>649</v>
      </c>
      <c r="D1903" s="295">
        <v>2018</v>
      </c>
      <c r="E1903" s="274" t="s">
        <v>650</v>
      </c>
      <c r="F1903" s="274">
        <v>1</v>
      </c>
      <c r="G1903" s="285"/>
      <c r="J1903" s="274">
        <v>1</v>
      </c>
      <c r="K1903" s="284"/>
      <c r="N1903" s="274">
        <v>0</v>
      </c>
      <c r="P1903" s="274">
        <v>0</v>
      </c>
      <c r="R1903" s="274">
        <v>2</v>
      </c>
      <c r="T1903" s="287">
        <f t="shared" si="29"/>
        <v>2018</v>
      </c>
      <c r="U1903" s="274">
        <f>VLOOKUP(A1903,'[1]SB35 Determination Data'!$B$4:$F$542,5,FALSE)</f>
        <v>2014</v>
      </c>
    </row>
    <row r="1904" spans="1:21" s="274" customFormat="1" ht="12.75" x14ac:dyDescent="0.2">
      <c r="A1904" s="274" t="s">
        <v>677</v>
      </c>
      <c r="B1904" s="274" t="s">
        <v>403</v>
      </c>
      <c r="C1904" s="274" t="s">
        <v>531</v>
      </c>
      <c r="D1904" s="295">
        <v>2018</v>
      </c>
      <c r="E1904" s="274" t="s">
        <v>650</v>
      </c>
      <c r="F1904" s="274">
        <v>95</v>
      </c>
      <c r="G1904" s="285">
        <v>0</v>
      </c>
      <c r="H1904" s="274">
        <v>0</v>
      </c>
      <c r="I1904" s="274">
        <v>0</v>
      </c>
      <c r="J1904" s="274">
        <v>62</v>
      </c>
      <c r="K1904" s="284">
        <v>0</v>
      </c>
      <c r="L1904" s="274">
        <v>0</v>
      </c>
      <c r="M1904" s="274">
        <v>0</v>
      </c>
      <c r="N1904" s="274">
        <v>72</v>
      </c>
      <c r="O1904" s="274">
        <v>0</v>
      </c>
      <c r="P1904" s="274">
        <v>164</v>
      </c>
      <c r="Q1904" s="274">
        <v>3</v>
      </c>
      <c r="R1904" s="274">
        <v>393</v>
      </c>
      <c r="S1904" s="274">
        <v>3</v>
      </c>
      <c r="T1904" s="287">
        <f t="shared" si="29"/>
        <v>2018</v>
      </c>
      <c r="U1904" s="274">
        <f>VLOOKUP(A1904,'[1]SB35 Determination Data'!$B$4:$F$542,5,FALSE)</f>
        <v>2016</v>
      </c>
    </row>
    <row r="1905" spans="1:21" s="274" customFormat="1" ht="12.75" x14ac:dyDescent="0.2">
      <c r="A1905" s="274" t="s">
        <v>678</v>
      </c>
      <c r="B1905" s="274" t="s">
        <v>669</v>
      </c>
      <c r="C1905" s="274" t="s">
        <v>654</v>
      </c>
      <c r="D1905" s="295">
        <v>2018</v>
      </c>
      <c r="E1905" s="274" t="s">
        <v>650</v>
      </c>
      <c r="F1905" s="274">
        <v>22</v>
      </c>
      <c r="G1905" s="285">
        <v>3</v>
      </c>
      <c r="H1905" s="274">
        <v>0</v>
      </c>
      <c r="I1905" s="274">
        <v>3</v>
      </c>
      <c r="J1905" s="274">
        <v>17</v>
      </c>
      <c r="K1905" s="284">
        <v>4</v>
      </c>
      <c r="L1905" s="274">
        <v>0</v>
      </c>
      <c r="M1905" s="274">
        <v>4</v>
      </c>
      <c r="N1905" s="274">
        <v>19</v>
      </c>
      <c r="O1905" s="274">
        <v>4</v>
      </c>
      <c r="P1905" s="274">
        <v>62</v>
      </c>
      <c r="Q1905" s="274">
        <v>1</v>
      </c>
      <c r="R1905" s="274">
        <v>120</v>
      </c>
      <c r="S1905" s="274">
        <v>12</v>
      </c>
      <c r="T1905" s="287">
        <f t="shared" si="29"/>
        <v>2018</v>
      </c>
      <c r="U1905" s="274">
        <f>VLOOKUP(A1905,'[1]SB35 Determination Data'!$B$4:$F$542,5,FALSE)</f>
        <v>2015</v>
      </c>
    </row>
    <row r="1906" spans="1:21" s="274" customFormat="1" ht="12.75" x14ac:dyDescent="0.2">
      <c r="A1906" s="274" t="s">
        <v>681</v>
      </c>
      <c r="B1906" s="274" t="s">
        <v>631</v>
      </c>
      <c r="C1906" s="274" t="s">
        <v>660</v>
      </c>
      <c r="D1906" s="295">
        <v>2018</v>
      </c>
      <c r="E1906" s="274" t="s">
        <v>650</v>
      </c>
      <c r="F1906" s="274">
        <v>189</v>
      </c>
      <c r="G1906" s="285">
        <v>12</v>
      </c>
      <c r="H1906" s="274">
        <v>0</v>
      </c>
      <c r="I1906" s="274">
        <v>12</v>
      </c>
      <c r="J1906" s="274">
        <v>117</v>
      </c>
      <c r="K1906" s="284">
        <v>23</v>
      </c>
      <c r="L1906" s="274">
        <v>0</v>
      </c>
      <c r="M1906" s="274">
        <v>23</v>
      </c>
      <c r="N1906" s="274">
        <v>128</v>
      </c>
      <c r="O1906" s="274">
        <v>6</v>
      </c>
      <c r="P1906" s="274">
        <v>321</v>
      </c>
      <c r="Q1906" s="274">
        <v>144</v>
      </c>
      <c r="R1906" s="274">
        <v>755</v>
      </c>
      <c r="S1906" s="274">
        <v>185</v>
      </c>
      <c r="T1906" s="287">
        <f t="shared" si="29"/>
        <v>2018</v>
      </c>
      <c r="U1906" s="274">
        <f>VLOOKUP(A1906,'[1]SB35 Determination Data'!$B$4:$F$542,5,FALSE)</f>
        <v>2014</v>
      </c>
    </row>
    <row r="1907" spans="1:21" s="274" customFormat="1" ht="12.75" x14ac:dyDescent="0.2">
      <c r="A1907" s="274" t="s">
        <v>683</v>
      </c>
      <c r="B1907" s="274" t="s">
        <v>631</v>
      </c>
      <c r="C1907" s="274" t="s">
        <v>660</v>
      </c>
      <c r="D1907" s="295">
        <v>2018</v>
      </c>
      <c r="E1907" s="274" t="s">
        <v>650</v>
      </c>
      <c r="F1907" s="274">
        <v>32</v>
      </c>
      <c r="G1907" s="285">
        <v>0</v>
      </c>
      <c r="H1907" s="274">
        <v>0</v>
      </c>
      <c r="I1907" s="274">
        <v>0</v>
      </c>
      <c r="J1907" s="274">
        <v>21</v>
      </c>
      <c r="K1907" s="284">
        <v>15</v>
      </c>
      <c r="L1907" s="274">
        <v>0</v>
      </c>
      <c r="M1907" s="274">
        <v>15</v>
      </c>
      <c r="N1907" s="274">
        <v>23</v>
      </c>
      <c r="O1907" s="274">
        <v>26</v>
      </c>
      <c r="P1907" s="274">
        <v>58</v>
      </c>
      <c r="Q1907" s="274">
        <v>0</v>
      </c>
      <c r="R1907" s="274">
        <v>134</v>
      </c>
      <c r="S1907" s="274">
        <v>41</v>
      </c>
      <c r="T1907" s="287">
        <f t="shared" si="29"/>
        <v>2018</v>
      </c>
      <c r="U1907" s="274">
        <f>VLOOKUP(A1907,'[1]SB35 Determination Data'!$B$4:$F$542,5,FALSE)</f>
        <v>2014</v>
      </c>
    </row>
    <row r="1908" spans="1:21" s="274" customFormat="1" ht="12.75" x14ac:dyDescent="0.2">
      <c r="A1908" s="274" t="s">
        <v>506</v>
      </c>
      <c r="B1908" s="274" t="s">
        <v>262</v>
      </c>
      <c r="C1908" s="274" t="s">
        <v>649</v>
      </c>
      <c r="D1908" s="295">
        <v>2018</v>
      </c>
      <c r="E1908" s="274" t="s">
        <v>650</v>
      </c>
      <c r="F1908" s="274">
        <v>14</v>
      </c>
      <c r="G1908" s="285">
        <v>0</v>
      </c>
      <c r="H1908" s="274">
        <v>0</v>
      </c>
      <c r="I1908" s="274">
        <v>0</v>
      </c>
      <c r="J1908" s="274">
        <v>9</v>
      </c>
      <c r="K1908" s="284">
        <v>1</v>
      </c>
      <c r="L1908" s="274">
        <v>0</v>
      </c>
      <c r="M1908" s="274">
        <v>1</v>
      </c>
      <c r="N1908" s="274">
        <v>9</v>
      </c>
      <c r="O1908" s="274">
        <v>0</v>
      </c>
      <c r="P1908" s="274">
        <v>23</v>
      </c>
      <c r="Q1908" s="274">
        <v>0</v>
      </c>
      <c r="R1908" s="274">
        <v>55</v>
      </c>
      <c r="S1908" s="274">
        <v>1</v>
      </c>
      <c r="T1908" s="287">
        <f t="shared" si="29"/>
        <v>2018</v>
      </c>
      <c r="U1908" s="274">
        <f>VLOOKUP(A1908,'[1]SB35 Determination Data'!$B$4:$F$542,5,FALSE)</f>
        <v>2014</v>
      </c>
    </row>
    <row r="1909" spans="1:21" s="274" customFormat="1" ht="12.75" x14ac:dyDescent="0.2">
      <c r="A1909" s="274" t="s">
        <v>686</v>
      </c>
      <c r="B1909" s="274" t="s">
        <v>743</v>
      </c>
      <c r="C1909" s="274" t="s">
        <v>649</v>
      </c>
      <c r="D1909" s="295">
        <v>2018</v>
      </c>
      <c r="E1909" s="274" t="s">
        <v>650</v>
      </c>
      <c r="F1909" s="274">
        <v>310</v>
      </c>
      <c r="G1909" s="285">
        <v>5</v>
      </c>
      <c r="H1909" s="274">
        <v>5</v>
      </c>
      <c r="I1909" s="274">
        <v>0</v>
      </c>
      <c r="J1909" s="274">
        <v>208</v>
      </c>
      <c r="K1909" s="284">
        <v>2</v>
      </c>
      <c r="L1909" s="274">
        <v>2</v>
      </c>
      <c r="M1909" s="274">
        <v>0</v>
      </c>
      <c r="N1909" s="274">
        <v>229</v>
      </c>
      <c r="O1909" s="274">
        <v>27</v>
      </c>
      <c r="P1909" s="274">
        <v>509</v>
      </c>
      <c r="Q1909" s="274">
        <v>174</v>
      </c>
      <c r="R1909" s="274">
        <v>1256</v>
      </c>
      <c r="S1909" s="274">
        <v>208</v>
      </c>
      <c r="T1909" s="287">
        <f t="shared" si="29"/>
        <v>2018</v>
      </c>
      <c r="U1909" s="274">
        <f>VLOOKUP(A1909,'[1]SB35 Determination Data'!$B$4:$F$542,5,FALSE)</f>
        <v>2014</v>
      </c>
    </row>
    <row r="1910" spans="1:21" s="274" customFormat="1" ht="12.75" x14ac:dyDescent="0.2">
      <c r="A1910" s="274" t="s">
        <v>688</v>
      </c>
      <c r="B1910" s="274" t="s">
        <v>557</v>
      </c>
      <c r="C1910" s="274" t="s">
        <v>758</v>
      </c>
      <c r="D1910" s="295">
        <v>2018</v>
      </c>
      <c r="E1910" s="274" t="s">
        <v>650</v>
      </c>
      <c r="F1910" s="274">
        <v>85</v>
      </c>
      <c r="G1910" s="285">
        <v>0</v>
      </c>
      <c r="H1910" s="274">
        <v>0</v>
      </c>
      <c r="I1910" s="274">
        <v>0</v>
      </c>
      <c r="J1910" s="274">
        <v>65</v>
      </c>
      <c r="K1910" s="284">
        <v>1</v>
      </c>
      <c r="L1910" s="274">
        <v>1</v>
      </c>
      <c r="M1910" s="274">
        <v>0</v>
      </c>
      <c r="N1910" s="274">
        <v>59</v>
      </c>
      <c r="O1910" s="274">
        <v>5</v>
      </c>
      <c r="P1910" s="274">
        <v>131</v>
      </c>
      <c r="Q1910" s="274">
        <v>11</v>
      </c>
      <c r="R1910" s="274">
        <v>340</v>
      </c>
      <c r="S1910" s="274">
        <v>17</v>
      </c>
      <c r="T1910" s="287">
        <f t="shared" si="29"/>
        <v>2018</v>
      </c>
      <c r="U1910" s="274">
        <f>VLOOKUP(A1910,'[1]SB35 Determination Data'!$B$4:$F$542,5,FALSE)</f>
        <v>2013</v>
      </c>
    </row>
    <row r="1911" spans="1:21" s="274" customFormat="1" ht="12.75" x14ac:dyDescent="0.2">
      <c r="A1911" s="274" t="s">
        <v>689</v>
      </c>
      <c r="B1911" s="274" t="s">
        <v>663</v>
      </c>
      <c r="C1911" s="274" t="s">
        <v>654</v>
      </c>
      <c r="D1911" s="295">
        <v>2018</v>
      </c>
      <c r="E1911" s="274" t="s">
        <v>650</v>
      </c>
      <c r="F1911" s="274">
        <v>26</v>
      </c>
      <c r="G1911" s="285">
        <v>1</v>
      </c>
      <c r="H1911" s="274">
        <v>0</v>
      </c>
      <c r="I1911" s="274">
        <v>1</v>
      </c>
      <c r="J1911" s="274">
        <v>15</v>
      </c>
      <c r="K1911" s="284">
        <v>17</v>
      </c>
      <c r="L1911" s="274">
        <v>0</v>
      </c>
      <c r="M1911" s="274">
        <v>17</v>
      </c>
      <c r="N1911" s="274">
        <v>19</v>
      </c>
      <c r="O1911" s="274">
        <v>3</v>
      </c>
      <c r="P1911" s="274">
        <v>43</v>
      </c>
      <c r="Q1911" s="274">
        <v>13</v>
      </c>
      <c r="R1911" s="274">
        <v>103</v>
      </c>
      <c r="S1911" s="274">
        <v>34</v>
      </c>
      <c r="T1911" s="287">
        <f t="shared" si="29"/>
        <v>2018</v>
      </c>
      <c r="U1911" s="274">
        <f>VLOOKUP(A1911,'[1]SB35 Determination Data'!$B$4:$F$542,5,FALSE)</f>
        <v>2015</v>
      </c>
    </row>
    <row r="1912" spans="1:21" s="274" customFormat="1" ht="12.75" x14ac:dyDescent="0.2">
      <c r="A1912" s="274" t="s">
        <v>690</v>
      </c>
      <c r="B1912" s="274" t="s">
        <v>403</v>
      </c>
      <c r="C1912" s="274" t="s">
        <v>531</v>
      </c>
      <c r="D1912" s="295">
        <v>2018</v>
      </c>
      <c r="E1912" s="274" t="s">
        <v>650</v>
      </c>
      <c r="F1912" s="274">
        <v>46</v>
      </c>
      <c r="G1912" s="285">
        <v>0</v>
      </c>
      <c r="H1912" s="274">
        <v>0</v>
      </c>
      <c r="I1912" s="274">
        <v>0</v>
      </c>
      <c r="J1912" s="274">
        <v>30</v>
      </c>
      <c r="K1912" s="284">
        <v>0</v>
      </c>
      <c r="L1912" s="274">
        <v>0</v>
      </c>
      <c r="M1912" s="274">
        <v>0</v>
      </c>
      <c r="N1912" s="274">
        <v>35</v>
      </c>
      <c r="O1912" s="274">
        <v>0</v>
      </c>
      <c r="P1912" s="274">
        <v>80</v>
      </c>
      <c r="Q1912" s="274">
        <v>131</v>
      </c>
      <c r="R1912" s="274">
        <v>191</v>
      </c>
      <c r="S1912" s="274">
        <v>131</v>
      </c>
      <c r="T1912" s="287">
        <f t="shared" si="29"/>
        <v>2018</v>
      </c>
      <c r="U1912" s="274">
        <f>VLOOKUP(A1912,'[1]SB35 Determination Data'!$B$4:$F$542,5,FALSE)</f>
        <v>2016</v>
      </c>
    </row>
    <row r="1913" spans="1:21" s="274" customFormat="1" ht="12.75" x14ac:dyDescent="0.2">
      <c r="A1913" s="274" t="s">
        <v>692</v>
      </c>
      <c r="B1913" s="274" t="s">
        <v>602</v>
      </c>
      <c r="C1913" s="274" t="s">
        <v>732</v>
      </c>
      <c r="D1913" s="295">
        <v>2018</v>
      </c>
      <c r="E1913" s="274" t="s">
        <v>650</v>
      </c>
      <c r="F1913" s="274">
        <v>42</v>
      </c>
      <c r="G1913" s="285"/>
      <c r="J1913" s="274">
        <v>28</v>
      </c>
      <c r="K1913" s="284"/>
      <c r="N1913" s="274">
        <v>30</v>
      </c>
      <c r="P1913" s="274">
        <v>75</v>
      </c>
      <c r="R1913" s="274">
        <v>175</v>
      </c>
      <c r="T1913" s="287">
        <f t="shared" si="29"/>
        <v>2018</v>
      </c>
      <c r="U1913" s="274">
        <f>VLOOKUP(A1913,'[1]SB35 Determination Data'!$B$4:$F$542,5,FALSE)</f>
        <v>2015</v>
      </c>
    </row>
    <row r="1914" spans="1:21" s="274" customFormat="1" ht="12.75" x14ac:dyDescent="0.2">
      <c r="A1914" s="274" t="s">
        <v>669</v>
      </c>
      <c r="B1914" s="274" t="s">
        <v>669</v>
      </c>
      <c r="C1914" s="274" t="s">
        <v>654</v>
      </c>
      <c r="D1914" s="295">
        <v>2018</v>
      </c>
      <c r="E1914" s="274" t="s">
        <v>650</v>
      </c>
      <c r="F1914" s="274">
        <v>24</v>
      </c>
      <c r="G1914" s="285">
        <v>0</v>
      </c>
      <c r="H1914" s="274">
        <v>0</v>
      </c>
      <c r="I1914" s="274">
        <v>0</v>
      </c>
      <c r="J1914" s="274">
        <v>23</v>
      </c>
      <c r="K1914" s="284">
        <v>7</v>
      </c>
      <c r="L1914" s="274">
        <v>0</v>
      </c>
      <c r="M1914" s="274">
        <v>7</v>
      </c>
      <c r="N1914" s="274">
        <v>27</v>
      </c>
      <c r="O1914" s="274">
        <v>10</v>
      </c>
      <c r="P1914" s="274">
        <v>63</v>
      </c>
      <c r="Q1914" s="274">
        <v>7</v>
      </c>
      <c r="R1914" s="274">
        <v>137</v>
      </c>
      <c r="S1914" s="274">
        <v>24</v>
      </c>
      <c r="T1914" s="287">
        <f t="shared" si="29"/>
        <v>2018</v>
      </c>
      <c r="U1914" s="274">
        <f>VLOOKUP(A1914,'[1]SB35 Determination Data'!$B$4:$F$542,5,FALSE)</f>
        <v>2015</v>
      </c>
    </row>
    <row r="1915" spans="1:21" s="274" customFormat="1" ht="12.75" x14ac:dyDescent="0.2">
      <c r="A1915" s="274" t="s">
        <v>694</v>
      </c>
      <c r="B1915" s="274" t="s">
        <v>669</v>
      </c>
      <c r="C1915" s="274" t="s">
        <v>654</v>
      </c>
      <c r="D1915" s="295">
        <v>2018</v>
      </c>
      <c r="E1915" s="274" t="s">
        <v>650</v>
      </c>
      <c r="F1915" s="274">
        <v>126</v>
      </c>
      <c r="G1915" s="285">
        <v>12</v>
      </c>
      <c r="H1915" s="274">
        <v>12</v>
      </c>
      <c r="I1915" s="274">
        <v>0</v>
      </c>
      <c r="J1915" s="274">
        <v>37</v>
      </c>
      <c r="K1915" s="284">
        <v>86</v>
      </c>
      <c r="L1915" s="274">
        <v>85</v>
      </c>
      <c r="M1915" s="274">
        <v>1</v>
      </c>
      <c r="N1915" s="274">
        <v>160</v>
      </c>
      <c r="O1915" s="274">
        <v>71</v>
      </c>
      <c r="P1915" s="274">
        <v>192</v>
      </c>
      <c r="Q1915" s="274">
        <v>108</v>
      </c>
      <c r="R1915" s="274">
        <v>515</v>
      </c>
      <c r="S1915" s="274">
        <v>277</v>
      </c>
      <c r="T1915" s="287">
        <f t="shared" si="29"/>
        <v>2018</v>
      </c>
      <c r="U1915" s="274">
        <f>VLOOKUP(A1915,'[1]SB35 Determination Data'!$B$4:$F$542,5,FALSE)</f>
        <v>2015</v>
      </c>
    </row>
    <row r="1916" spans="1:21" s="274" customFormat="1" ht="12.75" x14ac:dyDescent="0.2">
      <c r="A1916" s="274" t="s">
        <v>695</v>
      </c>
      <c r="B1916" s="274" t="s">
        <v>733</v>
      </c>
      <c r="C1916" s="274" t="s">
        <v>660</v>
      </c>
      <c r="D1916" s="295">
        <v>2018</v>
      </c>
      <c r="E1916" s="274" t="s">
        <v>650</v>
      </c>
      <c r="F1916" s="274">
        <v>23</v>
      </c>
      <c r="G1916" s="285">
        <v>0</v>
      </c>
      <c r="H1916" s="274">
        <v>0</v>
      </c>
      <c r="I1916" s="274">
        <v>0</v>
      </c>
      <c r="J1916" s="274">
        <v>16</v>
      </c>
      <c r="K1916" s="284">
        <v>0</v>
      </c>
      <c r="L1916" s="274">
        <v>0</v>
      </c>
      <c r="M1916" s="274">
        <v>0</v>
      </c>
      <c r="N1916" s="274">
        <v>19</v>
      </c>
      <c r="O1916" s="274">
        <v>1</v>
      </c>
      <c r="P1916" s="274">
        <v>42</v>
      </c>
      <c r="Q1916" s="274">
        <v>1</v>
      </c>
      <c r="R1916" s="274">
        <v>100</v>
      </c>
      <c r="S1916" s="274">
        <v>2</v>
      </c>
      <c r="T1916" s="287">
        <f t="shared" si="29"/>
        <v>2018</v>
      </c>
      <c r="U1916" s="274">
        <f>VLOOKUP(A1916,'[1]SB35 Determination Data'!$B$4:$F$542,5,FALSE)</f>
        <v>2014</v>
      </c>
    </row>
    <row r="1917" spans="1:21" s="274" customFormat="1" ht="12.75" x14ac:dyDescent="0.2">
      <c r="A1917" s="274" t="s">
        <v>509</v>
      </c>
      <c r="B1917" s="274" t="s">
        <v>262</v>
      </c>
      <c r="C1917" s="274" t="s">
        <v>649</v>
      </c>
      <c r="D1917" s="295">
        <v>2018</v>
      </c>
      <c r="E1917" s="274" t="s">
        <v>650</v>
      </c>
      <c r="F1917" s="274">
        <v>43</v>
      </c>
      <c r="G1917" s="285">
        <v>0</v>
      </c>
      <c r="H1917" s="274">
        <v>0</v>
      </c>
      <c r="I1917" s="274">
        <v>0</v>
      </c>
      <c r="J1917" s="274">
        <v>25</v>
      </c>
      <c r="K1917" s="284">
        <v>6</v>
      </c>
      <c r="L1917" s="274">
        <v>6</v>
      </c>
      <c r="M1917" s="274">
        <v>0</v>
      </c>
      <c r="N1917" s="274">
        <v>28</v>
      </c>
      <c r="O1917" s="274">
        <v>0</v>
      </c>
      <c r="P1917" s="274">
        <v>76</v>
      </c>
      <c r="Q1917" s="274">
        <v>2</v>
      </c>
      <c r="R1917" s="274">
        <v>172</v>
      </c>
      <c r="S1917" s="274">
        <v>8</v>
      </c>
      <c r="T1917" s="287">
        <f t="shared" si="29"/>
        <v>2018</v>
      </c>
      <c r="U1917" s="274">
        <f>VLOOKUP(A1917,'[1]SB35 Determination Data'!$B$4:$F$542,5,FALSE)</f>
        <v>2014</v>
      </c>
    </row>
    <row r="1918" spans="1:21" s="274" customFormat="1" ht="12.75" x14ac:dyDescent="0.2">
      <c r="A1918" s="274" t="s">
        <v>510</v>
      </c>
      <c r="B1918" s="274" t="s">
        <v>262</v>
      </c>
      <c r="C1918" s="274" t="s">
        <v>649</v>
      </c>
      <c r="D1918" s="295">
        <v>2018</v>
      </c>
      <c r="E1918" s="274" t="s">
        <v>650</v>
      </c>
      <c r="F1918" s="274">
        <v>314</v>
      </c>
      <c r="G1918" s="285">
        <v>0</v>
      </c>
      <c r="H1918" s="274">
        <v>0</v>
      </c>
      <c r="I1918" s="274">
        <v>0</v>
      </c>
      <c r="J1918" s="274">
        <v>185</v>
      </c>
      <c r="K1918" s="284">
        <v>0</v>
      </c>
      <c r="L1918" s="274">
        <v>0</v>
      </c>
      <c r="M1918" s="274">
        <v>0</v>
      </c>
      <c r="N1918" s="274">
        <v>205</v>
      </c>
      <c r="O1918" s="274">
        <v>26</v>
      </c>
      <c r="P1918" s="274">
        <v>558</v>
      </c>
      <c r="Q1918" s="274">
        <v>2</v>
      </c>
      <c r="R1918" s="274">
        <v>1262</v>
      </c>
      <c r="S1918" s="274">
        <v>28</v>
      </c>
      <c r="T1918" s="287">
        <f t="shared" si="29"/>
        <v>2018</v>
      </c>
      <c r="U1918" s="274">
        <f>VLOOKUP(A1918,'[1]SB35 Determination Data'!$B$4:$F$542,5,FALSE)</f>
        <v>2014</v>
      </c>
    </row>
    <row r="1919" spans="1:21" s="274" customFormat="1" ht="12.75" x14ac:dyDescent="0.2">
      <c r="A1919" s="274" t="s">
        <v>347</v>
      </c>
      <c r="B1919" s="274" t="s">
        <v>123</v>
      </c>
      <c r="C1919" s="274" t="s">
        <v>717</v>
      </c>
      <c r="D1919" s="295">
        <v>2018</v>
      </c>
      <c r="E1919" s="274" t="s">
        <v>650</v>
      </c>
      <c r="F1919" s="274">
        <v>54</v>
      </c>
      <c r="G1919" s="285">
        <v>0</v>
      </c>
      <c r="H1919" s="274">
        <v>0</v>
      </c>
      <c r="I1919" s="274">
        <v>0</v>
      </c>
      <c r="J1919" s="274">
        <v>38</v>
      </c>
      <c r="K1919" s="284">
        <v>0</v>
      </c>
      <c r="L1919" s="274">
        <v>0</v>
      </c>
      <c r="M1919" s="274">
        <v>0</v>
      </c>
      <c r="N1919" s="274">
        <v>63</v>
      </c>
      <c r="O1919" s="274">
        <v>0</v>
      </c>
      <c r="P1919" s="274">
        <v>181</v>
      </c>
      <c r="Q1919" s="274">
        <v>55</v>
      </c>
      <c r="R1919" s="274">
        <v>336</v>
      </c>
      <c r="S1919" s="274">
        <v>55</v>
      </c>
      <c r="T1919" s="287">
        <f t="shared" si="29"/>
        <v>2018</v>
      </c>
      <c r="U1919" s="274">
        <f>VLOOKUP(A1919,'[1]SB35 Determination Data'!$B$4:$F$542,5,FALSE)</f>
        <v>2014</v>
      </c>
    </row>
    <row r="1920" spans="1:21" s="274" customFormat="1" ht="12.75" x14ac:dyDescent="0.2">
      <c r="A1920" s="274" t="s">
        <v>514</v>
      </c>
      <c r="B1920" s="274" t="s">
        <v>262</v>
      </c>
      <c r="C1920" s="274" t="s">
        <v>649</v>
      </c>
      <c r="D1920" s="295">
        <v>2018</v>
      </c>
      <c r="E1920" s="274" t="s">
        <v>650</v>
      </c>
      <c r="F1920" s="274">
        <v>17</v>
      </c>
      <c r="G1920" s="285">
        <v>1</v>
      </c>
      <c r="H1920" s="274">
        <v>0</v>
      </c>
      <c r="I1920" s="274">
        <v>1</v>
      </c>
      <c r="J1920" s="274">
        <v>10</v>
      </c>
      <c r="K1920" s="284">
        <v>3</v>
      </c>
      <c r="L1920" s="274">
        <v>0</v>
      </c>
      <c r="M1920" s="274">
        <v>3</v>
      </c>
      <c r="N1920" s="274">
        <v>11</v>
      </c>
      <c r="O1920" s="274">
        <v>0</v>
      </c>
      <c r="P1920" s="274">
        <v>25</v>
      </c>
      <c r="Q1920" s="274">
        <v>3</v>
      </c>
      <c r="R1920" s="274">
        <v>63</v>
      </c>
      <c r="S1920" s="274">
        <v>7</v>
      </c>
      <c r="T1920" s="287">
        <f t="shared" si="29"/>
        <v>2018</v>
      </c>
      <c r="U1920" s="274">
        <f>VLOOKUP(A1920,'[1]SB35 Determination Data'!$B$4:$F$542,5,FALSE)</f>
        <v>2014</v>
      </c>
    </row>
    <row r="1921" spans="1:21" s="274" customFormat="1" ht="12.75" x14ac:dyDescent="0.2">
      <c r="A1921" s="274" t="s">
        <v>696</v>
      </c>
      <c r="B1921" s="274" t="s">
        <v>595</v>
      </c>
      <c r="C1921" s="274" t="s">
        <v>654</v>
      </c>
      <c r="D1921" s="295">
        <v>2018</v>
      </c>
      <c r="E1921" s="274" t="s">
        <v>650</v>
      </c>
      <c r="F1921" s="274">
        <v>565</v>
      </c>
      <c r="G1921" s="285">
        <v>0</v>
      </c>
      <c r="H1921" s="274">
        <v>0</v>
      </c>
      <c r="I1921" s="274">
        <v>0</v>
      </c>
      <c r="J1921" s="274">
        <v>281</v>
      </c>
      <c r="K1921" s="284">
        <v>0</v>
      </c>
      <c r="L1921" s="274">
        <v>0</v>
      </c>
      <c r="M1921" s="274">
        <v>0</v>
      </c>
      <c r="N1921" s="274">
        <v>313</v>
      </c>
      <c r="O1921" s="274">
        <v>5</v>
      </c>
      <c r="P1921" s="274">
        <v>705</v>
      </c>
      <c r="Q1921" s="274">
        <v>162</v>
      </c>
      <c r="R1921" s="274">
        <v>1864</v>
      </c>
      <c r="S1921" s="274">
        <v>167</v>
      </c>
      <c r="T1921" s="287">
        <f t="shared" si="29"/>
        <v>2018</v>
      </c>
      <c r="U1921" s="274">
        <f>VLOOKUP(A1921,'[1]SB35 Determination Data'!$B$4:$F$542,5,FALSE)</f>
        <v>2015</v>
      </c>
    </row>
    <row r="1922" spans="1:21" s="274" customFormat="1" ht="12.75" x14ac:dyDescent="0.2">
      <c r="A1922" s="274" t="s">
        <v>697</v>
      </c>
      <c r="B1922" s="274" t="s">
        <v>679</v>
      </c>
      <c r="C1922" s="274" t="s">
        <v>531</v>
      </c>
      <c r="D1922" s="295">
        <v>2018</v>
      </c>
      <c r="E1922" s="274" t="s">
        <v>650</v>
      </c>
      <c r="F1922" s="274">
        <v>538</v>
      </c>
      <c r="G1922" s="285">
        <v>0</v>
      </c>
      <c r="H1922" s="274">
        <v>0</v>
      </c>
      <c r="I1922" s="274">
        <v>0</v>
      </c>
      <c r="J1922" s="274">
        <v>345</v>
      </c>
      <c r="K1922" s="284">
        <v>6</v>
      </c>
      <c r="L1922" s="274">
        <v>0</v>
      </c>
      <c r="M1922" s="274">
        <v>6</v>
      </c>
      <c r="N1922" s="274">
        <v>391</v>
      </c>
      <c r="O1922" s="274">
        <v>0</v>
      </c>
      <c r="P1922" s="274">
        <v>967</v>
      </c>
      <c r="Q1922" s="274">
        <v>108</v>
      </c>
      <c r="R1922" s="274">
        <v>2241</v>
      </c>
      <c r="S1922" s="274">
        <v>114</v>
      </c>
      <c r="T1922" s="287">
        <f t="shared" si="29"/>
        <v>2018</v>
      </c>
      <c r="U1922" s="274">
        <f>VLOOKUP(A1922,'[1]SB35 Determination Data'!$B$4:$F$542,5,FALSE)</f>
        <v>2016</v>
      </c>
    </row>
    <row r="1923" spans="1:21" s="274" customFormat="1" ht="12.75" x14ac:dyDescent="0.2">
      <c r="A1923" s="274" t="s">
        <v>698</v>
      </c>
      <c r="B1923" s="274" t="s">
        <v>436</v>
      </c>
      <c r="C1923" s="274" t="s">
        <v>649</v>
      </c>
      <c r="D1923" s="295">
        <v>2018</v>
      </c>
      <c r="E1923" s="274" t="s">
        <v>650</v>
      </c>
      <c r="F1923" s="274">
        <v>68</v>
      </c>
      <c r="G1923" s="285">
        <v>0</v>
      </c>
      <c r="H1923" s="274">
        <v>0</v>
      </c>
      <c r="I1923" s="274">
        <v>0</v>
      </c>
      <c r="J1923" s="274">
        <v>49</v>
      </c>
      <c r="K1923" s="284">
        <v>0</v>
      </c>
      <c r="L1923" s="274">
        <v>0</v>
      </c>
      <c r="M1923" s="274">
        <v>0</v>
      </c>
      <c r="N1923" s="274">
        <v>56</v>
      </c>
      <c r="O1923" s="274">
        <v>12</v>
      </c>
      <c r="P1923" s="274">
        <v>140</v>
      </c>
      <c r="Q1923" s="274">
        <v>45</v>
      </c>
      <c r="R1923" s="274">
        <v>313</v>
      </c>
      <c r="S1923" s="274">
        <v>57</v>
      </c>
      <c r="T1923" s="287">
        <f t="shared" si="29"/>
        <v>2018</v>
      </c>
      <c r="U1923" s="274">
        <f>VLOOKUP(A1923,'[1]SB35 Determination Data'!$B$4:$F$542,5,FALSE)</f>
        <v>2014</v>
      </c>
    </row>
    <row r="1924" spans="1:21" s="274" customFormat="1" ht="12.75" x14ac:dyDescent="0.2">
      <c r="A1924" s="274" t="s">
        <v>699</v>
      </c>
      <c r="B1924" s="274" t="s">
        <v>383</v>
      </c>
      <c r="C1924" s="274" t="s">
        <v>531</v>
      </c>
      <c r="D1924" s="295">
        <v>2018</v>
      </c>
      <c r="E1924" s="274" t="s">
        <v>650</v>
      </c>
      <c r="F1924" s="274">
        <v>3157</v>
      </c>
      <c r="G1924" s="285">
        <v>0</v>
      </c>
      <c r="H1924" s="274">
        <v>0</v>
      </c>
      <c r="I1924" s="274">
        <v>0</v>
      </c>
      <c r="J1924" s="274">
        <v>2004</v>
      </c>
      <c r="K1924" s="284">
        <v>4</v>
      </c>
      <c r="L1924" s="274">
        <v>0</v>
      </c>
      <c r="M1924" s="274">
        <v>4</v>
      </c>
      <c r="N1924" s="274">
        <v>2103</v>
      </c>
      <c r="O1924" s="274">
        <v>80</v>
      </c>
      <c r="P1924" s="274">
        <v>4560</v>
      </c>
      <c r="Q1924" s="274">
        <v>243</v>
      </c>
      <c r="R1924" s="274">
        <v>11824</v>
      </c>
      <c r="S1924" s="274">
        <v>327</v>
      </c>
      <c r="T1924" s="287">
        <f t="shared" ref="T1924:T1977" si="30">IF(D1924&gt;U1924,D1924,U1924)</f>
        <v>2018</v>
      </c>
      <c r="U1924" s="274">
        <f>VLOOKUP(A1924,'[1]SB35 Determination Data'!$B$4:$F$542,5,FALSE)</f>
        <v>2016</v>
      </c>
    </row>
    <row r="1925" spans="1:21" s="274" customFormat="1" ht="12.75" x14ac:dyDescent="0.2">
      <c r="A1925" s="274" t="s">
        <v>700</v>
      </c>
      <c r="B1925" s="274" t="s">
        <v>663</v>
      </c>
      <c r="C1925" s="274" t="s">
        <v>654</v>
      </c>
      <c r="D1925" s="295">
        <v>2018</v>
      </c>
      <c r="E1925" s="274" t="s">
        <v>650</v>
      </c>
      <c r="F1925" s="274">
        <v>147</v>
      </c>
      <c r="G1925" s="285">
        <v>0</v>
      </c>
      <c r="H1925" s="274">
        <v>0</v>
      </c>
      <c r="I1925" s="274">
        <v>0</v>
      </c>
      <c r="J1925" s="274">
        <v>57</v>
      </c>
      <c r="K1925" s="284">
        <v>0</v>
      </c>
      <c r="L1925" s="274">
        <v>0</v>
      </c>
      <c r="M1925" s="274">
        <v>0</v>
      </c>
      <c r="N1925" s="274">
        <v>60</v>
      </c>
      <c r="O1925" s="274">
        <v>0</v>
      </c>
      <c r="P1925" s="274">
        <v>241</v>
      </c>
      <c r="Q1925" s="274">
        <v>5</v>
      </c>
      <c r="R1925" s="274">
        <v>505</v>
      </c>
      <c r="S1925" s="274">
        <v>5</v>
      </c>
      <c r="T1925" s="287">
        <f t="shared" si="30"/>
        <v>2018</v>
      </c>
      <c r="U1925" s="274">
        <f>VLOOKUP(A1925,'[1]SB35 Determination Data'!$B$4:$F$542,5,FALSE)</f>
        <v>2015</v>
      </c>
    </row>
    <row r="1926" spans="1:21" s="274" customFormat="1" ht="12.75" x14ac:dyDescent="0.2">
      <c r="A1926" s="274" t="s">
        <v>702</v>
      </c>
      <c r="B1926" s="274" t="s">
        <v>614</v>
      </c>
      <c r="C1926" s="274" t="s">
        <v>654</v>
      </c>
      <c r="D1926" s="295">
        <v>2018</v>
      </c>
      <c r="E1926" s="274" t="s">
        <v>650</v>
      </c>
      <c r="F1926" s="274">
        <v>1640</v>
      </c>
      <c r="G1926" s="285">
        <v>0</v>
      </c>
      <c r="H1926" s="274">
        <v>0</v>
      </c>
      <c r="I1926" s="274">
        <v>0</v>
      </c>
      <c r="J1926" s="274">
        <v>906</v>
      </c>
      <c r="K1926" s="284">
        <v>0</v>
      </c>
      <c r="L1926" s="274">
        <v>0</v>
      </c>
      <c r="M1926" s="274">
        <v>0</v>
      </c>
      <c r="N1926" s="274">
        <v>932</v>
      </c>
      <c r="O1926" s="274">
        <v>62</v>
      </c>
      <c r="P1926" s="274">
        <v>1974</v>
      </c>
      <c r="Q1926" s="274">
        <v>207</v>
      </c>
      <c r="R1926" s="274">
        <v>5452</v>
      </c>
      <c r="S1926" s="274">
        <v>269</v>
      </c>
      <c r="T1926" s="287">
        <f t="shared" si="30"/>
        <v>2018</v>
      </c>
      <c r="U1926" s="274">
        <f>VLOOKUP(A1926,'[1]SB35 Determination Data'!$B$4:$F$542,5,FALSE)</f>
        <v>2015</v>
      </c>
    </row>
    <row r="1927" spans="1:21" s="274" customFormat="1" ht="12.75" x14ac:dyDescent="0.2">
      <c r="A1927" s="274" t="s">
        <v>704</v>
      </c>
      <c r="B1927" s="274" t="s">
        <v>691</v>
      </c>
      <c r="C1927" s="274" t="s">
        <v>685</v>
      </c>
      <c r="D1927" s="295">
        <v>2018</v>
      </c>
      <c r="E1927" s="274" t="s">
        <v>650</v>
      </c>
      <c r="F1927" s="274">
        <v>85</v>
      </c>
      <c r="G1927" s="285">
        <v>2</v>
      </c>
      <c r="H1927" s="274">
        <v>0</v>
      </c>
      <c r="I1927" s="274">
        <v>2</v>
      </c>
      <c r="J1927" s="274">
        <v>60</v>
      </c>
      <c r="K1927" s="284">
        <v>1</v>
      </c>
      <c r="L1927" s="274">
        <v>0</v>
      </c>
      <c r="M1927" s="274">
        <v>1</v>
      </c>
      <c r="N1927" s="274">
        <v>62</v>
      </c>
      <c r="O1927" s="274">
        <v>2</v>
      </c>
      <c r="P1927" s="274">
        <v>128</v>
      </c>
      <c r="Q1927" s="274">
        <v>5</v>
      </c>
      <c r="R1927" s="274">
        <v>335</v>
      </c>
      <c r="S1927" s="274">
        <v>10</v>
      </c>
      <c r="T1927" s="287">
        <f t="shared" si="30"/>
        <v>2018</v>
      </c>
      <c r="U1927" s="274">
        <f>VLOOKUP(A1927,'[1]SB35 Determination Data'!$B$4:$F$542,5,FALSE)</f>
        <v>2014</v>
      </c>
    </row>
    <row r="1928" spans="1:21" s="274" customFormat="1" ht="12.75" x14ac:dyDescent="0.2">
      <c r="A1928" s="274" t="s">
        <v>442</v>
      </c>
      <c r="B1928" s="274" t="s">
        <v>220</v>
      </c>
      <c r="C1928" s="274" t="s">
        <v>531</v>
      </c>
      <c r="D1928" s="295">
        <v>2018</v>
      </c>
      <c r="E1928" s="274" t="s">
        <v>650</v>
      </c>
      <c r="F1928" s="274">
        <v>52</v>
      </c>
      <c r="G1928" s="285">
        <v>0</v>
      </c>
      <c r="H1928" s="274">
        <v>0</v>
      </c>
      <c r="I1928" s="274">
        <v>0</v>
      </c>
      <c r="J1928" s="274">
        <v>26</v>
      </c>
      <c r="K1928" s="284">
        <v>0</v>
      </c>
      <c r="L1928" s="274">
        <v>0</v>
      </c>
      <c r="M1928" s="274">
        <v>0</v>
      </c>
      <c r="N1928" s="274">
        <v>30</v>
      </c>
      <c r="O1928" s="274">
        <v>2</v>
      </c>
      <c r="P1928" s="274">
        <v>146</v>
      </c>
      <c r="Q1928" s="274">
        <v>6</v>
      </c>
      <c r="R1928" s="274">
        <v>254</v>
      </c>
      <c r="S1928" s="274">
        <v>8</v>
      </c>
      <c r="T1928" s="287">
        <f t="shared" si="30"/>
        <v>2018</v>
      </c>
      <c r="U1928" s="274">
        <f>VLOOKUP(A1928,'[1]SB35 Determination Data'!$B$4:$F$542,5,FALSE)</f>
        <v>2016</v>
      </c>
    </row>
    <row r="1929" spans="1:21" s="274" customFormat="1" ht="12.75" x14ac:dyDescent="0.2">
      <c r="A1929" s="274" t="s">
        <v>448</v>
      </c>
      <c r="B1929" s="274" t="s">
        <v>220</v>
      </c>
      <c r="C1929" s="274" t="s">
        <v>531</v>
      </c>
      <c r="D1929" s="295">
        <v>2018</v>
      </c>
      <c r="E1929" s="274" t="s">
        <v>650</v>
      </c>
      <c r="F1929" s="274">
        <v>127</v>
      </c>
      <c r="G1929" s="285">
        <v>0</v>
      </c>
      <c r="H1929" s="274">
        <v>0</v>
      </c>
      <c r="I1929" s="274">
        <v>0</v>
      </c>
      <c r="J1929" s="274">
        <v>64</v>
      </c>
      <c r="K1929" s="284">
        <v>0</v>
      </c>
      <c r="L1929" s="274">
        <v>0</v>
      </c>
      <c r="M1929" s="274">
        <v>0</v>
      </c>
      <c r="N1929" s="274">
        <v>88</v>
      </c>
      <c r="O1929" s="274">
        <v>0</v>
      </c>
      <c r="P1929" s="274">
        <v>216</v>
      </c>
      <c r="Q1929" s="274">
        <v>21</v>
      </c>
      <c r="R1929" s="274">
        <v>495</v>
      </c>
      <c r="S1929" s="274">
        <v>21</v>
      </c>
      <c r="T1929" s="287">
        <f t="shared" si="30"/>
        <v>2018</v>
      </c>
      <c r="U1929" s="274">
        <f>VLOOKUP(A1929,'[1]SB35 Determination Data'!$B$4:$F$542,5,FALSE)</f>
        <v>2016</v>
      </c>
    </row>
    <row r="1930" spans="1:21" s="274" customFormat="1" ht="12.75" x14ac:dyDescent="0.2">
      <c r="A1930" s="274" t="s">
        <v>701</v>
      </c>
      <c r="B1930" s="274" t="s">
        <v>701</v>
      </c>
      <c r="C1930" s="274" t="s">
        <v>660</v>
      </c>
      <c r="D1930" s="295">
        <v>2018</v>
      </c>
      <c r="E1930" s="274" t="s">
        <v>650</v>
      </c>
      <c r="F1930" s="274">
        <v>2</v>
      </c>
      <c r="G1930" s="285"/>
      <c r="J1930" s="274">
        <v>2</v>
      </c>
      <c r="K1930" s="284"/>
      <c r="N1930" s="274">
        <v>2</v>
      </c>
      <c r="P1930" s="274">
        <v>4</v>
      </c>
      <c r="R1930" s="274">
        <v>10</v>
      </c>
      <c r="T1930" s="287">
        <f t="shared" si="30"/>
        <v>2018</v>
      </c>
      <c r="U1930" s="274">
        <f>VLOOKUP(A1930,'[1]SB35 Determination Data'!$B$4:$F$542,5,FALSE)</f>
        <v>2014</v>
      </c>
    </row>
    <row r="1931" spans="1:21" s="274" customFormat="1" ht="12.75" x14ac:dyDescent="0.2">
      <c r="A1931" s="274" t="s">
        <v>705</v>
      </c>
      <c r="B1931" s="274" t="s">
        <v>701</v>
      </c>
      <c r="C1931" s="274" t="s">
        <v>660</v>
      </c>
      <c r="D1931" s="295">
        <v>2018</v>
      </c>
      <c r="E1931" s="274" t="s">
        <v>650</v>
      </c>
      <c r="F1931" s="274">
        <v>112</v>
      </c>
      <c r="G1931" s="285"/>
      <c r="J1931" s="274">
        <v>76</v>
      </c>
      <c r="K1931" s="284"/>
      <c r="N1931" s="274">
        <v>89</v>
      </c>
      <c r="P1931" s="274">
        <v>209</v>
      </c>
      <c r="R1931" s="274">
        <v>486</v>
      </c>
      <c r="T1931" s="287">
        <f t="shared" si="30"/>
        <v>2018</v>
      </c>
      <c r="U1931" s="274">
        <f>VLOOKUP(A1931,'[1]SB35 Determination Data'!$B$4:$F$542,5,FALSE)</f>
        <v>2014</v>
      </c>
    </row>
    <row r="1932" spans="1:21" s="274" customFormat="1" ht="12.75" x14ac:dyDescent="0.2">
      <c r="A1932" s="274" t="s">
        <v>706</v>
      </c>
      <c r="B1932" s="274" t="s">
        <v>481</v>
      </c>
      <c r="C1932" s="274" t="s">
        <v>649</v>
      </c>
      <c r="D1932" s="295">
        <v>2018</v>
      </c>
      <c r="E1932" s="274" t="s">
        <v>650</v>
      </c>
      <c r="F1932" s="274">
        <v>375</v>
      </c>
      <c r="G1932" s="285">
        <v>0</v>
      </c>
      <c r="H1932" s="274">
        <v>0</v>
      </c>
      <c r="I1932" s="274">
        <v>0</v>
      </c>
      <c r="J1932" s="274">
        <v>251</v>
      </c>
      <c r="K1932" s="284">
        <v>0</v>
      </c>
      <c r="L1932" s="274">
        <v>0</v>
      </c>
      <c r="M1932" s="274">
        <v>0</v>
      </c>
      <c r="N1932" s="274">
        <v>271</v>
      </c>
      <c r="O1932" s="274">
        <v>0</v>
      </c>
      <c r="P1932" s="274">
        <v>596</v>
      </c>
      <c r="Q1932" s="274">
        <v>90</v>
      </c>
      <c r="R1932" s="274">
        <v>1493</v>
      </c>
      <c r="S1932" s="274">
        <v>90</v>
      </c>
      <c r="T1932" s="287">
        <f t="shared" si="30"/>
        <v>2018</v>
      </c>
      <c r="U1932" s="274">
        <f>VLOOKUP(A1932,'[1]SB35 Determination Data'!$B$4:$F$542,5,FALSE)</f>
        <v>2014</v>
      </c>
    </row>
    <row r="1933" spans="1:21" s="274" customFormat="1" ht="12.75" x14ac:dyDescent="0.2">
      <c r="A1933" s="274" t="s">
        <v>623</v>
      </c>
      <c r="B1933" s="274" t="s">
        <v>262</v>
      </c>
      <c r="C1933" s="274" t="s">
        <v>649</v>
      </c>
      <c r="D1933" s="295">
        <v>2018</v>
      </c>
      <c r="E1933" s="274" t="s">
        <v>650</v>
      </c>
      <c r="F1933" s="274">
        <v>159</v>
      </c>
      <c r="G1933" s="285">
        <v>7</v>
      </c>
      <c r="H1933" s="274">
        <v>0</v>
      </c>
      <c r="I1933" s="274">
        <v>7</v>
      </c>
      <c r="J1933" s="274">
        <v>93</v>
      </c>
      <c r="K1933" s="284">
        <v>0</v>
      </c>
      <c r="L1933" s="274">
        <v>0</v>
      </c>
      <c r="M1933" s="274">
        <v>0</v>
      </c>
      <c r="N1933" s="274">
        <v>99</v>
      </c>
      <c r="O1933" s="274">
        <v>0</v>
      </c>
      <c r="P1933" s="274">
        <v>252</v>
      </c>
      <c r="Q1933" s="274">
        <v>4</v>
      </c>
      <c r="R1933" s="274">
        <v>603</v>
      </c>
      <c r="S1933" s="274">
        <v>11</v>
      </c>
      <c r="T1933" s="287">
        <f t="shared" si="30"/>
        <v>2018</v>
      </c>
      <c r="U1933" s="274">
        <f>VLOOKUP(A1933,'[1]SB35 Determination Data'!$B$4:$F$542,5,FALSE)</f>
        <v>2014</v>
      </c>
    </row>
    <row r="1934" spans="1:21" s="274" customFormat="1" ht="12.75" x14ac:dyDescent="0.2">
      <c r="A1934" s="274" t="s">
        <v>707</v>
      </c>
      <c r="B1934" s="274" t="s">
        <v>743</v>
      </c>
      <c r="C1934" s="274" t="s">
        <v>649</v>
      </c>
      <c r="D1934" s="295">
        <v>2018</v>
      </c>
      <c r="E1934" s="274" t="s">
        <v>650</v>
      </c>
      <c r="F1934" s="274">
        <v>47</v>
      </c>
      <c r="G1934" s="285">
        <v>3</v>
      </c>
      <c r="H1934" s="274">
        <v>3</v>
      </c>
      <c r="I1934" s="274">
        <v>0</v>
      </c>
      <c r="J1934" s="274">
        <v>32</v>
      </c>
      <c r="K1934" s="284">
        <v>0</v>
      </c>
      <c r="L1934" s="274">
        <v>0</v>
      </c>
      <c r="M1934" s="274">
        <v>0</v>
      </c>
      <c r="N1934" s="274">
        <v>36</v>
      </c>
      <c r="O1934" s="274">
        <v>47</v>
      </c>
      <c r="P1934" s="274">
        <v>77</v>
      </c>
      <c r="Q1934" s="274">
        <v>32</v>
      </c>
      <c r="R1934" s="274">
        <v>192</v>
      </c>
      <c r="S1934" s="274">
        <v>82</v>
      </c>
      <c r="T1934" s="287">
        <f t="shared" si="30"/>
        <v>2018</v>
      </c>
      <c r="U1934" s="274">
        <f>VLOOKUP(A1934,'[1]SB35 Determination Data'!$B$4:$F$542,5,FALSE)</f>
        <v>2014</v>
      </c>
    </row>
    <row r="1935" spans="1:21" s="274" customFormat="1" ht="12.75" x14ac:dyDescent="0.2">
      <c r="A1935" s="274" t="s">
        <v>708</v>
      </c>
      <c r="B1935" s="274" t="s">
        <v>301</v>
      </c>
      <c r="C1935" s="274" t="s">
        <v>654</v>
      </c>
      <c r="D1935" s="295">
        <v>2018</v>
      </c>
      <c r="E1935" s="274" t="s">
        <v>650</v>
      </c>
      <c r="F1935" s="274">
        <v>24</v>
      </c>
      <c r="G1935" s="285">
        <v>0</v>
      </c>
      <c r="H1935" s="274">
        <v>0</v>
      </c>
      <c r="I1935" s="274">
        <v>0</v>
      </c>
      <c r="J1935" s="274">
        <v>16</v>
      </c>
      <c r="K1935" s="284">
        <v>1</v>
      </c>
      <c r="L1935" s="274">
        <v>0</v>
      </c>
      <c r="M1935" s="274">
        <v>1</v>
      </c>
      <c r="N1935" s="274">
        <v>19</v>
      </c>
      <c r="O1935" s="274">
        <v>0</v>
      </c>
      <c r="P1935" s="274">
        <v>19</v>
      </c>
      <c r="Q1935" s="274">
        <v>4</v>
      </c>
      <c r="R1935" s="274">
        <v>78</v>
      </c>
      <c r="S1935" s="274">
        <v>5</v>
      </c>
      <c r="T1935" s="287">
        <f t="shared" si="30"/>
        <v>2018</v>
      </c>
      <c r="U1935" s="274">
        <f>VLOOKUP(A1935,'[1]SB35 Determination Data'!$B$4:$F$542,5,FALSE)</f>
        <v>2015</v>
      </c>
    </row>
    <row r="1936" spans="1:21" s="274" customFormat="1" ht="12.75" x14ac:dyDescent="0.2">
      <c r="A1936" s="274" t="s">
        <v>516</v>
      </c>
      <c r="B1936" s="274" t="s">
        <v>262</v>
      </c>
      <c r="C1936" s="274" t="s">
        <v>649</v>
      </c>
      <c r="D1936" s="295">
        <v>2018</v>
      </c>
      <c r="E1936" s="274" t="s">
        <v>650</v>
      </c>
      <c r="F1936" s="274">
        <v>380</v>
      </c>
      <c r="G1936" s="285">
        <v>0</v>
      </c>
      <c r="H1936" s="274">
        <v>0</v>
      </c>
      <c r="I1936" s="274">
        <v>0</v>
      </c>
      <c r="J1936" s="274">
        <v>227</v>
      </c>
      <c r="K1936" s="284">
        <v>0</v>
      </c>
      <c r="L1936" s="274">
        <v>0</v>
      </c>
      <c r="M1936" s="274">
        <v>0</v>
      </c>
      <c r="N1936" s="274">
        <v>243</v>
      </c>
      <c r="O1936" s="274">
        <v>0</v>
      </c>
      <c r="P1936" s="274">
        <v>600</v>
      </c>
      <c r="Q1936" s="274">
        <v>23</v>
      </c>
      <c r="R1936" s="274">
        <v>1450</v>
      </c>
      <c r="S1936" s="274">
        <v>23</v>
      </c>
      <c r="T1936" s="287">
        <f t="shared" si="30"/>
        <v>2018</v>
      </c>
      <c r="U1936" s="274">
        <f>VLOOKUP(A1936,'[1]SB35 Determination Data'!$B$4:$F$542,5,FALSE)</f>
        <v>2014</v>
      </c>
    </row>
    <row r="1937" spans="1:21" s="274" customFormat="1" ht="12.75" x14ac:dyDescent="0.2">
      <c r="A1937" s="274" t="s">
        <v>710</v>
      </c>
      <c r="B1937" s="274" t="s">
        <v>383</v>
      </c>
      <c r="C1937" s="274" t="s">
        <v>531</v>
      </c>
      <c r="D1937" s="295">
        <v>2018</v>
      </c>
      <c r="E1937" s="274" t="s">
        <v>650</v>
      </c>
      <c r="F1937" s="274">
        <v>980</v>
      </c>
      <c r="G1937" s="285">
        <v>0</v>
      </c>
      <c r="H1937" s="274">
        <v>0</v>
      </c>
      <c r="I1937" s="274">
        <v>0</v>
      </c>
      <c r="J1937" s="274">
        <v>705</v>
      </c>
      <c r="K1937" s="284">
        <v>0</v>
      </c>
      <c r="L1937" s="274">
        <v>0</v>
      </c>
      <c r="M1937" s="274">
        <v>0</v>
      </c>
      <c r="N1937" s="274">
        <v>828</v>
      </c>
      <c r="O1937" s="274">
        <v>7</v>
      </c>
      <c r="P1937" s="274">
        <v>2463</v>
      </c>
      <c r="Q1937" s="274">
        <v>1146</v>
      </c>
      <c r="R1937" s="274">
        <v>4976</v>
      </c>
      <c r="S1937" s="274">
        <v>1153</v>
      </c>
      <c r="T1937" s="287">
        <f t="shared" si="30"/>
        <v>2018</v>
      </c>
      <c r="U1937" s="274">
        <f>VLOOKUP(A1937,'[1]SB35 Determination Data'!$B$4:$F$542,5,FALSE)</f>
        <v>2016</v>
      </c>
    </row>
    <row r="1938" spans="1:21" s="274" customFormat="1" ht="12.75" x14ac:dyDescent="0.2">
      <c r="A1938" s="274" t="s">
        <v>713</v>
      </c>
      <c r="B1938" s="274" t="s">
        <v>425</v>
      </c>
      <c r="C1938" s="274" t="s">
        <v>660</v>
      </c>
      <c r="D1938" s="295">
        <v>2018</v>
      </c>
      <c r="E1938" s="274" t="s">
        <v>650</v>
      </c>
      <c r="F1938" s="274">
        <v>108</v>
      </c>
      <c r="G1938" s="285">
        <v>0</v>
      </c>
      <c r="H1938" s="274">
        <v>0</v>
      </c>
      <c r="I1938" s="274">
        <v>0</v>
      </c>
      <c r="J1938" s="274">
        <v>75</v>
      </c>
      <c r="K1938" s="284">
        <v>33</v>
      </c>
      <c r="L1938" s="274">
        <v>6</v>
      </c>
      <c r="M1938" s="274">
        <v>27</v>
      </c>
      <c r="N1938" s="274">
        <v>78</v>
      </c>
      <c r="O1938" s="274">
        <v>96</v>
      </c>
      <c r="P1938" s="274">
        <v>199</v>
      </c>
      <c r="Q1938" s="274">
        <v>122</v>
      </c>
      <c r="R1938" s="274">
        <v>460</v>
      </c>
      <c r="S1938" s="274">
        <v>251</v>
      </c>
      <c r="T1938" s="287">
        <f t="shared" si="30"/>
        <v>2018</v>
      </c>
      <c r="U1938" s="274">
        <f>VLOOKUP(A1938,'[1]SB35 Determination Data'!$B$4:$F$542,5,FALSE)</f>
        <v>2014</v>
      </c>
    </row>
    <row r="1939" spans="1:21" s="274" customFormat="1" ht="12.75" x14ac:dyDescent="0.2">
      <c r="A1939" s="274" t="s">
        <v>714</v>
      </c>
      <c r="B1939" s="274" t="s">
        <v>714</v>
      </c>
      <c r="C1939" s="274" t="s">
        <v>531</v>
      </c>
      <c r="D1939" s="295">
        <v>2018</v>
      </c>
      <c r="E1939" s="274" t="s">
        <v>650</v>
      </c>
      <c r="F1939" s="274">
        <v>920</v>
      </c>
      <c r="G1939" s="285">
        <v>43</v>
      </c>
      <c r="H1939" s="274">
        <v>43</v>
      </c>
      <c r="I1939" s="274">
        <v>0</v>
      </c>
      <c r="J1939" s="274">
        <v>609</v>
      </c>
      <c r="K1939" s="284">
        <v>21</v>
      </c>
      <c r="L1939" s="274">
        <v>21</v>
      </c>
      <c r="M1939" s="274">
        <v>0</v>
      </c>
      <c r="N1939" s="274">
        <v>613</v>
      </c>
      <c r="O1939" s="274">
        <v>0</v>
      </c>
      <c r="P1939" s="274">
        <v>1452</v>
      </c>
      <c r="Q1939" s="274">
        <v>533</v>
      </c>
      <c r="R1939" s="274">
        <v>3594</v>
      </c>
      <c r="S1939" s="274">
        <v>597</v>
      </c>
      <c r="T1939" s="287">
        <f t="shared" si="30"/>
        <v>2018</v>
      </c>
      <c r="U1939" s="274">
        <f>VLOOKUP(A1939,'[1]SB35 Determination Data'!$B$4:$F$542,5,FALSE)</f>
        <v>2016</v>
      </c>
    </row>
    <row r="1940" spans="1:21" s="274" customFormat="1" ht="12.75" x14ac:dyDescent="0.2">
      <c r="A1940" s="274" t="s">
        <v>715</v>
      </c>
      <c r="B1940" s="274" t="s">
        <v>714</v>
      </c>
      <c r="C1940" s="274" t="s">
        <v>531</v>
      </c>
      <c r="D1940" s="295">
        <v>2018</v>
      </c>
      <c r="E1940" s="274" t="s">
        <v>650</v>
      </c>
      <c r="F1940" s="274">
        <v>1477</v>
      </c>
      <c r="G1940" s="285">
        <v>60</v>
      </c>
      <c r="H1940" s="274">
        <v>0</v>
      </c>
      <c r="I1940" s="274">
        <v>60</v>
      </c>
      <c r="J1940" s="274">
        <v>1065</v>
      </c>
      <c r="K1940" s="284">
        <v>41</v>
      </c>
      <c r="L1940" s="274">
        <v>0</v>
      </c>
      <c r="M1940" s="274">
        <v>41</v>
      </c>
      <c r="N1940" s="274">
        <v>1169</v>
      </c>
      <c r="O1940" s="274">
        <v>21</v>
      </c>
      <c r="P1940" s="274">
        <v>3370</v>
      </c>
      <c r="Q1940" s="274">
        <v>23</v>
      </c>
      <c r="R1940" s="274">
        <v>7081</v>
      </c>
      <c r="S1940" s="274">
        <v>145</v>
      </c>
      <c r="T1940" s="287">
        <f t="shared" si="30"/>
        <v>2018</v>
      </c>
      <c r="U1940" s="274">
        <f>VLOOKUP(A1940,'[1]SB35 Determination Data'!$B$4:$F$542,5,FALSE)</f>
        <v>2016</v>
      </c>
    </row>
    <row r="1941" spans="1:21" s="274" customFormat="1" ht="12.75" x14ac:dyDescent="0.2">
      <c r="A1941" s="274" t="s">
        <v>716</v>
      </c>
      <c r="B1941" s="274" t="s">
        <v>651</v>
      </c>
      <c r="C1941" s="274" t="s">
        <v>660</v>
      </c>
      <c r="D1941" s="295">
        <v>2018</v>
      </c>
      <c r="E1941" s="274" t="s">
        <v>650</v>
      </c>
      <c r="F1941" s="274">
        <v>3</v>
      </c>
      <c r="G1941" s="285"/>
      <c r="J1941" s="274">
        <v>2</v>
      </c>
      <c r="K1941" s="284"/>
      <c r="N1941" s="274">
        <v>2</v>
      </c>
      <c r="P1941" s="274">
        <v>6</v>
      </c>
      <c r="R1941" s="274">
        <v>13</v>
      </c>
      <c r="T1941" s="287">
        <f t="shared" si="30"/>
        <v>2018</v>
      </c>
      <c r="U1941" s="274">
        <f>VLOOKUP(A1941,'[1]SB35 Determination Data'!$B$4:$F$542,5,FALSE)</f>
        <v>2014</v>
      </c>
    </row>
    <row r="1942" spans="1:21" s="274" customFormat="1" ht="12.75" x14ac:dyDescent="0.2">
      <c r="A1942" s="274" t="s">
        <v>718</v>
      </c>
      <c r="B1942" s="274" t="s">
        <v>733</v>
      </c>
      <c r="C1942" s="274" t="s">
        <v>660</v>
      </c>
      <c r="D1942" s="295">
        <v>2018</v>
      </c>
      <c r="E1942" s="274" t="s">
        <v>650</v>
      </c>
      <c r="F1942" s="274">
        <v>102</v>
      </c>
      <c r="G1942" s="285">
        <v>0</v>
      </c>
      <c r="H1942" s="274">
        <v>0</v>
      </c>
      <c r="I1942" s="274">
        <v>0</v>
      </c>
      <c r="J1942" s="274">
        <v>74</v>
      </c>
      <c r="K1942" s="284">
        <v>0</v>
      </c>
      <c r="L1942" s="274">
        <v>0</v>
      </c>
      <c r="M1942" s="274">
        <v>0</v>
      </c>
      <c r="N1942" s="274">
        <v>81</v>
      </c>
      <c r="O1942" s="274">
        <v>0</v>
      </c>
      <c r="P1942" s="274">
        <v>193</v>
      </c>
      <c r="Q1942" s="274">
        <v>9</v>
      </c>
      <c r="R1942" s="274">
        <v>450</v>
      </c>
      <c r="S1942" s="274">
        <v>9</v>
      </c>
      <c r="T1942" s="287">
        <f t="shared" si="30"/>
        <v>2018</v>
      </c>
      <c r="U1942" s="274">
        <f>VLOOKUP(A1942,'[1]SB35 Determination Data'!$B$4:$F$542,5,FALSE)</f>
        <v>2014</v>
      </c>
    </row>
    <row r="1943" spans="1:21" s="274" customFormat="1" ht="12.75" x14ac:dyDescent="0.2">
      <c r="A1943" s="274" t="s">
        <v>721</v>
      </c>
      <c r="B1943" s="274" t="s">
        <v>542</v>
      </c>
      <c r="C1943" s="274" t="s">
        <v>649</v>
      </c>
      <c r="D1943" s="295">
        <v>2018</v>
      </c>
      <c r="E1943" s="274" t="s">
        <v>650</v>
      </c>
      <c r="F1943" s="274">
        <v>103</v>
      </c>
      <c r="G1943" s="285">
        <v>0</v>
      </c>
      <c r="H1943" s="274">
        <v>0</v>
      </c>
      <c r="I1943" s="274">
        <v>0</v>
      </c>
      <c r="J1943" s="274">
        <v>72</v>
      </c>
      <c r="K1943" s="284">
        <v>10</v>
      </c>
      <c r="L1943" s="274">
        <v>0</v>
      </c>
      <c r="M1943" s="274">
        <v>10</v>
      </c>
      <c r="N1943" s="274">
        <v>84</v>
      </c>
      <c r="O1943" s="274">
        <v>28</v>
      </c>
      <c r="P1943" s="274">
        <v>195</v>
      </c>
      <c r="Q1943" s="274">
        <v>0</v>
      </c>
      <c r="R1943" s="274">
        <v>454</v>
      </c>
      <c r="S1943" s="274">
        <v>38</v>
      </c>
      <c r="T1943" s="287">
        <f t="shared" si="30"/>
        <v>2018</v>
      </c>
      <c r="U1943" s="274">
        <f>VLOOKUP(A1943,'[1]SB35 Determination Data'!$B$4:$F$542,5,FALSE)</f>
        <v>2014</v>
      </c>
    </row>
    <row r="1944" spans="1:21" s="274" customFormat="1" ht="12.75" x14ac:dyDescent="0.2">
      <c r="A1944" s="274" t="s">
        <v>722</v>
      </c>
      <c r="B1944" s="274" t="s">
        <v>334</v>
      </c>
      <c r="C1944" s="274" t="s">
        <v>660</v>
      </c>
      <c r="D1944" s="295">
        <v>2018</v>
      </c>
      <c r="E1944" s="274" t="s">
        <v>650</v>
      </c>
      <c r="F1944" s="274">
        <v>11</v>
      </c>
      <c r="G1944" s="285">
        <v>37</v>
      </c>
      <c r="H1944" s="274">
        <v>37</v>
      </c>
      <c r="I1944" s="274">
        <v>0</v>
      </c>
      <c r="J1944" s="274">
        <v>7</v>
      </c>
      <c r="K1944" s="284">
        <v>0</v>
      </c>
      <c r="L1944" s="274">
        <v>0</v>
      </c>
      <c r="M1944" s="274">
        <v>0</v>
      </c>
      <c r="N1944" s="274">
        <v>7</v>
      </c>
      <c r="O1944" s="274">
        <v>35</v>
      </c>
      <c r="P1944" s="274">
        <v>20</v>
      </c>
      <c r="Q1944" s="274">
        <v>16</v>
      </c>
      <c r="R1944" s="274">
        <v>45</v>
      </c>
      <c r="S1944" s="274">
        <v>88</v>
      </c>
      <c r="T1944" s="287">
        <f t="shared" si="30"/>
        <v>2018</v>
      </c>
      <c r="U1944" s="274">
        <f>VLOOKUP(A1944,'[1]SB35 Determination Data'!$B$4:$F$542,5,FALSE)</f>
        <v>2014</v>
      </c>
    </row>
    <row r="1945" spans="1:21" s="274" customFormat="1" ht="12.75" x14ac:dyDescent="0.2">
      <c r="A1945" s="274" t="s">
        <v>197</v>
      </c>
      <c r="B1945" s="274" t="s">
        <v>40</v>
      </c>
      <c r="C1945" s="274" t="s">
        <v>654</v>
      </c>
      <c r="D1945" s="295">
        <v>2018</v>
      </c>
      <c r="E1945" s="274" t="s">
        <v>650</v>
      </c>
      <c r="F1945" s="274">
        <v>317</v>
      </c>
      <c r="G1945" s="285">
        <v>0</v>
      </c>
      <c r="H1945" s="274">
        <v>0</v>
      </c>
      <c r="I1945" s="274">
        <v>0</v>
      </c>
      <c r="J1945" s="274">
        <v>180</v>
      </c>
      <c r="K1945" s="284">
        <v>0</v>
      </c>
      <c r="L1945" s="274">
        <v>0</v>
      </c>
      <c r="M1945" s="274">
        <v>0</v>
      </c>
      <c r="N1945" s="274">
        <v>192</v>
      </c>
      <c r="O1945" s="274">
        <v>8</v>
      </c>
      <c r="P1945" s="274">
        <v>417</v>
      </c>
      <c r="Q1945" s="274">
        <v>77</v>
      </c>
      <c r="R1945" s="274">
        <v>1106</v>
      </c>
      <c r="S1945" s="274">
        <v>85</v>
      </c>
      <c r="T1945" s="287">
        <f t="shared" si="30"/>
        <v>2018</v>
      </c>
      <c r="U1945" s="274">
        <f>VLOOKUP(A1945,'[1]SB35 Determination Data'!$B$4:$F$542,5,FALSE)</f>
        <v>2015</v>
      </c>
    </row>
    <row r="1946" spans="1:21" s="274" customFormat="1" ht="12.75" x14ac:dyDescent="0.2">
      <c r="A1946" s="274" t="s">
        <v>197</v>
      </c>
      <c r="B1946" s="274" t="s">
        <v>40</v>
      </c>
      <c r="C1946" s="274" t="s">
        <v>654</v>
      </c>
      <c r="D1946" s="295">
        <v>2018</v>
      </c>
      <c r="E1946" s="274" t="s">
        <v>650</v>
      </c>
      <c r="F1946" s="274">
        <v>317</v>
      </c>
      <c r="G1946" s="285">
        <v>0</v>
      </c>
      <c r="H1946" s="274">
        <v>0</v>
      </c>
      <c r="I1946" s="274">
        <v>0</v>
      </c>
      <c r="J1946" s="274">
        <v>180</v>
      </c>
      <c r="K1946" s="284">
        <v>0</v>
      </c>
      <c r="L1946" s="274">
        <v>0</v>
      </c>
      <c r="M1946" s="274">
        <v>0</v>
      </c>
      <c r="N1946" s="274">
        <v>192</v>
      </c>
      <c r="O1946" s="274">
        <v>8</v>
      </c>
      <c r="P1946" s="274">
        <v>417</v>
      </c>
      <c r="Q1946" s="274">
        <v>77</v>
      </c>
      <c r="R1946" s="274">
        <v>1106</v>
      </c>
      <c r="S1946" s="274">
        <v>85</v>
      </c>
      <c r="T1946" s="287">
        <f t="shared" si="30"/>
        <v>2018</v>
      </c>
      <c r="U1946" s="274">
        <f>VLOOKUP(A1946,'[1]SB35 Determination Data'!$B$4:$F$542,5,FALSE)</f>
        <v>2015</v>
      </c>
    </row>
    <row r="1947" spans="1:21" s="274" customFormat="1" ht="12.75" x14ac:dyDescent="0.2">
      <c r="A1947" s="274" t="s">
        <v>723</v>
      </c>
      <c r="B1947" s="274" t="s">
        <v>542</v>
      </c>
      <c r="C1947" s="274" t="s">
        <v>649</v>
      </c>
      <c r="D1947" s="295">
        <v>2018</v>
      </c>
      <c r="E1947" s="274" t="s">
        <v>650</v>
      </c>
      <c r="F1947" s="274">
        <v>382</v>
      </c>
      <c r="G1947" s="285"/>
      <c r="J1947" s="274">
        <v>260</v>
      </c>
      <c r="K1947" s="284"/>
      <c r="N1947" s="274">
        <v>294</v>
      </c>
      <c r="P1947" s="274">
        <v>653</v>
      </c>
      <c r="R1947" s="274">
        <v>1589</v>
      </c>
      <c r="T1947" s="287">
        <f t="shared" si="30"/>
        <v>2018</v>
      </c>
      <c r="U1947" s="274">
        <f>VLOOKUP(A1947,'[1]SB35 Determination Data'!$B$4:$F$542,5,FALSE)</f>
        <v>2014</v>
      </c>
    </row>
    <row r="1948" spans="1:21" s="274" customFormat="1" ht="12.75" x14ac:dyDescent="0.2">
      <c r="A1948" s="274" t="s">
        <v>724</v>
      </c>
      <c r="B1948" s="274" t="s">
        <v>663</v>
      </c>
      <c r="C1948" s="274" t="s">
        <v>654</v>
      </c>
      <c r="D1948" s="295">
        <v>2018</v>
      </c>
      <c r="E1948" s="274" t="s">
        <v>650</v>
      </c>
      <c r="F1948" s="274">
        <v>287</v>
      </c>
      <c r="G1948" s="285">
        <v>14</v>
      </c>
      <c r="H1948" s="274">
        <v>14</v>
      </c>
      <c r="I1948" s="274">
        <v>0</v>
      </c>
      <c r="J1948" s="274">
        <v>134</v>
      </c>
      <c r="K1948" s="284">
        <v>24</v>
      </c>
      <c r="L1948" s="274">
        <v>24</v>
      </c>
      <c r="M1948" s="274">
        <v>0</v>
      </c>
      <c r="N1948" s="274">
        <v>173</v>
      </c>
      <c r="O1948" s="274">
        <v>1</v>
      </c>
      <c r="P1948" s="274">
        <v>490</v>
      </c>
      <c r="Q1948" s="274">
        <v>205</v>
      </c>
      <c r="R1948" s="274">
        <v>1084</v>
      </c>
      <c r="S1948" s="274">
        <v>244</v>
      </c>
      <c r="T1948" s="287">
        <f t="shared" si="30"/>
        <v>2018</v>
      </c>
      <c r="U1948" s="274">
        <f>VLOOKUP(A1948,'[1]SB35 Determination Data'!$B$4:$F$542,5,FALSE)</f>
        <v>2015</v>
      </c>
    </row>
    <row r="1949" spans="1:21" s="274" customFormat="1" ht="12.75" x14ac:dyDescent="0.2">
      <c r="A1949" s="274" t="s">
        <v>725</v>
      </c>
      <c r="B1949" s="274" t="s">
        <v>663</v>
      </c>
      <c r="C1949" s="274" t="s">
        <v>654</v>
      </c>
      <c r="D1949" s="295">
        <v>2018</v>
      </c>
      <c r="E1949" s="274" t="s">
        <v>650</v>
      </c>
      <c r="F1949" s="274">
        <v>283</v>
      </c>
      <c r="G1949" s="285">
        <v>0</v>
      </c>
      <c r="H1949" s="274">
        <v>0</v>
      </c>
      <c r="I1949" s="274">
        <v>0</v>
      </c>
      <c r="J1949" s="274">
        <v>178</v>
      </c>
      <c r="K1949" s="284">
        <v>0</v>
      </c>
      <c r="L1949" s="274">
        <v>0</v>
      </c>
      <c r="M1949" s="274">
        <v>0</v>
      </c>
      <c r="N1949" s="274">
        <v>211</v>
      </c>
      <c r="O1949" s="274">
        <v>0</v>
      </c>
      <c r="P1949" s="274">
        <v>690</v>
      </c>
      <c r="Q1949" s="274">
        <v>55</v>
      </c>
      <c r="R1949" s="274">
        <v>1362</v>
      </c>
      <c r="S1949" s="274">
        <v>55</v>
      </c>
      <c r="T1949" s="287">
        <f t="shared" si="30"/>
        <v>2018</v>
      </c>
      <c r="U1949" s="274">
        <f>VLOOKUP(A1949,'[1]SB35 Determination Data'!$B$4:$F$542,5,FALSE)</f>
        <v>2015</v>
      </c>
    </row>
    <row r="1950" spans="1:21" s="274" customFormat="1" ht="12.75" x14ac:dyDescent="0.2">
      <c r="A1950" s="274" t="s">
        <v>726</v>
      </c>
      <c r="B1950" s="274" t="s">
        <v>743</v>
      </c>
      <c r="C1950" s="274" t="s">
        <v>649</v>
      </c>
      <c r="D1950" s="295">
        <v>2018</v>
      </c>
      <c r="E1950" s="274" t="s">
        <v>650</v>
      </c>
      <c r="F1950" s="274">
        <v>246</v>
      </c>
      <c r="G1950" s="285">
        <v>11</v>
      </c>
      <c r="H1950" s="274">
        <v>0</v>
      </c>
      <c r="I1950" s="274">
        <v>11</v>
      </c>
      <c r="J1950" s="274">
        <v>168</v>
      </c>
      <c r="K1950" s="284">
        <v>43</v>
      </c>
      <c r="L1950" s="274">
        <v>0</v>
      </c>
      <c r="M1950" s="274">
        <v>43</v>
      </c>
      <c r="N1950" s="274">
        <v>189</v>
      </c>
      <c r="O1950" s="274">
        <v>20</v>
      </c>
      <c r="P1950" s="274">
        <v>412</v>
      </c>
      <c r="Q1950" s="274">
        <v>38</v>
      </c>
      <c r="R1950" s="274">
        <v>1015</v>
      </c>
      <c r="S1950" s="274">
        <v>112</v>
      </c>
      <c r="T1950" s="287">
        <f t="shared" si="30"/>
        <v>2018</v>
      </c>
      <c r="U1950" s="274">
        <f>VLOOKUP(A1950,'[1]SB35 Determination Data'!$B$4:$F$542,5,FALSE)</f>
        <v>2014</v>
      </c>
    </row>
    <row r="1951" spans="1:21" s="274" customFormat="1" ht="12.75" x14ac:dyDescent="0.2">
      <c r="A1951" s="274" t="s">
        <v>728</v>
      </c>
      <c r="B1951" s="274" t="s">
        <v>542</v>
      </c>
      <c r="C1951" s="274" t="s">
        <v>649</v>
      </c>
      <c r="D1951" s="295">
        <v>2018</v>
      </c>
      <c r="E1951" s="274" t="s">
        <v>650</v>
      </c>
      <c r="F1951" s="274">
        <v>1698</v>
      </c>
      <c r="G1951" s="285"/>
      <c r="J1951" s="274">
        <v>1207</v>
      </c>
      <c r="K1951" s="284"/>
      <c r="N1951" s="274">
        <v>1342</v>
      </c>
      <c r="P1951" s="274">
        <v>3124</v>
      </c>
      <c r="R1951" s="274">
        <v>7371</v>
      </c>
      <c r="T1951" s="287">
        <f t="shared" si="30"/>
        <v>2018</v>
      </c>
      <c r="U1951" s="274">
        <f>VLOOKUP(A1951,'[1]SB35 Determination Data'!$B$4:$F$542,5,FALSE)</f>
        <v>2014</v>
      </c>
    </row>
    <row r="1952" spans="1:21" s="274" customFormat="1" ht="12.75" x14ac:dyDescent="0.2">
      <c r="A1952" s="274" t="s">
        <v>729</v>
      </c>
      <c r="B1952" s="274" t="s">
        <v>436</v>
      </c>
      <c r="C1952" s="274" t="s">
        <v>649</v>
      </c>
      <c r="D1952" s="295">
        <v>2018</v>
      </c>
      <c r="E1952" s="274" t="s">
        <v>650</v>
      </c>
      <c r="F1952" s="274">
        <v>3</v>
      </c>
      <c r="G1952" s="285">
        <v>0</v>
      </c>
      <c r="H1952" s="274">
        <v>0</v>
      </c>
      <c r="I1952" s="274">
        <v>0</v>
      </c>
      <c r="J1952" s="274">
        <v>2</v>
      </c>
      <c r="K1952" s="284">
        <v>0</v>
      </c>
      <c r="L1952" s="274">
        <v>0</v>
      </c>
      <c r="M1952" s="274">
        <v>0</v>
      </c>
      <c r="N1952" s="274">
        <v>3</v>
      </c>
      <c r="O1952" s="274">
        <v>3</v>
      </c>
      <c r="P1952" s="274">
        <v>6</v>
      </c>
      <c r="Q1952" s="274">
        <v>3</v>
      </c>
      <c r="R1952" s="274">
        <v>14</v>
      </c>
      <c r="S1952" s="274">
        <v>6</v>
      </c>
      <c r="T1952" s="287">
        <f t="shared" si="30"/>
        <v>2018</v>
      </c>
      <c r="U1952" s="274">
        <f>VLOOKUP(A1952,'[1]SB35 Determination Data'!$B$4:$F$542,5,FALSE)</f>
        <v>2014</v>
      </c>
    </row>
    <row r="1953" spans="1:21" s="274" customFormat="1" ht="12.75" x14ac:dyDescent="0.2">
      <c r="A1953" s="274" t="s">
        <v>730</v>
      </c>
      <c r="B1953" s="274" t="s">
        <v>714</v>
      </c>
      <c r="C1953" s="274" t="s">
        <v>531</v>
      </c>
      <c r="D1953" s="295">
        <v>2018</v>
      </c>
      <c r="E1953" s="274" t="s">
        <v>650</v>
      </c>
      <c r="F1953" s="274">
        <v>2616</v>
      </c>
      <c r="G1953" s="285">
        <v>0</v>
      </c>
      <c r="H1953" s="274">
        <v>0</v>
      </c>
      <c r="I1953" s="274">
        <v>0</v>
      </c>
      <c r="J1953" s="274">
        <v>1931</v>
      </c>
      <c r="K1953" s="284">
        <v>86</v>
      </c>
      <c r="L1953" s="274">
        <v>0</v>
      </c>
      <c r="M1953" s="274">
        <v>86</v>
      </c>
      <c r="N1953" s="274">
        <v>1802</v>
      </c>
      <c r="O1953" s="274">
        <v>102</v>
      </c>
      <c r="P1953" s="274">
        <v>3672</v>
      </c>
      <c r="Q1953" s="274">
        <v>391</v>
      </c>
      <c r="R1953" s="274">
        <v>10021</v>
      </c>
      <c r="S1953" s="274">
        <v>579</v>
      </c>
      <c r="T1953" s="287">
        <f t="shared" si="30"/>
        <v>2018</v>
      </c>
      <c r="U1953" s="274">
        <f>VLOOKUP(A1953,'[1]SB35 Determination Data'!$B$4:$F$542,5,FALSE)</f>
        <v>2016</v>
      </c>
    </row>
    <row r="1954" spans="1:21" s="274" customFormat="1" ht="12.75" x14ac:dyDescent="0.2">
      <c r="A1954" s="274" t="s">
        <v>731</v>
      </c>
      <c r="B1954" s="274" t="s">
        <v>557</v>
      </c>
      <c r="C1954" s="274" t="s">
        <v>758</v>
      </c>
      <c r="D1954" s="295">
        <v>2018</v>
      </c>
      <c r="E1954" s="274" t="s">
        <v>650</v>
      </c>
      <c r="F1954" s="274">
        <v>343</v>
      </c>
      <c r="G1954" s="285">
        <v>0</v>
      </c>
      <c r="H1954" s="274">
        <v>0</v>
      </c>
      <c r="I1954" s="274">
        <v>0</v>
      </c>
      <c r="J1954" s="274">
        <v>260</v>
      </c>
      <c r="K1954" s="284">
        <v>0</v>
      </c>
      <c r="L1954" s="274">
        <v>0</v>
      </c>
      <c r="M1954" s="274">
        <v>0</v>
      </c>
      <c r="N1954" s="274">
        <v>241</v>
      </c>
      <c r="O1954" s="274">
        <v>0</v>
      </c>
      <c r="P1954" s="274">
        <v>530</v>
      </c>
      <c r="Q1954" s="274">
        <v>475</v>
      </c>
      <c r="R1954" s="274">
        <v>1374</v>
      </c>
      <c r="S1954" s="274">
        <v>475</v>
      </c>
      <c r="T1954" s="287">
        <f t="shared" si="30"/>
        <v>2018</v>
      </c>
      <c r="U1954" s="274">
        <f>VLOOKUP(A1954,'[1]SB35 Determination Data'!$B$4:$F$542,5,FALSE)</f>
        <v>2013</v>
      </c>
    </row>
    <row r="1955" spans="1:21" s="274" customFormat="1" ht="12.75" x14ac:dyDescent="0.2">
      <c r="A1955" s="274" t="s">
        <v>517</v>
      </c>
      <c r="B1955" s="274" t="s">
        <v>262</v>
      </c>
      <c r="C1955" s="274" t="s">
        <v>649</v>
      </c>
      <c r="D1955" s="295">
        <v>2018</v>
      </c>
      <c r="E1955" s="274" t="s">
        <v>650</v>
      </c>
      <c r="F1955" s="274">
        <v>246</v>
      </c>
      <c r="G1955" s="285">
        <v>0</v>
      </c>
      <c r="H1955" s="274">
        <v>0</v>
      </c>
      <c r="I1955" s="274">
        <v>0</v>
      </c>
      <c r="J1955" s="274">
        <v>144</v>
      </c>
      <c r="K1955" s="284">
        <v>0</v>
      </c>
      <c r="L1955" s="274">
        <v>0</v>
      </c>
      <c r="M1955" s="274">
        <v>0</v>
      </c>
      <c r="N1955" s="274">
        <v>155</v>
      </c>
      <c r="O1955" s="274">
        <v>0</v>
      </c>
      <c r="P1955" s="274">
        <v>363</v>
      </c>
      <c r="Q1955" s="274">
        <v>15</v>
      </c>
      <c r="R1955" s="274">
        <v>908</v>
      </c>
      <c r="S1955" s="274">
        <v>15</v>
      </c>
      <c r="T1955" s="287">
        <f t="shared" si="30"/>
        <v>2018</v>
      </c>
      <c r="U1955" s="274">
        <f>VLOOKUP(A1955,'[1]SB35 Determination Data'!$B$4:$F$542,5,FALSE)</f>
        <v>2014</v>
      </c>
    </row>
    <row r="1956" spans="1:21" s="274" customFormat="1" ht="12.75" x14ac:dyDescent="0.2">
      <c r="A1956" s="274" t="s">
        <v>444</v>
      </c>
      <c r="B1956" s="274" t="s">
        <v>220</v>
      </c>
      <c r="C1956" s="274" t="s">
        <v>531</v>
      </c>
      <c r="D1956" s="295">
        <v>2018</v>
      </c>
      <c r="E1956" s="274" t="s">
        <v>650</v>
      </c>
      <c r="F1956" s="274">
        <v>350</v>
      </c>
      <c r="G1956" s="285">
        <v>0</v>
      </c>
      <c r="H1956" s="274">
        <v>0</v>
      </c>
      <c r="I1956" s="274">
        <v>0</v>
      </c>
      <c r="J1956" s="274">
        <v>275</v>
      </c>
      <c r="K1956" s="284">
        <v>0</v>
      </c>
      <c r="L1956" s="274">
        <v>0</v>
      </c>
      <c r="M1956" s="274">
        <v>0</v>
      </c>
      <c r="N1956" s="274">
        <v>280</v>
      </c>
      <c r="O1956" s="274">
        <v>0</v>
      </c>
      <c r="P1956" s="274">
        <v>521</v>
      </c>
      <c r="Q1956" s="274">
        <v>96</v>
      </c>
      <c r="R1956" s="274">
        <v>1426</v>
      </c>
      <c r="S1956" s="274">
        <v>96</v>
      </c>
      <c r="T1956" s="287">
        <f t="shared" si="30"/>
        <v>2018</v>
      </c>
      <c r="U1956" s="274">
        <f>VLOOKUP(A1956,'[1]SB35 Determination Data'!$B$4:$F$542,5,FALSE)</f>
        <v>2016</v>
      </c>
    </row>
    <row r="1957" spans="1:21" s="274" customFormat="1" ht="12.75" x14ac:dyDescent="0.2">
      <c r="A1957" s="274" t="s">
        <v>734</v>
      </c>
      <c r="B1957" s="274" t="s">
        <v>679</v>
      </c>
      <c r="C1957" s="274" t="s">
        <v>531</v>
      </c>
      <c r="D1957" s="295">
        <v>2018</v>
      </c>
      <c r="E1957" s="274" t="s">
        <v>650</v>
      </c>
      <c r="F1957" s="274">
        <v>131</v>
      </c>
      <c r="G1957" s="285">
        <v>0</v>
      </c>
      <c r="H1957" s="274">
        <v>0</v>
      </c>
      <c r="I1957" s="274">
        <v>0</v>
      </c>
      <c r="J1957" s="274">
        <v>84</v>
      </c>
      <c r="K1957" s="284">
        <v>0</v>
      </c>
      <c r="L1957" s="274">
        <v>0</v>
      </c>
      <c r="M1957" s="274">
        <v>0</v>
      </c>
      <c r="N1957" s="274">
        <v>89</v>
      </c>
      <c r="O1957" s="274">
        <v>0</v>
      </c>
      <c r="P1957" s="274">
        <v>221</v>
      </c>
      <c r="Q1957" s="274">
        <v>8</v>
      </c>
      <c r="R1957" s="274">
        <v>525</v>
      </c>
      <c r="S1957" s="274">
        <v>8</v>
      </c>
      <c r="T1957" s="287">
        <f t="shared" si="30"/>
        <v>2018</v>
      </c>
      <c r="U1957" s="274">
        <f>VLOOKUP(A1957,'[1]SB35 Determination Data'!$B$4:$F$542,5,FALSE)</f>
        <v>2016</v>
      </c>
    </row>
    <row r="1958" spans="1:21" s="274" customFormat="1" ht="12.75" x14ac:dyDescent="0.2">
      <c r="A1958" s="274" t="s">
        <v>735</v>
      </c>
      <c r="B1958" s="274" t="s">
        <v>621</v>
      </c>
      <c r="C1958" s="274" t="s">
        <v>531</v>
      </c>
      <c r="D1958" s="295">
        <v>2018</v>
      </c>
      <c r="E1958" s="274" t="s">
        <v>650</v>
      </c>
      <c r="F1958" s="274">
        <v>169</v>
      </c>
      <c r="G1958" s="285">
        <v>0</v>
      </c>
      <c r="H1958" s="274">
        <v>0</v>
      </c>
      <c r="I1958" s="274">
        <v>0</v>
      </c>
      <c r="J1958" s="274">
        <v>110</v>
      </c>
      <c r="K1958" s="284">
        <v>0</v>
      </c>
      <c r="L1958" s="274">
        <v>0</v>
      </c>
      <c r="M1958" s="274">
        <v>0</v>
      </c>
      <c r="N1958" s="274">
        <v>128</v>
      </c>
      <c r="O1958" s="274">
        <v>0</v>
      </c>
      <c r="P1958" s="274">
        <v>293</v>
      </c>
      <c r="Q1958" s="274">
        <v>4</v>
      </c>
      <c r="R1958" s="274">
        <v>700</v>
      </c>
      <c r="S1958" s="274">
        <v>4</v>
      </c>
      <c r="T1958" s="287">
        <f t="shared" si="30"/>
        <v>2018</v>
      </c>
      <c r="U1958" s="274">
        <f>VLOOKUP(A1958,'[1]SB35 Determination Data'!$B$4:$F$542,5,FALSE)</f>
        <v>2016</v>
      </c>
    </row>
    <row r="1959" spans="1:21" s="274" customFormat="1" ht="12.75" x14ac:dyDescent="0.2">
      <c r="A1959" s="274" t="s">
        <v>736</v>
      </c>
      <c r="B1959" s="274" t="s">
        <v>651</v>
      </c>
      <c r="C1959" s="274" t="s">
        <v>660</v>
      </c>
      <c r="D1959" s="295">
        <v>2018</v>
      </c>
      <c r="E1959" s="274" t="s">
        <v>650</v>
      </c>
      <c r="F1959" s="274">
        <v>10</v>
      </c>
      <c r="G1959" s="285">
        <v>0</v>
      </c>
      <c r="H1959" s="274">
        <v>0</v>
      </c>
      <c r="I1959" s="274">
        <v>0</v>
      </c>
      <c r="J1959" s="274">
        <v>6</v>
      </c>
      <c r="K1959" s="284">
        <v>0</v>
      </c>
      <c r="L1959" s="274">
        <v>0</v>
      </c>
      <c r="M1959" s="274">
        <v>0</v>
      </c>
      <c r="N1959" s="274">
        <v>6</v>
      </c>
      <c r="O1959" s="274">
        <v>0</v>
      </c>
      <c r="P1959" s="274">
        <v>16</v>
      </c>
      <c r="Q1959" s="274">
        <v>2</v>
      </c>
      <c r="R1959" s="274">
        <v>38</v>
      </c>
      <c r="S1959" s="274">
        <v>2</v>
      </c>
      <c r="T1959" s="287">
        <f t="shared" si="30"/>
        <v>2018</v>
      </c>
      <c r="U1959" s="274">
        <f>VLOOKUP(A1959,'[1]SB35 Determination Data'!$B$4:$F$542,5,FALSE)</f>
        <v>2014</v>
      </c>
    </row>
    <row r="1960" spans="1:21" s="274" customFormat="1" ht="12.75" x14ac:dyDescent="0.2">
      <c r="A1960" s="274" t="s">
        <v>519</v>
      </c>
      <c r="B1960" s="274" t="s">
        <v>262</v>
      </c>
      <c r="C1960" s="274" t="s">
        <v>649</v>
      </c>
      <c r="D1960" s="295">
        <v>2018</v>
      </c>
      <c r="E1960" s="274" t="s">
        <v>650</v>
      </c>
      <c r="F1960" s="274">
        <v>217</v>
      </c>
      <c r="G1960" s="285"/>
      <c r="J1960" s="274">
        <v>129</v>
      </c>
      <c r="K1960" s="284"/>
      <c r="N1960" s="274">
        <v>138</v>
      </c>
      <c r="P1960" s="274">
        <v>347</v>
      </c>
      <c r="R1960" s="274">
        <v>831</v>
      </c>
      <c r="T1960" s="287">
        <f t="shared" si="30"/>
        <v>2018</v>
      </c>
      <c r="U1960" s="274">
        <f>VLOOKUP(A1960,'[1]SB35 Determination Data'!$B$4:$F$542,5,FALSE)</f>
        <v>2014</v>
      </c>
    </row>
    <row r="1961" spans="1:21" s="274" customFormat="1" ht="12.75" x14ac:dyDescent="0.2">
      <c r="A1961" s="274" t="s">
        <v>737</v>
      </c>
      <c r="B1961" s="274" t="s">
        <v>757</v>
      </c>
      <c r="C1961" s="274" t="s">
        <v>685</v>
      </c>
      <c r="D1961" s="295">
        <v>2018</v>
      </c>
      <c r="E1961" s="274" t="s">
        <v>650</v>
      </c>
      <c r="F1961" s="274">
        <v>1316</v>
      </c>
      <c r="G1961" s="285">
        <v>0</v>
      </c>
      <c r="H1961" s="274">
        <v>0</v>
      </c>
      <c r="I1961" s="274">
        <v>0</v>
      </c>
      <c r="J1961" s="274">
        <v>923</v>
      </c>
      <c r="K1961" s="284">
        <v>4</v>
      </c>
      <c r="L1961" s="274">
        <v>0</v>
      </c>
      <c r="M1961" s="274">
        <v>4</v>
      </c>
      <c r="N1961" s="274">
        <v>1111</v>
      </c>
      <c r="O1961" s="274">
        <v>106</v>
      </c>
      <c r="P1961" s="274">
        <v>2627</v>
      </c>
      <c r="Q1961" s="274">
        <v>44</v>
      </c>
      <c r="R1961" s="274">
        <v>5977</v>
      </c>
      <c r="S1961" s="274">
        <v>154</v>
      </c>
      <c r="T1961" s="287">
        <f t="shared" si="30"/>
        <v>2018</v>
      </c>
      <c r="U1961" s="274">
        <f>VLOOKUP(A1961,'[1]SB35 Determination Data'!$B$4:$F$542,5,FALSE)</f>
        <v>2014</v>
      </c>
    </row>
    <row r="1962" spans="1:21" s="274" customFormat="1" ht="12.75" x14ac:dyDescent="0.2">
      <c r="A1962" s="274" t="s">
        <v>626</v>
      </c>
      <c r="B1962" s="274" t="s">
        <v>262</v>
      </c>
      <c r="C1962" s="274" t="s">
        <v>649</v>
      </c>
      <c r="D1962" s="295">
        <v>2018</v>
      </c>
      <c r="E1962" s="274" t="s">
        <v>650</v>
      </c>
      <c r="F1962" s="274">
        <v>12</v>
      </c>
      <c r="G1962" s="285">
        <v>0</v>
      </c>
      <c r="H1962" s="274">
        <v>0</v>
      </c>
      <c r="I1962" s="274">
        <v>0</v>
      </c>
      <c r="J1962" s="274">
        <v>7</v>
      </c>
      <c r="K1962" s="284">
        <v>0</v>
      </c>
      <c r="L1962" s="274">
        <v>0</v>
      </c>
      <c r="M1962" s="274">
        <v>0</v>
      </c>
      <c r="N1962" s="274">
        <v>8</v>
      </c>
      <c r="O1962" s="274">
        <v>0</v>
      </c>
      <c r="P1962" s="274">
        <v>18</v>
      </c>
      <c r="Q1962" s="274">
        <v>2</v>
      </c>
      <c r="R1962" s="274">
        <v>45</v>
      </c>
      <c r="S1962" s="274">
        <v>2</v>
      </c>
      <c r="T1962" s="287">
        <f t="shared" si="30"/>
        <v>2018</v>
      </c>
      <c r="U1962" s="274">
        <f>VLOOKUP(A1962,'[1]SB35 Determination Data'!$B$4:$F$542,5,FALSE)</f>
        <v>2014</v>
      </c>
    </row>
    <row r="1963" spans="1:21" s="274" customFormat="1" ht="12.75" x14ac:dyDescent="0.2">
      <c r="A1963" s="274" t="s">
        <v>738</v>
      </c>
      <c r="B1963" s="274" t="s">
        <v>436</v>
      </c>
      <c r="C1963" s="274" t="s">
        <v>649</v>
      </c>
      <c r="D1963" s="295">
        <v>2018</v>
      </c>
      <c r="E1963" s="274" t="s">
        <v>650</v>
      </c>
      <c r="F1963" s="274">
        <v>1</v>
      </c>
      <c r="G1963" s="285">
        <v>2</v>
      </c>
      <c r="H1963" s="274">
        <v>2</v>
      </c>
      <c r="I1963" s="274">
        <v>0</v>
      </c>
      <c r="J1963" s="274">
        <v>1</v>
      </c>
      <c r="K1963" s="284">
        <v>3</v>
      </c>
      <c r="L1963" s="274">
        <v>3</v>
      </c>
      <c r="M1963" s="274">
        <v>0</v>
      </c>
      <c r="N1963" s="274">
        <v>0</v>
      </c>
      <c r="O1963" s="274">
        <v>0</v>
      </c>
      <c r="P1963" s="274">
        <v>0</v>
      </c>
      <c r="Q1963" s="274">
        <v>103</v>
      </c>
      <c r="R1963" s="274">
        <v>2</v>
      </c>
      <c r="S1963" s="274">
        <v>108</v>
      </c>
      <c r="T1963" s="287">
        <f t="shared" si="30"/>
        <v>2018</v>
      </c>
      <c r="U1963" s="274">
        <f>VLOOKUP(A1963,'[1]SB35 Determination Data'!$B$4:$F$542,5,FALSE)</f>
        <v>2014</v>
      </c>
    </row>
    <row r="1964" spans="1:21" s="274" customFormat="1" ht="12.75" x14ac:dyDescent="0.2">
      <c r="A1964" s="274" t="s">
        <v>423</v>
      </c>
      <c r="B1964" s="274" t="s">
        <v>189</v>
      </c>
      <c r="C1964" s="274" t="s">
        <v>649</v>
      </c>
      <c r="D1964" s="295">
        <v>2018</v>
      </c>
      <c r="E1964" s="274" t="s">
        <v>650</v>
      </c>
      <c r="F1964" s="274">
        <v>57</v>
      </c>
      <c r="G1964" s="285"/>
      <c r="J1964" s="274">
        <v>35</v>
      </c>
      <c r="K1964" s="284"/>
      <c r="N1964" s="274">
        <v>36</v>
      </c>
      <c r="P1964" s="274">
        <v>105</v>
      </c>
      <c r="R1964" s="274">
        <v>233</v>
      </c>
      <c r="T1964" s="287">
        <f t="shared" si="30"/>
        <v>2018</v>
      </c>
      <c r="U1964" s="274">
        <f>VLOOKUP(A1964,'[1]SB35 Determination Data'!$B$4:$F$542,5,FALSE)</f>
        <v>2014</v>
      </c>
    </row>
    <row r="1965" spans="1:21" s="274" customFormat="1" ht="12.75" x14ac:dyDescent="0.2">
      <c r="A1965" s="274" t="s">
        <v>740</v>
      </c>
      <c r="B1965" s="274" t="s">
        <v>481</v>
      </c>
      <c r="C1965" s="274" t="s">
        <v>649</v>
      </c>
      <c r="D1965" s="295">
        <v>2018</v>
      </c>
      <c r="E1965" s="274" t="s">
        <v>650</v>
      </c>
      <c r="F1965" s="274">
        <v>621</v>
      </c>
      <c r="G1965" s="285">
        <v>0</v>
      </c>
      <c r="H1965" s="274">
        <v>0</v>
      </c>
      <c r="I1965" s="274">
        <v>0</v>
      </c>
      <c r="J1965" s="274">
        <v>415</v>
      </c>
      <c r="K1965" s="284">
        <v>14</v>
      </c>
      <c r="L1965" s="274">
        <v>0</v>
      </c>
      <c r="M1965" s="274">
        <v>14</v>
      </c>
      <c r="N1965" s="274">
        <v>461</v>
      </c>
      <c r="O1965" s="274">
        <v>3</v>
      </c>
      <c r="P1965" s="274">
        <v>1038</v>
      </c>
      <c r="Q1965" s="274">
        <v>39</v>
      </c>
      <c r="R1965" s="274">
        <v>2535</v>
      </c>
      <c r="S1965" s="274">
        <v>56</v>
      </c>
      <c r="T1965" s="287">
        <f t="shared" si="30"/>
        <v>2018</v>
      </c>
      <c r="U1965" s="274">
        <f>VLOOKUP(A1965,'[1]SB35 Determination Data'!$B$4:$F$542,5,FALSE)</f>
        <v>2014</v>
      </c>
    </row>
    <row r="1966" spans="1:21" s="274" customFormat="1" ht="12.75" x14ac:dyDescent="0.2">
      <c r="A1966" s="274" t="s">
        <v>742</v>
      </c>
      <c r="B1966" s="274" t="s">
        <v>334</v>
      </c>
      <c r="C1966" s="274" t="s">
        <v>660</v>
      </c>
      <c r="D1966" s="295">
        <v>2018</v>
      </c>
      <c r="E1966" s="274" t="s">
        <v>650</v>
      </c>
      <c r="F1966" s="274">
        <v>3</v>
      </c>
      <c r="G1966" s="285">
        <v>0</v>
      </c>
      <c r="H1966" s="274">
        <v>0</v>
      </c>
      <c r="I1966" s="274">
        <v>0</v>
      </c>
      <c r="J1966" s="274">
        <v>2</v>
      </c>
      <c r="K1966" s="284">
        <v>2</v>
      </c>
      <c r="L1966" s="274">
        <v>0</v>
      </c>
      <c r="M1966" s="274">
        <v>2</v>
      </c>
      <c r="N1966" s="274">
        <v>2</v>
      </c>
      <c r="O1966" s="274">
        <v>0</v>
      </c>
      <c r="P1966" s="274">
        <v>6</v>
      </c>
      <c r="Q1966" s="274">
        <v>1</v>
      </c>
      <c r="R1966" s="274">
        <v>13</v>
      </c>
      <c r="S1966" s="274">
        <v>3</v>
      </c>
      <c r="T1966" s="287">
        <f t="shared" si="30"/>
        <v>2018</v>
      </c>
      <c r="U1966" s="274">
        <f>VLOOKUP(A1966,'[1]SB35 Determination Data'!$B$4:$F$542,5,FALSE)</f>
        <v>2014</v>
      </c>
    </row>
    <row r="1967" spans="1:21" s="274" customFormat="1" ht="12.75" x14ac:dyDescent="0.2">
      <c r="A1967" s="274" t="s">
        <v>744</v>
      </c>
      <c r="B1967" s="274" t="s">
        <v>669</v>
      </c>
      <c r="C1967" s="274" t="s">
        <v>654</v>
      </c>
      <c r="D1967" s="295">
        <v>2018</v>
      </c>
      <c r="E1967" s="274" t="s">
        <v>650</v>
      </c>
      <c r="F1967" s="274">
        <v>120</v>
      </c>
      <c r="G1967" s="285">
        <v>0</v>
      </c>
      <c r="H1967" s="274">
        <v>0</v>
      </c>
      <c r="I1967" s="274">
        <v>0</v>
      </c>
      <c r="J1967" s="274">
        <v>65</v>
      </c>
      <c r="K1967" s="284">
        <v>0</v>
      </c>
      <c r="L1967" s="274">
        <v>0</v>
      </c>
      <c r="M1967" s="274">
        <v>0</v>
      </c>
      <c r="N1967" s="274">
        <v>67</v>
      </c>
      <c r="O1967" s="274">
        <v>0</v>
      </c>
      <c r="P1967" s="274">
        <v>188</v>
      </c>
      <c r="Q1967" s="274">
        <v>18</v>
      </c>
      <c r="R1967" s="274">
        <v>440</v>
      </c>
      <c r="S1967" s="274">
        <v>18</v>
      </c>
      <c r="T1967" s="287">
        <f t="shared" si="30"/>
        <v>2018</v>
      </c>
      <c r="U1967" s="274">
        <f>VLOOKUP(A1967,'[1]SB35 Determination Data'!$B$4:$F$542,5,FALSE)</f>
        <v>2015</v>
      </c>
    </row>
    <row r="1968" spans="1:21" s="274" customFormat="1" ht="12.75" x14ac:dyDescent="0.2">
      <c r="A1968" s="274" t="s">
        <v>745</v>
      </c>
      <c r="B1968" s="274" t="s">
        <v>757</v>
      </c>
      <c r="C1968" s="274" t="s">
        <v>685</v>
      </c>
      <c r="D1968" s="295">
        <v>2018</v>
      </c>
      <c r="E1968" s="274" t="s">
        <v>650</v>
      </c>
      <c r="F1968" s="274">
        <v>76</v>
      </c>
      <c r="G1968" s="285">
        <v>0</v>
      </c>
      <c r="H1968" s="274">
        <v>0</v>
      </c>
      <c r="I1968" s="274">
        <v>0</v>
      </c>
      <c r="J1968" s="274">
        <v>54</v>
      </c>
      <c r="K1968" s="284">
        <v>0</v>
      </c>
      <c r="L1968" s="274">
        <v>0</v>
      </c>
      <c r="M1968" s="274">
        <v>0</v>
      </c>
      <c r="N1968" s="274">
        <v>59</v>
      </c>
      <c r="O1968" s="274">
        <v>0</v>
      </c>
      <c r="P1968" s="274">
        <v>130</v>
      </c>
      <c r="Q1968" s="274">
        <v>36</v>
      </c>
      <c r="R1968" s="274">
        <v>319</v>
      </c>
      <c r="S1968" s="274">
        <v>36</v>
      </c>
      <c r="T1968" s="287">
        <f t="shared" si="30"/>
        <v>2018</v>
      </c>
      <c r="U1968" s="274">
        <f>VLOOKUP(A1968,'[1]SB35 Determination Data'!$B$4:$F$542,5,FALSE)</f>
        <v>2014</v>
      </c>
    </row>
    <row r="1969" spans="1:21" s="274" customFormat="1" ht="12.75" x14ac:dyDescent="0.2">
      <c r="A1969" s="274" t="s">
        <v>746</v>
      </c>
      <c r="B1969" s="274" t="s">
        <v>714</v>
      </c>
      <c r="C1969" s="274" t="s">
        <v>531</v>
      </c>
      <c r="D1969" s="295">
        <v>2018</v>
      </c>
      <c r="E1969" s="274" t="s">
        <v>650</v>
      </c>
      <c r="F1969" s="274">
        <v>71</v>
      </c>
      <c r="G1969" s="285">
        <v>0</v>
      </c>
      <c r="H1969" s="274">
        <v>0</v>
      </c>
      <c r="I1969" s="274">
        <v>0</v>
      </c>
      <c r="J1969" s="274">
        <v>41</v>
      </c>
      <c r="K1969" s="284">
        <v>25</v>
      </c>
      <c r="L1969" s="274">
        <v>0</v>
      </c>
      <c r="M1969" s="274">
        <v>25</v>
      </c>
      <c r="N1969" s="274">
        <v>69</v>
      </c>
      <c r="O1969" s="274">
        <v>0</v>
      </c>
      <c r="P1969" s="274">
        <v>191</v>
      </c>
      <c r="Q1969" s="274">
        <v>0</v>
      </c>
      <c r="R1969" s="274">
        <v>372</v>
      </c>
      <c r="S1969" s="274">
        <v>25</v>
      </c>
      <c r="T1969" s="287">
        <f t="shared" si="30"/>
        <v>2018</v>
      </c>
      <c r="U1969" s="274">
        <f>VLOOKUP(A1969,'[1]SB35 Determination Data'!$B$4:$F$542,5,FALSE)</f>
        <v>2016</v>
      </c>
    </row>
    <row r="1970" spans="1:21" s="274" customFormat="1" ht="12.75" x14ac:dyDescent="0.2">
      <c r="A1970" s="274" t="s">
        <v>747</v>
      </c>
      <c r="B1970" s="274" t="s">
        <v>757</v>
      </c>
      <c r="C1970" s="274" t="s">
        <v>685</v>
      </c>
      <c r="D1970" s="295">
        <v>2018</v>
      </c>
      <c r="E1970" s="274" t="s">
        <v>650</v>
      </c>
      <c r="F1970" s="274">
        <v>390</v>
      </c>
      <c r="G1970" s="285">
        <v>0</v>
      </c>
      <c r="H1970" s="274">
        <v>0</v>
      </c>
      <c r="I1970" s="274">
        <v>0</v>
      </c>
      <c r="J1970" s="274">
        <v>274</v>
      </c>
      <c r="K1970" s="284">
        <v>39</v>
      </c>
      <c r="L1970" s="274">
        <v>39</v>
      </c>
      <c r="M1970" s="274">
        <v>0</v>
      </c>
      <c r="N1970" s="274">
        <v>349</v>
      </c>
      <c r="O1970" s="274">
        <v>38</v>
      </c>
      <c r="P1970" s="274">
        <v>864</v>
      </c>
      <c r="Q1970" s="274">
        <v>174</v>
      </c>
      <c r="R1970" s="274">
        <v>1877</v>
      </c>
      <c r="S1970" s="274">
        <v>251</v>
      </c>
      <c r="T1970" s="287">
        <f t="shared" si="30"/>
        <v>2018</v>
      </c>
      <c r="U1970" s="274">
        <f>VLOOKUP(A1970,'[1]SB35 Determination Data'!$B$4:$F$542,5,FALSE)</f>
        <v>2014</v>
      </c>
    </row>
    <row r="1971" spans="1:21" s="274" customFormat="1" ht="12.75" x14ac:dyDescent="0.2">
      <c r="A1971" s="274" t="s">
        <v>748</v>
      </c>
      <c r="B1971" s="274" t="s">
        <v>595</v>
      </c>
      <c r="C1971" s="274" t="s">
        <v>654</v>
      </c>
      <c r="D1971" s="295">
        <v>2018</v>
      </c>
      <c r="E1971" s="274" t="s">
        <v>650</v>
      </c>
      <c r="F1971" s="274">
        <v>23</v>
      </c>
      <c r="G1971" s="285">
        <v>11</v>
      </c>
      <c r="H1971" s="274">
        <v>0</v>
      </c>
      <c r="I1971" s="274">
        <v>11</v>
      </c>
      <c r="J1971" s="274">
        <v>13</v>
      </c>
      <c r="K1971" s="284">
        <v>2</v>
      </c>
      <c r="L1971" s="274">
        <v>0</v>
      </c>
      <c r="M1971" s="274">
        <v>2</v>
      </c>
      <c r="N1971" s="274">
        <v>15</v>
      </c>
      <c r="O1971" s="274">
        <v>1</v>
      </c>
      <c r="P1971" s="274">
        <v>11</v>
      </c>
      <c r="Q1971" s="274">
        <v>7</v>
      </c>
      <c r="R1971" s="274">
        <v>62</v>
      </c>
      <c r="S1971" s="274">
        <v>21</v>
      </c>
      <c r="T1971" s="287">
        <f t="shared" si="30"/>
        <v>2018</v>
      </c>
      <c r="U1971" s="274">
        <f>VLOOKUP(A1971,'[1]SB35 Determination Data'!$B$4:$F$542,5,FALSE)</f>
        <v>2015</v>
      </c>
    </row>
    <row r="1972" spans="1:21" s="274" customFormat="1" ht="12.75" x14ac:dyDescent="0.2">
      <c r="A1972" s="274" t="s">
        <v>749</v>
      </c>
      <c r="B1972" s="274" t="s">
        <v>757</v>
      </c>
      <c r="C1972" s="274" t="s">
        <v>685</v>
      </c>
      <c r="D1972" s="295">
        <v>2018</v>
      </c>
      <c r="E1972" s="274" t="s">
        <v>650</v>
      </c>
      <c r="F1972" s="274">
        <v>427</v>
      </c>
      <c r="G1972" s="285">
        <v>2</v>
      </c>
      <c r="H1972" s="274">
        <v>0</v>
      </c>
      <c r="I1972" s="274">
        <v>2</v>
      </c>
      <c r="J1972" s="274">
        <v>299</v>
      </c>
      <c r="K1972" s="284">
        <v>1</v>
      </c>
      <c r="L1972" s="274">
        <v>0</v>
      </c>
      <c r="M1972" s="274">
        <v>1</v>
      </c>
      <c r="N1972" s="274">
        <v>351</v>
      </c>
      <c r="O1972" s="274">
        <v>8</v>
      </c>
      <c r="P1972" s="274">
        <v>813</v>
      </c>
      <c r="Q1972" s="274">
        <v>4</v>
      </c>
      <c r="R1972" s="274">
        <v>1890</v>
      </c>
      <c r="S1972" s="274">
        <v>15</v>
      </c>
      <c r="T1972" s="287">
        <f t="shared" si="30"/>
        <v>2018</v>
      </c>
      <c r="U1972" s="274">
        <f>VLOOKUP(A1972,'[1]SB35 Determination Data'!$B$4:$F$542,5,FALSE)</f>
        <v>2014</v>
      </c>
    </row>
    <row r="1973" spans="1:21" s="274" customFormat="1" ht="12.75" x14ac:dyDescent="0.2">
      <c r="A1973" s="274" t="s">
        <v>750</v>
      </c>
      <c r="B1973" s="274" t="s">
        <v>436</v>
      </c>
      <c r="C1973" s="274" t="s">
        <v>649</v>
      </c>
      <c r="D1973" s="295">
        <v>2018</v>
      </c>
      <c r="E1973" s="274" t="s">
        <v>650</v>
      </c>
      <c r="F1973" s="274">
        <v>160</v>
      </c>
      <c r="G1973" s="285">
        <v>2</v>
      </c>
      <c r="H1973" s="274">
        <v>0</v>
      </c>
      <c r="I1973" s="274">
        <v>2</v>
      </c>
      <c r="J1973" s="274">
        <v>113</v>
      </c>
      <c r="K1973" s="284">
        <v>1</v>
      </c>
      <c r="L1973" s="274">
        <v>0</v>
      </c>
      <c r="M1973" s="274">
        <v>1</v>
      </c>
      <c r="N1973" s="274">
        <v>126</v>
      </c>
      <c r="O1973" s="274">
        <v>0</v>
      </c>
      <c r="P1973" s="274">
        <v>270</v>
      </c>
      <c r="Q1973" s="274">
        <v>117</v>
      </c>
      <c r="R1973" s="274">
        <v>669</v>
      </c>
      <c r="S1973" s="274">
        <v>120</v>
      </c>
      <c r="T1973" s="287">
        <f t="shared" si="30"/>
        <v>2018</v>
      </c>
      <c r="U1973" s="274">
        <f>VLOOKUP(A1973,'[1]SB35 Determination Data'!$B$4:$F$542,5,FALSE)</f>
        <v>2014</v>
      </c>
    </row>
    <row r="1974" spans="1:21" s="274" customFormat="1" ht="12.75" x14ac:dyDescent="0.2">
      <c r="A1974" s="274" t="s">
        <v>751</v>
      </c>
      <c r="B1974" s="274" t="s">
        <v>411</v>
      </c>
      <c r="C1974" s="274" t="s">
        <v>654</v>
      </c>
      <c r="D1974" s="295">
        <v>2018</v>
      </c>
      <c r="E1974" s="274" t="s">
        <v>650</v>
      </c>
      <c r="F1974" s="274">
        <v>4</v>
      </c>
      <c r="G1974" s="285">
        <v>0</v>
      </c>
      <c r="H1974" s="274">
        <v>0</v>
      </c>
      <c r="I1974" s="274">
        <v>0</v>
      </c>
      <c r="J1974" s="274">
        <v>2</v>
      </c>
      <c r="K1974" s="284">
        <v>0</v>
      </c>
      <c r="L1974" s="274">
        <v>0</v>
      </c>
      <c r="M1974" s="274">
        <v>0</v>
      </c>
      <c r="N1974" s="274">
        <v>3</v>
      </c>
      <c r="O1974" s="274">
        <v>3</v>
      </c>
      <c r="P1974" s="274">
        <v>8</v>
      </c>
      <c r="Q1974" s="274">
        <v>0</v>
      </c>
      <c r="R1974" s="274">
        <v>17</v>
      </c>
      <c r="S1974" s="274">
        <v>3</v>
      </c>
      <c r="T1974" s="287">
        <f t="shared" si="30"/>
        <v>2018</v>
      </c>
      <c r="U1974" s="274">
        <f>VLOOKUP(A1974,'[1]SB35 Determination Data'!$B$4:$F$542,5,FALSE)</f>
        <v>2015</v>
      </c>
    </row>
    <row r="1975" spans="1:21" s="274" customFormat="1" ht="12.75" x14ac:dyDescent="0.2">
      <c r="A1975" s="274" t="s">
        <v>752</v>
      </c>
      <c r="B1975" s="274" t="s">
        <v>651</v>
      </c>
      <c r="C1975" s="274" t="s">
        <v>660</v>
      </c>
      <c r="D1975" s="295">
        <v>2018</v>
      </c>
      <c r="E1975" s="274" t="s">
        <v>650</v>
      </c>
      <c r="F1975" s="274">
        <v>25</v>
      </c>
      <c r="G1975" s="285">
        <v>0</v>
      </c>
      <c r="H1975" s="274">
        <v>0</v>
      </c>
      <c r="I1975" s="274">
        <v>0</v>
      </c>
      <c r="J1975" s="274">
        <v>17</v>
      </c>
      <c r="K1975" s="284">
        <v>0</v>
      </c>
      <c r="L1975" s="274">
        <v>0</v>
      </c>
      <c r="M1975" s="274">
        <v>0</v>
      </c>
      <c r="N1975" s="274">
        <v>18</v>
      </c>
      <c r="O1975" s="274">
        <v>1</v>
      </c>
      <c r="P1975" s="274">
        <v>43</v>
      </c>
      <c r="Q1975" s="274">
        <v>0</v>
      </c>
      <c r="R1975" s="274">
        <v>103</v>
      </c>
      <c r="S1975" s="274">
        <v>1</v>
      </c>
      <c r="T1975" s="287">
        <f t="shared" si="30"/>
        <v>2018</v>
      </c>
      <c r="U1975" s="274">
        <f>VLOOKUP(A1975,'[1]SB35 Determination Data'!$B$4:$F$542,5,FALSE)</f>
        <v>2014</v>
      </c>
    </row>
    <row r="1976" spans="1:21" s="274" customFormat="1" ht="12.75" x14ac:dyDescent="0.2">
      <c r="A1976" s="274" t="s">
        <v>755</v>
      </c>
      <c r="B1976" s="274" t="s">
        <v>542</v>
      </c>
      <c r="C1976" s="274" t="s">
        <v>649</v>
      </c>
      <c r="D1976" s="295">
        <v>2018</v>
      </c>
      <c r="E1976" s="274" t="s">
        <v>650</v>
      </c>
      <c r="F1976" s="274">
        <v>376</v>
      </c>
      <c r="G1976" s="285">
        <v>19</v>
      </c>
      <c r="H1976" s="274">
        <v>19</v>
      </c>
      <c r="I1976" s="274">
        <v>0</v>
      </c>
      <c r="J1976" s="274">
        <v>261</v>
      </c>
      <c r="K1976" s="284">
        <v>77</v>
      </c>
      <c r="L1976" s="274">
        <v>77</v>
      </c>
      <c r="M1976" s="274">
        <v>0</v>
      </c>
      <c r="N1976" s="274">
        <v>299</v>
      </c>
      <c r="O1976" s="274">
        <v>0</v>
      </c>
      <c r="P1976" s="274">
        <v>669</v>
      </c>
      <c r="Q1976" s="274">
        <v>13</v>
      </c>
      <c r="R1976" s="274">
        <v>1605</v>
      </c>
      <c r="S1976" s="274">
        <v>109</v>
      </c>
      <c r="T1976" s="287">
        <f t="shared" si="30"/>
        <v>2018</v>
      </c>
      <c r="U1976" s="274">
        <f>VLOOKUP(A1976,'[1]SB35 Determination Data'!$B$4:$F$542,5,FALSE)</f>
        <v>2014</v>
      </c>
    </row>
    <row r="1977" spans="1:21" s="274" customFormat="1" ht="12.75" x14ac:dyDescent="0.2">
      <c r="A1977" s="274" t="s">
        <v>756</v>
      </c>
      <c r="B1977" s="274" t="s">
        <v>542</v>
      </c>
      <c r="C1977" s="274" t="s">
        <v>649</v>
      </c>
      <c r="D1977" s="295">
        <v>2018</v>
      </c>
      <c r="E1977" s="274" t="s">
        <v>650</v>
      </c>
      <c r="F1977" s="274">
        <v>209</v>
      </c>
      <c r="G1977" s="285">
        <v>0</v>
      </c>
      <c r="H1977" s="274">
        <v>0</v>
      </c>
      <c r="I1977" s="274">
        <v>0</v>
      </c>
      <c r="J1977" s="274">
        <v>149</v>
      </c>
      <c r="K1977" s="284">
        <v>0</v>
      </c>
      <c r="L1977" s="274">
        <v>0</v>
      </c>
      <c r="M1977" s="274">
        <v>0</v>
      </c>
      <c r="N1977" s="274">
        <v>172</v>
      </c>
      <c r="O1977" s="274">
        <v>0</v>
      </c>
      <c r="P1977" s="274">
        <v>400</v>
      </c>
      <c r="Q1977" s="274">
        <v>38</v>
      </c>
      <c r="R1977" s="274">
        <v>930</v>
      </c>
      <c r="S1977" s="274">
        <v>38</v>
      </c>
      <c r="T1977" s="287">
        <f t="shared" si="30"/>
        <v>2018</v>
      </c>
      <c r="U1977" s="274">
        <f>VLOOKUP(A1977,'[1]SB35 Determination Data'!$B$4:$F$542,5,FALSE)</f>
        <v>2014</v>
      </c>
    </row>
    <row r="1978" spans="1:21" s="274" customFormat="1" ht="12.75" x14ac:dyDescent="0.2">
      <c r="D1978" s="295"/>
      <c r="F1978" s="274">
        <f>F31/2</f>
        <v>58</v>
      </c>
      <c r="P1978" s="291"/>
    </row>
    <row r="1979" spans="1:21" ht="12.75" x14ac:dyDescent="0.2">
      <c r="A1979" s="55" t="s">
        <v>362</v>
      </c>
      <c r="B1979" s="55" t="s">
        <v>557</v>
      </c>
      <c r="C1979" s="55" t="s">
        <v>758</v>
      </c>
      <c r="D1979" s="56">
        <v>2017</v>
      </c>
      <c r="E1979" s="55" t="s">
        <v>650</v>
      </c>
      <c r="F1979" s="57">
        <v>587</v>
      </c>
      <c r="G1979" s="57">
        <v>4</v>
      </c>
      <c r="H1979" s="58">
        <v>4</v>
      </c>
      <c r="I1979" s="57">
        <v>0</v>
      </c>
      <c r="J1979" s="57">
        <v>446</v>
      </c>
      <c r="K1979" s="57">
        <v>1</v>
      </c>
      <c r="L1979" s="57">
        <v>1</v>
      </c>
      <c r="M1979" s="57">
        <v>0</v>
      </c>
      <c r="N1979" s="57">
        <v>413</v>
      </c>
      <c r="O1979" s="57">
        <v>0</v>
      </c>
      <c r="P1979" s="57">
        <v>907</v>
      </c>
      <c r="Q1979" s="58">
        <v>109</v>
      </c>
    </row>
    <row r="1980" spans="1:21" ht="12.75" x14ac:dyDescent="0.2">
      <c r="A1980" s="55" t="s">
        <v>366</v>
      </c>
      <c r="B1980" s="55" t="s">
        <v>557</v>
      </c>
      <c r="C1980" s="55" t="s">
        <v>758</v>
      </c>
      <c r="D1980" s="56">
        <v>2013</v>
      </c>
      <c r="E1980" s="55" t="s">
        <v>650</v>
      </c>
      <c r="F1980" s="57">
        <v>1042</v>
      </c>
      <c r="G1980" s="57">
        <v>46</v>
      </c>
      <c r="H1980" s="58">
        <v>46</v>
      </c>
      <c r="I1980" s="57">
        <v>0</v>
      </c>
      <c r="J1980" s="57">
        <v>791</v>
      </c>
      <c r="K1980" s="57">
        <v>44</v>
      </c>
      <c r="L1980" s="57">
        <v>44</v>
      </c>
      <c r="M1980" s="57">
        <v>0</v>
      </c>
      <c r="N1980" s="57">
        <v>733</v>
      </c>
      <c r="O1980" s="57">
        <v>7</v>
      </c>
      <c r="P1980" s="57">
        <v>1609</v>
      </c>
      <c r="Q1980" s="58">
        <v>497</v>
      </c>
    </row>
    <row r="1981" spans="1:21" ht="12.75" x14ac:dyDescent="0.2">
      <c r="A1981" s="55" t="s">
        <v>366</v>
      </c>
      <c r="B1981" s="59" t="s">
        <v>557</v>
      </c>
      <c r="C1981" s="55" t="s">
        <v>758</v>
      </c>
      <c r="D1981" s="96">
        <v>2014</v>
      </c>
      <c r="E1981" s="55" t="s">
        <v>650</v>
      </c>
      <c r="F1981" s="57">
        <v>1042</v>
      </c>
      <c r="G1981" s="57">
        <v>0</v>
      </c>
      <c r="H1981" s="61">
        <v>0</v>
      </c>
      <c r="I1981" s="57">
        <v>0</v>
      </c>
      <c r="J1981" s="57">
        <v>791</v>
      </c>
      <c r="K1981" s="57">
        <v>0</v>
      </c>
      <c r="L1981" s="60">
        <v>0</v>
      </c>
      <c r="M1981" s="57">
        <v>0</v>
      </c>
      <c r="N1981" s="60">
        <v>733</v>
      </c>
      <c r="O1981" s="57">
        <v>0</v>
      </c>
      <c r="P1981" s="57">
        <v>1609</v>
      </c>
      <c r="Q1981" s="61">
        <v>56</v>
      </c>
    </row>
    <row r="1982" spans="1:21" ht="12.75" x14ac:dyDescent="0.2">
      <c r="A1982" s="55" t="s">
        <v>366</v>
      </c>
      <c r="B1982" s="59" t="s">
        <v>557</v>
      </c>
      <c r="C1982" s="55" t="s">
        <v>758</v>
      </c>
      <c r="D1982" s="96">
        <v>2015</v>
      </c>
      <c r="E1982" s="55" t="s">
        <v>650</v>
      </c>
      <c r="F1982" s="57">
        <v>1042</v>
      </c>
      <c r="G1982" s="57">
        <v>0</v>
      </c>
      <c r="H1982" s="61">
        <v>0</v>
      </c>
      <c r="I1982" s="57">
        <v>0</v>
      </c>
      <c r="J1982" s="57">
        <v>791</v>
      </c>
      <c r="K1982" s="57">
        <v>11</v>
      </c>
      <c r="L1982" s="60">
        <v>11</v>
      </c>
      <c r="M1982" s="57">
        <v>0</v>
      </c>
      <c r="N1982" s="60">
        <v>733</v>
      </c>
      <c r="O1982" s="57">
        <v>0</v>
      </c>
      <c r="P1982" s="57">
        <v>1609</v>
      </c>
      <c r="Q1982" s="61">
        <v>7</v>
      </c>
    </row>
    <row r="1983" spans="1:21" ht="12.75" x14ac:dyDescent="0.2">
      <c r="A1983" s="55" t="s">
        <v>366</v>
      </c>
      <c r="B1983" s="55" t="s">
        <v>557</v>
      </c>
      <c r="C1983" s="55" t="s">
        <v>758</v>
      </c>
      <c r="D1983" s="56">
        <v>2016</v>
      </c>
      <c r="E1983" s="55" t="s">
        <v>650</v>
      </c>
      <c r="F1983" s="57">
        <v>1042</v>
      </c>
      <c r="G1983" s="57">
        <v>0</v>
      </c>
      <c r="H1983" s="58">
        <v>0</v>
      </c>
      <c r="I1983" s="57">
        <v>0</v>
      </c>
      <c r="J1983" s="57">
        <v>791</v>
      </c>
      <c r="K1983" s="57">
        <v>0</v>
      </c>
      <c r="L1983" s="57">
        <v>0</v>
      </c>
      <c r="M1983" s="57">
        <v>0</v>
      </c>
      <c r="N1983" s="57">
        <v>733</v>
      </c>
      <c r="O1983" s="57">
        <v>1</v>
      </c>
      <c r="P1983" s="57">
        <v>1609</v>
      </c>
      <c r="Q1983" s="58">
        <v>163</v>
      </c>
    </row>
    <row r="1984" spans="1:21" ht="12.75" x14ac:dyDescent="0.2">
      <c r="A1984" s="55" t="s">
        <v>366</v>
      </c>
      <c r="B1984" s="55" t="s">
        <v>557</v>
      </c>
      <c r="C1984" s="55" t="s">
        <v>758</v>
      </c>
      <c r="D1984" s="56">
        <v>2017</v>
      </c>
      <c r="E1984" s="55" t="s">
        <v>650</v>
      </c>
      <c r="F1984" s="57">
        <v>1042</v>
      </c>
      <c r="G1984" s="57">
        <v>46</v>
      </c>
      <c r="H1984" s="58">
        <v>46</v>
      </c>
      <c r="I1984" s="57">
        <v>0</v>
      </c>
      <c r="J1984" s="57">
        <v>791</v>
      </c>
      <c r="K1984" s="57">
        <v>34</v>
      </c>
      <c r="L1984" s="57">
        <v>34</v>
      </c>
      <c r="M1984" s="57">
        <v>0</v>
      </c>
      <c r="N1984" s="57">
        <v>733</v>
      </c>
      <c r="O1984" s="57">
        <v>5</v>
      </c>
      <c r="P1984" s="57">
        <v>1609</v>
      </c>
      <c r="Q1984" s="58">
        <v>410</v>
      </c>
    </row>
    <row r="1985" spans="1:17" ht="12.75" x14ac:dyDescent="0.2">
      <c r="A1985" s="55" t="s">
        <v>435</v>
      </c>
      <c r="B1985" s="55" t="s">
        <v>557</v>
      </c>
      <c r="C1985" s="55" t="s">
        <v>758</v>
      </c>
      <c r="D1985" s="56">
        <v>2013</v>
      </c>
      <c r="E1985" s="55" t="s">
        <v>650</v>
      </c>
      <c r="F1985" s="57">
        <v>63</v>
      </c>
      <c r="G1985" s="57">
        <v>3</v>
      </c>
      <c r="H1985" s="58">
        <v>3</v>
      </c>
      <c r="I1985" s="57">
        <v>0</v>
      </c>
      <c r="J1985" s="57">
        <v>48</v>
      </c>
      <c r="K1985" s="57">
        <v>26</v>
      </c>
      <c r="L1985" s="57">
        <v>26</v>
      </c>
      <c r="M1985" s="57">
        <v>0</v>
      </c>
      <c r="N1985" s="57">
        <v>45</v>
      </c>
      <c r="O1985" s="57">
        <v>5</v>
      </c>
      <c r="P1985" s="57">
        <v>98</v>
      </c>
      <c r="Q1985" s="58">
        <v>22</v>
      </c>
    </row>
    <row r="1986" spans="1:17" ht="12.75" x14ac:dyDescent="0.2">
      <c r="A1986" s="55" t="s">
        <v>435</v>
      </c>
      <c r="B1986" s="55" t="s">
        <v>557</v>
      </c>
      <c r="C1986" s="55" t="s">
        <v>758</v>
      </c>
      <c r="D1986" s="56">
        <v>2014</v>
      </c>
      <c r="E1986" s="55" t="s">
        <v>650</v>
      </c>
      <c r="F1986" s="57">
        <v>63</v>
      </c>
      <c r="G1986" s="57">
        <v>0</v>
      </c>
      <c r="H1986" s="58">
        <v>0</v>
      </c>
      <c r="I1986" s="57">
        <v>0</v>
      </c>
      <c r="J1986" s="57">
        <v>48</v>
      </c>
      <c r="K1986" s="57">
        <v>6</v>
      </c>
      <c r="L1986" s="57">
        <v>6</v>
      </c>
      <c r="M1986" s="57">
        <v>0</v>
      </c>
      <c r="N1986" s="57">
        <v>45</v>
      </c>
      <c r="O1986" s="57">
        <v>0</v>
      </c>
      <c r="P1986" s="57">
        <v>98</v>
      </c>
      <c r="Q1986" s="58">
        <v>40</v>
      </c>
    </row>
    <row r="1987" spans="1:17" ht="12.75" x14ac:dyDescent="0.2">
      <c r="A1987" s="55" t="s">
        <v>435</v>
      </c>
      <c r="B1987" s="55" t="s">
        <v>557</v>
      </c>
      <c r="C1987" s="55" t="s">
        <v>758</v>
      </c>
      <c r="D1987" s="56">
        <v>2015</v>
      </c>
      <c r="E1987" s="55" t="s">
        <v>650</v>
      </c>
      <c r="F1987" s="57">
        <v>63</v>
      </c>
      <c r="G1987" s="57">
        <v>0</v>
      </c>
      <c r="H1987" s="58">
        <v>0</v>
      </c>
      <c r="I1987" s="57">
        <v>0</v>
      </c>
      <c r="J1987" s="57">
        <v>48</v>
      </c>
      <c r="K1987" s="57">
        <v>0</v>
      </c>
      <c r="L1987" s="57">
        <v>0</v>
      </c>
      <c r="M1987" s="57">
        <v>0</v>
      </c>
      <c r="N1987" s="57">
        <v>45</v>
      </c>
      <c r="O1987" s="57">
        <v>0</v>
      </c>
      <c r="P1987" s="57">
        <v>98</v>
      </c>
      <c r="Q1987" s="58">
        <v>20</v>
      </c>
    </row>
    <row r="1988" spans="1:17" ht="12.75" x14ac:dyDescent="0.2">
      <c r="A1988" s="55" t="s">
        <v>435</v>
      </c>
      <c r="B1988" s="55" t="s">
        <v>557</v>
      </c>
      <c r="C1988" s="55" t="s">
        <v>758</v>
      </c>
      <c r="D1988" s="56">
        <v>2016</v>
      </c>
      <c r="E1988" s="55" t="s">
        <v>650</v>
      </c>
      <c r="F1988" s="57">
        <v>63</v>
      </c>
      <c r="G1988" s="57">
        <v>0</v>
      </c>
      <c r="H1988" s="58">
        <v>0</v>
      </c>
      <c r="I1988" s="57">
        <v>0</v>
      </c>
      <c r="J1988" s="57">
        <v>48</v>
      </c>
      <c r="K1988" s="57">
        <v>0</v>
      </c>
      <c r="L1988" s="57">
        <v>0</v>
      </c>
      <c r="M1988" s="57">
        <v>0</v>
      </c>
      <c r="N1988" s="57">
        <v>45</v>
      </c>
      <c r="O1988" s="57">
        <v>0</v>
      </c>
      <c r="P1988" s="57">
        <v>98</v>
      </c>
      <c r="Q1988" s="58">
        <v>13</v>
      </c>
    </row>
    <row r="1989" spans="1:17" ht="12.75" x14ac:dyDescent="0.2">
      <c r="A1989" s="55" t="s">
        <v>435</v>
      </c>
      <c r="B1989" s="55" t="s">
        <v>557</v>
      </c>
      <c r="C1989" s="55" t="s">
        <v>758</v>
      </c>
      <c r="D1989" s="56">
        <v>2017</v>
      </c>
      <c r="E1989" s="55" t="s">
        <v>650</v>
      </c>
      <c r="F1989" s="57">
        <v>63</v>
      </c>
      <c r="G1989" s="57">
        <v>0</v>
      </c>
      <c r="H1989" s="58">
        <v>0</v>
      </c>
      <c r="I1989" s="57">
        <v>0</v>
      </c>
      <c r="J1989" s="57">
        <v>48</v>
      </c>
      <c r="K1989" s="57">
        <v>0</v>
      </c>
      <c r="L1989" s="57">
        <v>0</v>
      </c>
      <c r="M1989" s="57">
        <v>0</v>
      </c>
      <c r="N1989" s="57">
        <v>45</v>
      </c>
      <c r="O1989" s="57">
        <v>0</v>
      </c>
      <c r="P1989" s="57">
        <v>98</v>
      </c>
      <c r="Q1989" s="58">
        <v>117</v>
      </c>
    </row>
    <row r="1990" spans="1:17" ht="12.75" x14ac:dyDescent="0.2">
      <c r="A1990" s="55" t="s">
        <v>458</v>
      </c>
      <c r="B1990" s="55" t="s">
        <v>557</v>
      </c>
      <c r="C1990" s="55" t="s">
        <v>758</v>
      </c>
      <c r="D1990" s="56">
        <v>2013</v>
      </c>
      <c r="E1990" s="55" t="s">
        <v>650</v>
      </c>
      <c r="F1990" s="57">
        <v>430</v>
      </c>
      <c r="G1990" s="57">
        <v>18</v>
      </c>
      <c r="H1990" s="58">
        <v>18</v>
      </c>
      <c r="I1990" s="57">
        <v>0</v>
      </c>
      <c r="J1990" s="57">
        <v>326</v>
      </c>
      <c r="K1990" s="57">
        <v>0</v>
      </c>
      <c r="L1990" s="57">
        <v>0</v>
      </c>
      <c r="M1990" s="57">
        <v>0</v>
      </c>
      <c r="N1990" s="57">
        <v>302</v>
      </c>
      <c r="O1990" s="57">
        <v>279</v>
      </c>
      <c r="P1990" s="57">
        <v>664</v>
      </c>
      <c r="Q1990" s="58">
        <v>241</v>
      </c>
    </row>
    <row r="1991" spans="1:17" ht="12.75" x14ac:dyDescent="0.2">
      <c r="A1991" s="55" t="s">
        <v>458</v>
      </c>
      <c r="B1991" s="55" t="s">
        <v>557</v>
      </c>
      <c r="C1991" s="55" t="s">
        <v>758</v>
      </c>
      <c r="D1991" s="56">
        <v>2014</v>
      </c>
      <c r="E1991" s="55" t="s">
        <v>650</v>
      </c>
      <c r="F1991" s="57">
        <v>430</v>
      </c>
      <c r="G1991" s="57">
        <v>0</v>
      </c>
      <c r="H1991" s="58">
        <v>0</v>
      </c>
      <c r="I1991" s="57">
        <v>0</v>
      </c>
      <c r="J1991" s="57">
        <v>326</v>
      </c>
      <c r="K1991" s="57">
        <v>1</v>
      </c>
      <c r="L1991" s="57">
        <v>0</v>
      </c>
      <c r="M1991" s="57">
        <v>1</v>
      </c>
      <c r="N1991" s="57">
        <v>302</v>
      </c>
      <c r="O1991" s="57">
        <v>0</v>
      </c>
      <c r="P1991" s="57">
        <v>664</v>
      </c>
      <c r="Q1991" s="58">
        <v>310</v>
      </c>
    </row>
    <row r="1992" spans="1:17" ht="12.75" x14ac:dyDescent="0.2">
      <c r="A1992" s="55" t="s">
        <v>458</v>
      </c>
      <c r="B1992" s="55" t="s">
        <v>557</v>
      </c>
      <c r="C1992" s="55" t="s">
        <v>758</v>
      </c>
      <c r="D1992" s="56">
        <v>2015</v>
      </c>
      <c r="E1992" s="55" t="s">
        <v>650</v>
      </c>
      <c r="F1992" s="57">
        <v>430</v>
      </c>
      <c r="G1992" s="57">
        <v>0</v>
      </c>
      <c r="H1992" s="58">
        <v>0</v>
      </c>
      <c r="I1992" s="57">
        <v>0</v>
      </c>
      <c r="J1992" s="57">
        <v>326</v>
      </c>
      <c r="K1992" s="57">
        <v>1</v>
      </c>
      <c r="L1992" s="57">
        <v>0</v>
      </c>
      <c r="M1992" s="57">
        <v>1</v>
      </c>
      <c r="N1992" s="57">
        <v>302</v>
      </c>
      <c r="O1992" s="57">
        <v>0</v>
      </c>
      <c r="P1992" s="57">
        <v>664</v>
      </c>
      <c r="Q1992" s="58">
        <v>28</v>
      </c>
    </row>
    <row r="1993" spans="1:17" ht="12.75" x14ac:dyDescent="0.2">
      <c r="A1993" s="55" t="s">
        <v>458</v>
      </c>
      <c r="B1993" s="55" t="s">
        <v>557</v>
      </c>
      <c r="C1993" s="55" t="s">
        <v>758</v>
      </c>
      <c r="D1993" s="56">
        <v>2016</v>
      </c>
      <c r="E1993" s="55" t="s">
        <v>650</v>
      </c>
      <c r="F1993" s="57">
        <v>430</v>
      </c>
      <c r="G1993" s="57">
        <v>0</v>
      </c>
      <c r="H1993" s="58">
        <v>0</v>
      </c>
      <c r="I1993" s="57">
        <v>0</v>
      </c>
      <c r="J1993" s="57">
        <v>326</v>
      </c>
      <c r="K1993" s="57">
        <v>0</v>
      </c>
      <c r="L1993" s="57">
        <v>0</v>
      </c>
      <c r="M1993" s="57">
        <v>0</v>
      </c>
      <c r="N1993" s="57">
        <v>302</v>
      </c>
      <c r="O1993" s="57">
        <v>0</v>
      </c>
      <c r="P1993" s="57">
        <v>664</v>
      </c>
      <c r="Q1993" s="58">
        <v>106</v>
      </c>
    </row>
    <row r="1994" spans="1:17" ht="12.75" x14ac:dyDescent="0.2">
      <c r="A1994" s="55" t="s">
        <v>458</v>
      </c>
      <c r="B1994" s="55" t="s">
        <v>557</v>
      </c>
      <c r="C1994" s="55" t="s">
        <v>758</v>
      </c>
      <c r="D1994" s="56">
        <v>2017</v>
      </c>
      <c r="E1994" s="55" t="s">
        <v>650</v>
      </c>
      <c r="F1994" s="57">
        <v>430</v>
      </c>
      <c r="G1994" s="57">
        <v>0</v>
      </c>
      <c r="H1994" s="58">
        <v>0</v>
      </c>
      <c r="I1994" s="57">
        <v>0</v>
      </c>
      <c r="J1994" s="57">
        <v>326</v>
      </c>
      <c r="K1994" s="57">
        <v>7</v>
      </c>
      <c r="L1994" s="57">
        <v>0</v>
      </c>
      <c r="M1994" s="57">
        <v>7</v>
      </c>
      <c r="N1994" s="57">
        <v>302</v>
      </c>
      <c r="O1994" s="57">
        <v>0</v>
      </c>
      <c r="P1994" s="57">
        <v>664</v>
      </c>
      <c r="Q1994" s="58">
        <v>24</v>
      </c>
    </row>
    <row r="1995" spans="1:17" ht="12.75" x14ac:dyDescent="0.2">
      <c r="A1995" s="55" t="s">
        <v>485</v>
      </c>
      <c r="B1995" s="55" t="s">
        <v>557</v>
      </c>
      <c r="C1995" s="55" t="s">
        <v>758</v>
      </c>
      <c r="D1995" s="56">
        <v>2013</v>
      </c>
      <c r="E1995" s="55" t="s">
        <v>650</v>
      </c>
      <c r="F1995" s="57">
        <v>77</v>
      </c>
      <c r="G1995" s="57">
        <v>89</v>
      </c>
      <c r="H1995" s="58">
        <v>89</v>
      </c>
      <c r="I1995" s="57">
        <v>0</v>
      </c>
      <c r="J1995" s="57">
        <v>59</v>
      </c>
      <c r="K1995" s="57">
        <v>81</v>
      </c>
      <c r="L1995" s="57">
        <v>81</v>
      </c>
      <c r="M1995" s="57">
        <v>0</v>
      </c>
      <c r="N1995" s="57">
        <v>54</v>
      </c>
      <c r="O1995" s="57">
        <v>6</v>
      </c>
      <c r="P1995" s="57">
        <v>119</v>
      </c>
      <c r="Q1995" s="58">
        <v>1</v>
      </c>
    </row>
    <row r="1996" spans="1:17" ht="12.75" x14ac:dyDescent="0.2">
      <c r="A1996" s="55" t="s">
        <v>485</v>
      </c>
      <c r="B1996" s="55" t="s">
        <v>557</v>
      </c>
      <c r="C1996" s="55" t="s">
        <v>758</v>
      </c>
      <c r="D1996" s="56">
        <v>2014</v>
      </c>
      <c r="E1996" s="55" t="s">
        <v>650</v>
      </c>
      <c r="F1996" s="57">
        <v>77</v>
      </c>
      <c r="G1996" s="57">
        <v>0</v>
      </c>
      <c r="H1996" s="58">
        <v>0</v>
      </c>
      <c r="I1996" s="57">
        <v>0</v>
      </c>
      <c r="J1996" s="57">
        <v>59</v>
      </c>
      <c r="K1996" s="57">
        <v>0</v>
      </c>
      <c r="L1996" s="57">
        <v>0</v>
      </c>
      <c r="M1996" s="57">
        <v>0</v>
      </c>
      <c r="N1996" s="57">
        <v>54</v>
      </c>
      <c r="O1996" s="60">
        <v>0</v>
      </c>
      <c r="P1996" s="57">
        <v>119</v>
      </c>
      <c r="Q1996" s="58">
        <v>23</v>
      </c>
    </row>
    <row r="1997" spans="1:17" ht="12.75" x14ac:dyDescent="0.2">
      <c r="A1997" s="55" t="s">
        <v>485</v>
      </c>
      <c r="B1997" s="55" t="s">
        <v>557</v>
      </c>
      <c r="C1997" s="55" t="s">
        <v>758</v>
      </c>
      <c r="D1997" s="56">
        <v>2015</v>
      </c>
      <c r="E1997" s="55" t="s">
        <v>650</v>
      </c>
      <c r="F1997" s="57">
        <v>77</v>
      </c>
      <c r="G1997" s="57">
        <v>0</v>
      </c>
      <c r="H1997" s="58">
        <v>0</v>
      </c>
      <c r="I1997" s="57">
        <v>0</v>
      </c>
      <c r="J1997" s="57">
        <v>59</v>
      </c>
      <c r="K1997" s="57">
        <v>5</v>
      </c>
      <c r="L1997" s="57">
        <v>5</v>
      </c>
      <c r="M1997" s="57">
        <v>0</v>
      </c>
      <c r="N1997" s="57">
        <v>54</v>
      </c>
      <c r="O1997" s="57">
        <v>0</v>
      </c>
      <c r="P1997" s="57">
        <v>119</v>
      </c>
      <c r="Q1997" s="58">
        <v>72</v>
      </c>
    </row>
    <row r="1998" spans="1:17" ht="12.75" x14ac:dyDescent="0.2">
      <c r="A1998" s="55" t="s">
        <v>485</v>
      </c>
      <c r="B1998" s="59" t="s">
        <v>557</v>
      </c>
      <c r="C1998" s="55" t="s">
        <v>758</v>
      </c>
      <c r="D1998" s="96">
        <v>2016</v>
      </c>
      <c r="E1998" s="55" t="s">
        <v>650</v>
      </c>
      <c r="F1998" s="57">
        <v>77</v>
      </c>
      <c r="G1998" s="57">
        <v>1</v>
      </c>
      <c r="H1998" s="61">
        <v>1</v>
      </c>
      <c r="I1998" s="57">
        <v>0</v>
      </c>
      <c r="J1998" s="57">
        <v>59</v>
      </c>
      <c r="K1998" s="57">
        <v>2</v>
      </c>
      <c r="L1998" s="60">
        <v>2</v>
      </c>
      <c r="M1998" s="57">
        <v>0</v>
      </c>
      <c r="N1998" s="60">
        <v>54</v>
      </c>
      <c r="O1998" s="57">
        <v>15</v>
      </c>
      <c r="P1998" s="57">
        <v>119</v>
      </c>
      <c r="Q1998" s="61">
        <v>0</v>
      </c>
    </row>
    <row r="1999" spans="1:17" ht="12.75" x14ac:dyDescent="0.2">
      <c r="A1999" s="55" t="s">
        <v>485</v>
      </c>
      <c r="B1999" s="55" t="s">
        <v>557</v>
      </c>
      <c r="C1999" s="55" t="s">
        <v>758</v>
      </c>
      <c r="D1999" s="56">
        <v>2017</v>
      </c>
      <c r="E1999" s="55" t="s">
        <v>650</v>
      </c>
      <c r="F1999" s="57">
        <v>77</v>
      </c>
      <c r="G1999" s="57">
        <v>0</v>
      </c>
      <c r="H1999" s="58">
        <v>0</v>
      </c>
      <c r="I1999" s="57">
        <v>0</v>
      </c>
      <c r="J1999" s="57">
        <v>59</v>
      </c>
      <c r="K1999" s="57">
        <v>5</v>
      </c>
      <c r="L1999" s="57">
        <v>5</v>
      </c>
      <c r="M1999" s="57">
        <v>0</v>
      </c>
      <c r="N1999" s="57">
        <v>54</v>
      </c>
      <c r="O1999" s="57">
        <v>14</v>
      </c>
      <c r="P1999" s="57">
        <v>119</v>
      </c>
      <c r="Q1999" s="58">
        <v>7</v>
      </c>
    </row>
    <row r="2000" spans="1:17" ht="12.75" x14ac:dyDescent="0.2">
      <c r="A2000" s="85" t="s">
        <v>568</v>
      </c>
      <c r="B2000" s="85" t="s">
        <v>557</v>
      </c>
      <c r="C2000" s="85" t="s">
        <v>758</v>
      </c>
      <c r="D2000" s="56">
        <v>2013</v>
      </c>
      <c r="E2000" s="85" t="s">
        <v>650</v>
      </c>
      <c r="F2000" s="57">
        <v>465</v>
      </c>
      <c r="G2000" s="57">
        <v>0</v>
      </c>
      <c r="H2000" s="58">
        <v>0</v>
      </c>
      <c r="I2000" s="57">
        <v>0</v>
      </c>
      <c r="J2000" s="57">
        <v>353</v>
      </c>
      <c r="K2000" s="57">
        <v>8</v>
      </c>
      <c r="L2000" s="57">
        <v>8</v>
      </c>
      <c r="M2000" s="57">
        <v>0</v>
      </c>
      <c r="N2000" s="57">
        <v>327</v>
      </c>
      <c r="O2000" s="57">
        <v>0</v>
      </c>
      <c r="P2000" s="57">
        <v>718</v>
      </c>
      <c r="Q2000" s="58">
        <v>67</v>
      </c>
    </row>
    <row r="2001" spans="1:17" ht="12.75" x14ac:dyDescent="0.2">
      <c r="A2001" s="85" t="s">
        <v>568</v>
      </c>
      <c r="B2001" s="85" t="s">
        <v>557</v>
      </c>
      <c r="C2001" s="85" t="s">
        <v>758</v>
      </c>
      <c r="D2001" s="56">
        <v>2014</v>
      </c>
      <c r="E2001" s="85" t="s">
        <v>650</v>
      </c>
      <c r="F2001" s="57">
        <v>465</v>
      </c>
      <c r="G2001" s="57">
        <v>0</v>
      </c>
      <c r="H2001" s="58">
        <v>0</v>
      </c>
      <c r="I2001" s="57">
        <v>0</v>
      </c>
      <c r="J2001" s="57">
        <v>353</v>
      </c>
      <c r="K2001" s="57">
        <v>108</v>
      </c>
      <c r="L2001" s="57">
        <v>108</v>
      </c>
      <c r="M2001" s="57">
        <v>0</v>
      </c>
      <c r="N2001" s="57">
        <v>327</v>
      </c>
      <c r="O2001" s="57">
        <v>1</v>
      </c>
      <c r="P2001" s="57">
        <v>718</v>
      </c>
      <c r="Q2001" s="58">
        <v>16</v>
      </c>
    </row>
    <row r="2002" spans="1:17" ht="12.75" x14ac:dyDescent="0.2">
      <c r="A2002" s="85" t="s">
        <v>568</v>
      </c>
      <c r="B2002" s="85" t="s">
        <v>557</v>
      </c>
      <c r="C2002" s="85" t="s">
        <v>758</v>
      </c>
      <c r="D2002" s="56">
        <v>2015</v>
      </c>
      <c r="E2002" s="85" t="s">
        <v>650</v>
      </c>
      <c r="F2002" s="57">
        <v>465</v>
      </c>
      <c r="G2002" s="57">
        <v>0</v>
      </c>
      <c r="H2002" s="58">
        <v>0</v>
      </c>
      <c r="I2002" s="57">
        <v>0</v>
      </c>
      <c r="J2002" s="57">
        <v>353</v>
      </c>
      <c r="K2002" s="57">
        <v>0</v>
      </c>
      <c r="L2002" s="57">
        <v>0</v>
      </c>
      <c r="M2002" s="57">
        <v>0</v>
      </c>
      <c r="N2002" s="57">
        <v>327</v>
      </c>
      <c r="O2002" s="57">
        <v>0</v>
      </c>
      <c r="P2002" s="57">
        <v>718</v>
      </c>
      <c r="Q2002" s="58">
        <v>143</v>
      </c>
    </row>
    <row r="2003" spans="1:17" ht="12.75" x14ac:dyDescent="0.2">
      <c r="A2003" s="85" t="s">
        <v>568</v>
      </c>
      <c r="B2003" s="85" t="s">
        <v>557</v>
      </c>
      <c r="C2003" s="85" t="s">
        <v>758</v>
      </c>
      <c r="D2003" s="56">
        <v>2016</v>
      </c>
      <c r="E2003" s="85" t="s">
        <v>650</v>
      </c>
      <c r="F2003" s="57">
        <v>465</v>
      </c>
      <c r="G2003" s="57">
        <v>45</v>
      </c>
      <c r="H2003" s="58">
        <v>45</v>
      </c>
      <c r="I2003" s="57">
        <v>0</v>
      </c>
      <c r="J2003" s="57">
        <v>353</v>
      </c>
      <c r="K2003" s="57">
        <v>0</v>
      </c>
      <c r="L2003" s="57">
        <v>0</v>
      </c>
      <c r="M2003" s="57">
        <v>0</v>
      </c>
      <c r="N2003" s="57">
        <v>327</v>
      </c>
      <c r="O2003" s="57">
        <v>46</v>
      </c>
      <c r="P2003" s="57">
        <v>718</v>
      </c>
      <c r="Q2003" s="58">
        <v>12</v>
      </c>
    </row>
    <row r="2004" spans="1:17" ht="12.75" x14ac:dyDescent="0.2">
      <c r="A2004" s="85" t="s">
        <v>568</v>
      </c>
      <c r="B2004" s="85" t="s">
        <v>557</v>
      </c>
      <c r="C2004" s="85" t="s">
        <v>758</v>
      </c>
      <c r="D2004" s="56">
        <v>2017</v>
      </c>
      <c r="E2004" s="85" t="s">
        <v>650</v>
      </c>
      <c r="F2004" s="57">
        <v>465</v>
      </c>
      <c r="G2004" s="57">
        <v>0</v>
      </c>
      <c r="H2004" s="58">
        <v>0</v>
      </c>
      <c r="I2004" s="57">
        <v>0</v>
      </c>
      <c r="J2004" s="57">
        <v>353</v>
      </c>
      <c r="K2004" s="57">
        <v>0</v>
      </c>
      <c r="L2004" s="57">
        <v>0</v>
      </c>
      <c r="M2004" s="57">
        <v>0</v>
      </c>
      <c r="N2004" s="57">
        <v>327</v>
      </c>
      <c r="O2004" s="57">
        <v>116</v>
      </c>
      <c r="P2004" s="57">
        <v>718</v>
      </c>
      <c r="Q2004" s="58">
        <v>7</v>
      </c>
    </row>
    <row r="2005" spans="1:17" ht="12.75" x14ac:dyDescent="0.2">
      <c r="A2005" s="85" t="s">
        <v>578</v>
      </c>
      <c r="B2005" s="85" t="s">
        <v>557</v>
      </c>
      <c r="C2005" s="85" t="s">
        <v>758</v>
      </c>
      <c r="D2005" s="56">
        <v>2013</v>
      </c>
      <c r="E2005" s="85" t="s">
        <v>650</v>
      </c>
      <c r="F2005" s="57">
        <v>1549</v>
      </c>
      <c r="G2005" s="57">
        <v>267</v>
      </c>
      <c r="H2005" s="58">
        <v>244</v>
      </c>
      <c r="I2005" s="57">
        <v>23</v>
      </c>
      <c r="J2005" s="57">
        <v>1178</v>
      </c>
      <c r="K2005" s="57">
        <v>57</v>
      </c>
      <c r="L2005" s="57">
        <v>55</v>
      </c>
      <c r="M2005" s="57">
        <v>2</v>
      </c>
      <c r="N2005" s="57">
        <v>1090</v>
      </c>
      <c r="O2005" s="57">
        <v>102</v>
      </c>
      <c r="P2005" s="57">
        <v>2393</v>
      </c>
      <c r="Q2005" s="58">
        <v>362</v>
      </c>
    </row>
    <row r="2006" spans="1:17" ht="12.75" x14ac:dyDescent="0.2">
      <c r="A2006" s="85" t="s">
        <v>578</v>
      </c>
      <c r="B2006" s="85" t="s">
        <v>557</v>
      </c>
      <c r="C2006" s="85" t="s">
        <v>758</v>
      </c>
      <c r="D2006" s="56">
        <v>2014</v>
      </c>
      <c r="E2006" s="85" t="s">
        <v>650</v>
      </c>
      <c r="F2006" s="57">
        <v>1549</v>
      </c>
      <c r="G2006" s="57">
        <v>0</v>
      </c>
      <c r="H2006" s="58">
        <v>0</v>
      </c>
      <c r="I2006" s="57">
        <v>0</v>
      </c>
      <c r="J2006" s="57">
        <v>1178</v>
      </c>
      <c r="K2006" s="57">
        <v>0</v>
      </c>
      <c r="L2006" s="57">
        <v>0</v>
      </c>
      <c r="M2006" s="57">
        <v>0</v>
      </c>
      <c r="N2006" s="57">
        <v>1090</v>
      </c>
      <c r="O2006" s="57">
        <v>20</v>
      </c>
      <c r="P2006" s="57">
        <v>2393</v>
      </c>
      <c r="Q2006" s="58">
        <v>92</v>
      </c>
    </row>
    <row r="2007" spans="1:17" ht="12.75" x14ac:dyDescent="0.2">
      <c r="A2007" s="85" t="s">
        <v>578</v>
      </c>
      <c r="B2007" s="85" t="s">
        <v>557</v>
      </c>
      <c r="C2007" s="85" t="s">
        <v>758</v>
      </c>
      <c r="D2007" s="56">
        <v>2015</v>
      </c>
      <c r="E2007" s="85" t="s">
        <v>650</v>
      </c>
      <c r="F2007" s="57">
        <v>1549</v>
      </c>
      <c r="G2007" s="57">
        <v>0</v>
      </c>
      <c r="H2007" s="58">
        <v>0</v>
      </c>
      <c r="I2007" s="57">
        <v>0</v>
      </c>
      <c r="J2007" s="57">
        <v>1178</v>
      </c>
      <c r="K2007" s="57">
        <v>0</v>
      </c>
      <c r="L2007" s="57">
        <v>0</v>
      </c>
      <c r="M2007" s="57">
        <v>0</v>
      </c>
      <c r="N2007" s="57">
        <v>1090</v>
      </c>
      <c r="O2007" s="57">
        <v>27</v>
      </c>
      <c r="P2007" s="57">
        <v>2393</v>
      </c>
      <c r="Q2007" s="58">
        <v>73</v>
      </c>
    </row>
    <row r="2008" spans="1:17" ht="12.75" x14ac:dyDescent="0.2">
      <c r="A2008" s="85" t="s">
        <v>578</v>
      </c>
      <c r="B2008" s="85" t="s">
        <v>557</v>
      </c>
      <c r="C2008" s="85" t="s">
        <v>758</v>
      </c>
      <c r="D2008" s="56">
        <v>2016</v>
      </c>
      <c r="E2008" s="85" t="s">
        <v>650</v>
      </c>
      <c r="F2008" s="57">
        <v>1549</v>
      </c>
      <c r="G2008" s="57">
        <v>0</v>
      </c>
      <c r="H2008" s="58">
        <v>0</v>
      </c>
      <c r="I2008" s="57">
        <v>0</v>
      </c>
      <c r="J2008" s="57">
        <v>1178</v>
      </c>
      <c r="K2008" s="57">
        <v>0</v>
      </c>
      <c r="L2008" s="57">
        <v>0</v>
      </c>
      <c r="M2008" s="57">
        <v>0</v>
      </c>
      <c r="N2008" s="57">
        <v>1090</v>
      </c>
      <c r="O2008" s="57">
        <v>0</v>
      </c>
      <c r="P2008" s="57">
        <v>2393</v>
      </c>
      <c r="Q2008" s="58">
        <v>0</v>
      </c>
    </row>
    <row r="2009" spans="1:17" ht="12.75" x14ac:dyDescent="0.2">
      <c r="A2009" s="85" t="s">
        <v>578</v>
      </c>
      <c r="B2009" s="85" t="s">
        <v>557</v>
      </c>
      <c r="C2009" s="85" t="s">
        <v>758</v>
      </c>
      <c r="D2009" s="56">
        <v>2017</v>
      </c>
      <c r="E2009" s="85" t="s">
        <v>650</v>
      </c>
      <c r="F2009" s="57">
        <v>1549</v>
      </c>
      <c r="G2009" s="57">
        <v>43</v>
      </c>
      <c r="H2009" s="58">
        <v>43</v>
      </c>
      <c r="I2009" s="57">
        <v>0</v>
      </c>
      <c r="J2009" s="57">
        <v>1178</v>
      </c>
      <c r="K2009" s="57">
        <v>117</v>
      </c>
      <c r="L2009" s="57">
        <v>117</v>
      </c>
      <c r="M2009" s="57">
        <v>0</v>
      </c>
      <c r="N2009" s="57">
        <v>1090</v>
      </c>
      <c r="O2009" s="57">
        <v>0</v>
      </c>
      <c r="P2009" s="57">
        <v>2393</v>
      </c>
      <c r="Q2009" s="58">
        <v>39</v>
      </c>
    </row>
    <row r="2010" spans="1:17" ht="12.75" x14ac:dyDescent="0.2">
      <c r="A2010" s="85" t="s">
        <v>608</v>
      </c>
      <c r="B2010" s="85" t="s">
        <v>557</v>
      </c>
      <c r="C2010" s="85" t="s">
        <v>758</v>
      </c>
      <c r="D2010" s="56">
        <v>2013</v>
      </c>
      <c r="E2010" s="85" t="s">
        <v>650</v>
      </c>
      <c r="F2010" s="57">
        <v>201</v>
      </c>
      <c r="G2010" s="57">
        <v>26</v>
      </c>
      <c r="H2010" s="58">
        <v>26</v>
      </c>
      <c r="I2010" s="57">
        <v>0</v>
      </c>
      <c r="J2010" s="57">
        <v>152</v>
      </c>
      <c r="K2010" s="57">
        <v>26</v>
      </c>
      <c r="L2010" s="57">
        <v>26</v>
      </c>
      <c r="M2010" s="57">
        <v>0</v>
      </c>
      <c r="N2010" s="57">
        <v>282</v>
      </c>
      <c r="O2010" s="57">
        <v>0</v>
      </c>
      <c r="P2010" s="57">
        <v>618</v>
      </c>
      <c r="Q2010" s="58">
        <v>64</v>
      </c>
    </row>
    <row r="2011" spans="1:17" ht="12.75" x14ac:dyDescent="0.2">
      <c r="A2011" s="85" t="s">
        <v>608</v>
      </c>
      <c r="B2011" s="85" t="s">
        <v>557</v>
      </c>
      <c r="C2011" s="85" t="s">
        <v>758</v>
      </c>
      <c r="D2011" s="56">
        <v>2014</v>
      </c>
      <c r="E2011" s="85" t="s">
        <v>650</v>
      </c>
      <c r="F2011" s="57">
        <v>201</v>
      </c>
      <c r="G2011" s="57">
        <v>0</v>
      </c>
      <c r="H2011" s="58">
        <v>0</v>
      </c>
      <c r="I2011" s="57">
        <v>0</v>
      </c>
      <c r="J2011" s="57">
        <v>152</v>
      </c>
      <c r="K2011" s="57">
        <v>0</v>
      </c>
      <c r="L2011" s="57">
        <v>0</v>
      </c>
      <c r="M2011" s="57">
        <v>0</v>
      </c>
      <c r="N2011" s="57">
        <v>282</v>
      </c>
      <c r="O2011" s="57">
        <v>0</v>
      </c>
      <c r="P2011" s="57">
        <v>618</v>
      </c>
      <c r="Q2011" s="58">
        <v>11</v>
      </c>
    </row>
    <row r="2012" spans="1:17" ht="12.75" x14ac:dyDescent="0.2">
      <c r="A2012" s="85" t="s">
        <v>608</v>
      </c>
      <c r="B2012" s="85" t="s">
        <v>557</v>
      </c>
      <c r="C2012" s="85" t="s">
        <v>758</v>
      </c>
      <c r="D2012" s="56">
        <v>2015</v>
      </c>
      <c r="E2012" s="85" t="s">
        <v>650</v>
      </c>
      <c r="F2012" s="57">
        <v>201</v>
      </c>
      <c r="G2012" s="57">
        <v>0</v>
      </c>
      <c r="H2012" s="58">
        <v>0</v>
      </c>
      <c r="I2012" s="57">
        <v>0</v>
      </c>
      <c r="J2012" s="57">
        <v>152</v>
      </c>
      <c r="K2012" s="57">
        <v>0</v>
      </c>
      <c r="L2012" s="57">
        <v>0</v>
      </c>
      <c r="M2012" s="57">
        <v>0</v>
      </c>
      <c r="N2012" s="57">
        <v>282</v>
      </c>
      <c r="O2012" s="57">
        <v>0</v>
      </c>
      <c r="P2012" s="57">
        <v>618</v>
      </c>
      <c r="Q2012" s="58">
        <v>11</v>
      </c>
    </row>
    <row r="2013" spans="1:17" ht="12.75" x14ac:dyDescent="0.2">
      <c r="A2013" s="85" t="s">
        <v>608</v>
      </c>
      <c r="B2013" s="85" t="s">
        <v>557</v>
      </c>
      <c r="C2013" s="85" t="s">
        <v>758</v>
      </c>
      <c r="D2013" s="56">
        <v>2016</v>
      </c>
      <c r="E2013" s="85" t="s">
        <v>650</v>
      </c>
      <c r="F2013" s="57">
        <v>201</v>
      </c>
      <c r="G2013" s="57">
        <v>0</v>
      </c>
      <c r="H2013" s="58">
        <v>0</v>
      </c>
      <c r="I2013" s="57">
        <v>0</v>
      </c>
      <c r="J2013" s="57">
        <v>152</v>
      </c>
      <c r="K2013" s="57">
        <v>0</v>
      </c>
      <c r="L2013" s="57">
        <v>0</v>
      </c>
      <c r="M2013" s="57">
        <v>0</v>
      </c>
      <c r="N2013" s="57">
        <v>282</v>
      </c>
      <c r="O2013" s="57">
        <v>0</v>
      </c>
      <c r="P2013" s="57">
        <v>618</v>
      </c>
      <c r="Q2013" s="58">
        <v>17</v>
      </c>
    </row>
    <row r="2014" spans="1:17" ht="12.75" x14ac:dyDescent="0.2">
      <c r="A2014" s="85" t="s">
        <v>608</v>
      </c>
      <c r="B2014" s="85" t="s">
        <v>557</v>
      </c>
      <c r="C2014" s="85" t="s">
        <v>758</v>
      </c>
      <c r="D2014" s="56">
        <v>2017</v>
      </c>
      <c r="E2014" s="85" t="s">
        <v>650</v>
      </c>
      <c r="F2014" s="57">
        <v>201</v>
      </c>
      <c r="G2014" s="57">
        <v>0</v>
      </c>
      <c r="H2014" s="58">
        <v>0</v>
      </c>
      <c r="I2014" s="57">
        <v>0</v>
      </c>
      <c r="J2014" s="57">
        <v>152</v>
      </c>
      <c r="K2014" s="57">
        <v>0</v>
      </c>
      <c r="L2014" s="57">
        <v>0</v>
      </c>
      <c r="M2014" s="57">
        <v>0</v>
      </c>
      <c r="N2014" s="57">
        <v>282</v>
      </c>
      <c r="O2014" s="57">
        <v>0</v>
      </c>
      <c r="P2014" s="57">
        <v>618</v>
      </c>
      <c r="Q2014" s="58">
        <v>24</v>
      </c>
    </row>
    <row r="2015" spans="1:17" ht="12.75" x14ac:dyDescent="0.2">
      <c r="A2015" s="85" t="s">
        <v>557</v>
      </c>
      <c r="B2015" s="85" t="s">
        <v>557</v>
      </c>
      <c r="C2015" s="85" t="s">
        <v>758</v>
      </c>
      <c r="D2015" s="56">
        <v>2013</v>
      </c>
      <c r="E2015" s="85" t="s">
        <v>650</v>
      </c>
      <c r="F2015" s="57">
        <v>21977</v>
      </c>
      <c r="G2015" s="57">
        <v>609</v>
      </c>
      <c r="H2015" s="58">
        <v>609</v>
      </c>
      <c r="I2015" s="57">
        <v>0</v>
      </c>
      <c r="J2015" s="57">
        <v>16703</v>
      </c>
      <c r="K2015" s="57">
        <v>915</v>
      </c>
      <c r="L2015" s="57">
        <v>915</v>
      </c>
      <c r="M2015" s="57">
        <v>0</v>
      </c>
      <c r="N2015" s="57">
        <v>15462</v>
      </c>
      <c r="O2015" s="57">
        <v>0</v>
      </c>
      <c r="P2015" s="57">
        <v>33954</v>
      </c>
      <c r="Q2015" s="61">
        <v>7665</v>
      </c>
    </row>
    <row r="2016" spans="1:17" ht="12.75" x14ac:dyDescent="0.2">
      <c r="A2016" s="85" t="s">
        <v>557</v>
      </c>
      <c r="B2016" s="85" t="s">
        <v>557</v>
      </c>
      <c r="C2016" s="85" t="s">
        <v>758</v>
      </c>
      <c r="D2016" s="56">
        <v>2014</v>
      </c>
      <c r="E2016" s="85" t="s">
        <v>650</v>
      </c>
      <c r="F2016" s="57">
        <v>21977</v>
      </c>
      <c r="G2016" s="57">
        <v>229</v>
      </c>
      <c r="H2016" s="58">
        <v>229</v>
      </c>
      <c r="I2016" s="57">
        <v>0</v>
      </c>
      <c r="J2016" s="57">
        <v>16703</v>
      </c>
      <c r="K2016" s="57">
        <v>184</v>
      </c>
      <c r="L2016" s="57">
        <v>184</v>
      </c>
      <c r="M2016" s="57">
        <v>0</v>
      </c>
      <c r="N2016" s="57">
        <v>15462</v>
      </c>
      <c r="O2016" s="57">
        <v>4</v>
      </c>
      <c r="P2016" s="57">
        <v>33954</v>
      </c>
      <c r="Q2016" s="61">
        <v>1991</v>
      </c>
    </row>
    <row r="2017" spans="1:17" ht="12.75" x14ac:dyDescent="0.2">
      <c r="A2017" s="85" t="s">
        <v>557</v>
      </c>
      <c r="B2017" s="85" t="s">
        <v>557</v>
      </c>
      <c r="C2017" s="85" t="s">
        <v>758</v>
      </c>
      <c r="D2017" s="56">
        <v>2015</v>
      </c>
      <c r="E2017" s="85" t="s">
        <v>650</v>
      </c>
      <c r="F2017" s="57">
        <v>21977</v>
      </c>
      <c r="G2017" s="57">
        <v>265</v>
      </c>
      <c r="H2017" s="58">
        <v>265</v>
      </c>
      <c r="I2017" s="57">
        <v>0</v>
      </c>
      <c r="J2017" s="57">
        <v>16703</v>
      </c>
      <c r="K2017" s="57">
        <v>446</v>
      </c>
      <c r="L2017" s="57">
        <v>446</v>
      </c>
      <c r="M2017" s="57">
        <v>0</v>
      </c>
      <c r="N2017" s="57">
        <v>15462</v>
      </c>
      <c r="O2017" s="57">
        <v>0</v>
      </c>
      <c r="P2017" s="57">
        <v>33954</v>
      </c>
      <c r="Q2017" s="61">
        <v>4221</v>
      </c>
    </row>
    <row r="2018" spans="1:17" ht="12.75" x14ac:dyDescent="0.2">
      <c r="A2018" s="85" t="s">
        <v>557</v>
      </c>
      <c r="B2018" s="85" t="s">
        <v>557</v>
      </c>
      <c r="C2018" s="85" t="s">
        <v>758</v>
      </c>
      <c r="D2018" s="56">
        <v>2016</v>
      </c>
      <c r="E2018" s="85" t="s">
        <v>650</v>
      </c>
      <c r="F2018" s="57">
        <v>21977</v>
      </c>
      <c r="G2018" s="57">
        <v>103</v>
      </c>
      <c r="H2018" s="58">
        <v>103</v>
      </c>
      <c r="I2018" s="57">
        <v>0</v>
      </c>
      <c r="J2018" s="57">
        <v>16703</v>
      </c>
      <c r="K2018" s="57">
        <v>253</v>
      </c>
      <c r="L2018" s="57">
        <v>253</v>
      </c>
      <c r="M2018" s="57">
        <v>0</v>
      </c>
      <c r="N2018" s="57">
        <v>15462</v>
      </c>
      <c r="O2018" s="57">
        <v>0</v>
      </c>
      <c r="P2018" s="57">
        <v>33954</v>
      </c>
      <c r="Q2018" s="61">
        <v>7028</v>
      </c>
    </row>
    <row r="2019" spans="1:17" ht="12.75" x14ac:dyDescent="0.2">
      <c r="A2019" s="85" t="s">
        <v>557</v>
      </c>
      <c r="B2019" s="85" t="s">
        <v>557</v>
      </c>
      <c r="C2019" s="85" t="s">
        <v>758</v>
      </c>
      <c r="D2019" s="56">
        <v>2017</v>
      </c>
      <c r="E2019" s="85" t="s">
        <v>650</v>
      </c>
      <c r="F2019" s="57">
        <v>21977</v>
      </c>
      <c r="G2019" s="57">
        <v>324</v>
      </c>
      <c r="H2019" s="58">
        <v>324</v>
      </c>
      <c r="I2019" s="57">
        <v>0</v>
      </c>
      <c r="J2019" s="57">
        <v>16703</v>
      </c>
      <c r="K2019" s="57">
        <v>301</v>
      </c>
      <c r="L2019" s="57">
        <v>295</v>
      </c>
      <c r="M2019" s="57">
        <v>6</v>
      </c>
      <c r="N2019" s="57">
        <v>15462</v>
      </c>
      <c r="O2019" s="57">
        <v>0</v>
      </c>
      <c r="P2019" s="57">
        <v>33954</v>
      </c>
      <c r="Q2019" s="61">
        <v>4395</v>
      </c>
    </row>
    <row r="2020" spans="1:17" ht="12.75" x14ac:dyDescent="0.2">
      <c r="A2020" s="85" t="s">
        <v>645</v>
      </c>
      <c r="B2020" s="85" t="s">
        <v>557</v>
      </c>
      <c r="C2020" s="85" t="s">
        <v>758</v>
      </c>
      <c r="D2020" s="56">
        <v>2013</v>
      </c>
      <c r="E2020" s="85" t="s">
        <v>650</v>
      </c>
      <c r="F2020" s="57">
        <v>2085</v>
      </c>
      <c r="G2020" s="57">
        <v>23</v>
      </c>
      <c r="H2020" s="58">
        <v>23</v>
      </c>
      <c r="I2020" s="57">
        <v>0</v>
      </c>
      <c r="J2020" s="57">
        <v>1585</v>
      </c>
      <c r="K2020" s="57">
        <v>145</v>
      </c>
      <c r="L2020" s="57">
        <v>145</v>
      </c>
      <c r="M2020" s="57">
        <v>0</v>
      </c>
      <c r="N2020" s="57">
        <v>5864</v>
      </c>
      <c r="O2020" s="57">
        <v>200</v>
      </c>
      <c r="P2020" s="57">
        <v>12878</v>
      </c>
      <c r="Q2020" s="61">
        <v>1225</v>
      </c>
    </row>
    <row r="2021" spans="1:17" ht="12.75" x14ac:dyDescent="0.2">
      <c r="A2021" s="85" t="s">
        <v>645</v>
      </c>
      <c r="B2021" s="85" t="s">
        <v>557</v>
      </c>
      <c r="C2021" s="85" t="s">
        <v>758</v>
      </c>
      <c r="D2021" s="56">
        <v>2014</v>
      </c>
      <c r="E2021" s="85" t="s">
        <v>650</v>
      </c>
      <c r="F2021" s="57">
        <v>2085</v>
      </c>
      <c r="G2021" s="57">
        <v>0</v>
      </c>
      <c r="H2021" s="58">
        <v>0</v>
      </c>
      <c r="I2021" s="57">
        <v>0</v>
      </c>
      <c r="J2021" s="57">
        <v>1585</v>
      </c>
      <c r="K2021" s="57">
        <v>27</v>
      </c>
      <c r="L2021" s="57">
        <v>27</v>
      </c>
      <c r="M2021" s="57">
        <v>0</v>
      </c>
      <c r="N2021" s="57">
        <v>5864</v>
      </c>
      <c r="O2021" s="57">
        <v>114</v>
      </c>
      <c r="P2021" s="57">
        <v>12878</v>
      </c>
      <c r="Q2021" s="58">
        <v>576</v>
      </c>
    </row>
    <row r="2022" spans="1:17" ht="12.75" x14ac:dyDescent="0.2">
      <c r="A2022" s="85" t="s">
        <v>645</v>
      </c>
      <c r="B2022" s="85" t="s">
        <v>557</v>
      </c>
      <c r="C2022" s="85" t="s">
        <v>758</v>
      </c>
      <c r="D2022" s="56">
        <v>2015</v>
      </c>
      <c r="E2022" s="85" t="s">
        <v>650</v>
      </c>
      <c r="F2022" s="57">
        <v>2085</v>
      </c>
      <c r="G2022" s="57">
        <v>2</v>
      </c>
      <c r="H2022" s="58">
        <v>2</v>
      </c>
      <c r="I2022" s="57">
        <v>0</v>
      </c>
      <c r="J2022" s="57">
        <v>1585</v>
      </c>
      <c r="K2022" s="57">
        <v>24</v>
      </c>
      <c r="L2022" s="57">
        <v>24</v>
      </c>
      <c r="M2022" s="57">
        <v>0</v>
      </c>
      <c r="N2022" s="57">
        <v>5864</v>
      </c>
      <c r="O2022" s="57">
        <v>228</v>
      </c>
      <c r="P2022" s="57">
        <v>12878</v>
      </c>
      <c r="Q2022" s="58">
        <v>613</v>
      </c>
    </row>
    <row r="2023" spans="1:17" ht="12.75" x14ac:dyDescent="0.2">
      <c r="A2023" s="85" t="s">
        <v>645</v>
      </c>
      <c r="B2023" s="85" t="s">
        <v>557</v>
      </c>
      <c r="C2023" s="85" t="s">
        <v>758</v>
      </c>
      <c r="D2023" s="56">
        <v>2016</v>
      </c>
      <c r="E2023" s="85" t="s">
        <v>650</v>
      </c>
      <c r="F2023" s="57">
        <v>2085</v>
      </c>
      <c r="G2023" s="57">
        <v>0</v>
      </c>
      <c r="H2023" s="58">
        <v>0</v>
      </c>
      <c r="I2023" s="57">
        <v>0</v>
      </c>
      <c r="J2023" s="57">
        <v>1585</v>
      </c>
      <c r="K2023" s="57">
        <v>24</v>
      </c>
      <c r="L2023" s="57">
        <v>24</v>
      </c>
      <c r="M2023" s="57">
        <v>0</v>
      </c>
      <c r="N2023" s="57">
        <v>5864</v>
      </c>
      <c r="O2023" s="57">
        <v>177</v>
      </c>
      <c r="P2023" s="57">
        <v>12878</v>
      </c>
      <c r="Q2023" s="58">
        <v>381</v>
      </c>
    </row>
    <row r="2024" spans="1:17" ht="12.75" x14ac:dyDescent="0.2">
      <c r="A2024" s="85" t="s">
        <v>645</v>
      </c>
      <c r="B2024" s="85" t="s">
        <v>557</v>
      </c>
      <c r="C2024" s="85" t="s">
        <v>758</v>
      </c>
      <c r="D2024" s="56">
        <v>2017</v>
      </c>
      <c r="E2024" s="85" t="s">
        <v>650</v>
      </c>
      <c r="F2024" s="57">
        <v>2085</v>
      </c>
      <c r="G2024" s="57">
        <v>0</v>
      </c>
      <c r="H2024" s="58">
        <v>0</v>
      </c>
      <c r="I2024" s="57">
        <v>0</v>
      </c>
      <c r="J2024" s="57">
        <v>1585</v>
      </c>
      <c r="K2024" s="57">
        <v>52</v>
      </c>
      <c r="L2024" s="57">
        <v>0</v>
      </c>
      <c r="M2024" s="57">
        <v>52</v>
      </c>
      <c r="N2024" s="57">
        <v>5864</v>
      </c>
      <c r="O2024" s="57">
        <v>71</v>
      </c>
      <c r="P2024" s="57">
        <v>12878</v>
      </c>
      <c r="Q2024" s="58">
        <v>532</v>
      </c>
    </row>
    <row r="2025" spans="1:17" ht="12.75" x14ac:dyDescent="0.2">
      <c r="A2025" s="85" t="s">
        <v>658</v>
      </c>
      <c r="B2025" s="85" t="s">
        <v>557</v>
      </c>
      <c r="C2025" s="85" t="s">
        <v>758</v>
      </c>
      <c r="D2025" s="56">
        <v>2013</v>
      </c>
      <c r="E2025" s="85" t="s">
        <v>650</v>
      </c>
      <c r="F2025" s="57">
        <v>1043</v>
      </c>
      <c r="G2025" s="57">
        <v>136</v>
      </c>
      <c r="H2025" s="58">
        <v>136</v>
      </c>
      <c r="I2025" s="57">
        <v>0</v>
      </c>
      <c r="J2025" s="57">
        <v>793</v>
      </c>
      <c r="K2025" s="57">
        <v>50</v>
      </c>
      <c r="L2025" s="57">
        <v>50</v>
      </c>
      <c r="M2025" s="57">
        <v>0</v>
      </c>
      <c r="N2025" s="57">
        <v>734</v>
      </c>
      <c r="O2025" s="57">
        <v>63</v>
      </c>
      <c r="P2025" s="57">
        <v>1613</v>
      </c>
      <c r="Q2025" s="61">
        <v>1684</v>
      </c>
    </row>
    <row r="2026" spans="1:17" ht="12.75" x14ac:dyDescent="0.2">
      <c r="A2026" s="85" t="s">
        <v>658</v>
      </c>
      <c r="B2026" s="85" t="s">
        <v>557</v>
      </c>
      <c r="C2026" s="85" t="s">
        <v>758</v>
      </c>
      <c r="D2026" s="56">
        <v>2014</v>
      </c>
      <c r="E2026" s="85" t="s">
        <v>650</v>
      </c>
      <c r="F2026" s="57">
        <v>1043</v>
      </c>
      <c r="G2026" s="57">
        <v>0</v>
      </c>
      <c r="H2026" s="58">
        <v>0</v>
      </c>
      <c r="I2026" s="57">
        <v>0</v>
      </c>
      <c r="J2026" s="57">
        <v>793</v>
      </c>
      <c r="K2026" s="57">
        <v>0</v>
      </c>
      <c r="L2026" s="57">
        <v>0</v>
      </c>
      <c r="M2026" s="57">
        <v>0</v>
      </c>
      <c r="N2026" s="57">
        <v>734</v>
      </c>
      <c r="O2026" s="57">
        <v>0</v>
      </c>
      <c r="P2026" s="57">
        <v>1613</v>
      </c>
      <c r="Q2026" s="58">
        <v>97</v>
      </c>
    </row>
    <row r="2027" spans="1:17" ht="12.75" x14ac:dyDescent="0.2">
      <c r="A2027" s="85" t="s">
        <v>658</v>
      </c>
      <c r="B2027" s="85" t="s">
        <v>557</v>
      </c>
      <c r="C2027" s="85" t="s">
        <v>758</v>
      </c>
      <c r="D2027" s="56">
        <v>2015</v>
      </c>
      <c r="E2027" s="85" t="s">
        <v>650</v>
      </c>
      <c r="F2027" s="57">
        <v>1043</v>
      </c>
      <c r="G2027" s="57">
        <v>51</v>
      </c>
      <c r="H2027" s="58">
        <v>51</v>
      </c>
      <c r="I2027" s="57">
        <v>0</v>
      </c>
      <c r="J2027" s="57">
        <v>793</v>
      </c>
      <c r="K2027" s="57">
        <v>54</v>
      </c>
      <c r="L2027" s="57">
        <v>54</v>
      </c>
      <c r="M2027" s="57">
        <v>0</v>
      </c>
      <c r="N2027" s="57">
        <v>734</v>
      </c>
      <c r="O2027" s="57">
        <v>1</v>
      </c>
      <c r="P2027" s="57">
        <v>1613</v>
      </c>
      <c r="Q2027" s="58">
        <v>487</v>
      </c>
    </row>
    <row r="2028" spans="1:17" ht="12.75" x14ac:dyDescent="0.2">
      <c r="A2028" s="85" t="s">
        <v>658</v>
      </c>
      <c r="B2028" s="85" t="s">
        <v>557</v>
      </c>
      <c r="C2028" s="85" t="s">
        <v>758</v>
      </c>
      <c r="D2028" s="56">
        <v>2016</v>
      </c>
      <c r="E2028" s="85" t="s">
        <v>650</v>
      </c>
      <c r="F2028" s="57">
        <v>1043</v>
      </c>
      <c r="G2028" s="57">
        <v>0</v>
      </c>
      <c r="H2028" s="58">
        <v>0</v>
      </c>
      <c r="I2028" s="57">
        <v>0</v>
      </c>
      <c r="J2028" s="57">
        <v>793</v>
      </c>
      <c r="K2028" s="57">
        <v>0</v>
      </c>
      <c r="L2028" s="57">
        <v>0</v>
      </c>
      <c r="M2028" s="57">
        <v>0</v>
      </c>
      <c r="N2028" s="57">
        <v>734</v>
      </c>
      <c r="O2028" s="57">
        <v>0</v>
      </c>
      <c r="P2028" s="57">
        <v>1613</v>
      </c>
      <c r="Q2028" s="58">
        <v>329</v>
      </c>
    </row>
    <row r="2029" spans="1:17" ht="12.75" x14ac:dyDescent="0.2">
      <c r="A2029" s="85" t="s">
        <v>658</v>
      </c>
      <c r="B2029" s="85" t="s">
        <v>557</v>
      </c>
      <c r="C2029" s="85" t="s">
        <v>758</v>
      </c>
      <c r="D2029" s="56">
        <v>2017</v>
      </c>
      <c r="E2029" s="85" t="s">
        <v>650</v>
      </c>
      <c r="F2029" s="57">
        <v>1043</v>
      </c>
      <c r="G2029" s="57">
        <v>31</v>
      </c>
      <c r="H2029" s="58">
        <v>31</v>
      </c>
      <c r="I2029" s="57">
        <v>0</v>
      </c>
      <c r="J2029" s="57">
        <v>793</v>
      </c>
      <c r="K2029" s="57">
        <v>11</v>
      </c>
      <c r="L2029" s="57">
        <v>11</v>
      </c>
      <c r="M2029" s="57">
        <v>0</v>
      </c>
      <c r="N2029" s="57">
        <v>734</v>
      </c>
      <c r="O2029" s="57">
        <v>0</v>
      </c>
      <c r="P2029" s="57">
        <v>1613</v>
      </c>
      <c r="Q2029" s="58">
        <v>436</v>
      </c>
    </row>
    <row r="2030" spans="1:17" ht="12.75" x14ac:dyDescent="0.2">
      <c r="A2030" s="85" t="s">
        <v>672</v>
      </c>
      <c r="B2030" s="85" t="s">
        <v>557</v>
      </c>
      <c r="C2030" s="85" t="s">
        <v>758</v>
      </c>
      <c r="D2030" s="56">
        <v>2013</v>
      </c>
      <c r="E2030" s="85" t="s">
        <v>650</v>
      </c>
      <c r="F2030" s="57">
        <v>914</v>
      </c>
      <c r="G2030" s="57">
        <v>10</v>
      </c>
      <c r="H2030" s="58">
        <v>10</v>
      </c>
      <c r="I2030" s="57">
        <v>0</v>
      </c>
      <c r="J2030" s="57">
        <v>694</v>
      </c>
      <c r="K2030" s="57">
        <v>41</v>
      </c>
      <c r="L2030" s="57">
        <v>37</v>
      </c>
      <c r="M2030" s="57">
        <v>4</v>
      </c>
      <c r="N2030" s="57">
        <v>642</v>
      </c>
      <c r="O2030" s="57">
        <v>80</v>
      </c>
      <c r="P2030" s="57">
        <v>1410</v>
      </c>
      <c r="Q2030" s="58">
        <v>368</v>
      </c>
    </row>
    <row r="2031" spans="1:17" ht="12.75" x14ac:dyDescent="0.2">
      <c r="A2031" s="85" t="s">
        <v>672</v>
      </c>
      <c r="B2031" s="85" t="s">
        <v>557</v>
      </c>
      <c r="C2031" s="85" t="s">
        <v>758</v>
      </c>
      <c r="D2031" s="56">
        <v>2014</v>
      </c>
      <c r="E2031" s="85" t="s">
        <v>650</v>
      </c>
      <c r="F2031" s="57">
        <v>914</v>
      </c>
      <c r="G2031" s="57">
        <v>0</v>
      </c>
      <c r="H2031" s="58">
        <v>0</v>
      </c>
      <c r="I2031" s="57">
        <v>0</v>
      </c>
      <c r="J2031" s="57">
        <v>694</v>
      </c>
      <c r="K2031" s="57">
        <v>0</v>
      </c>
      <c r="L2031" s="57">
        <v>0</v>
      </c>
      <c r="M2031" s="57">
        <v>0</v>
      </c>
      <c r="N2031" s="57">
        <v>642</v>
      </c>
      <c r="O2031" s="57">
        <v>0</v>
      </c>
      <c r="P2031" s="57">
        <v>1410</v>
      </c>
      <c r="Q2031" s="58">
        <v>175</v>
      </c>
    </row>
    <row r="2032" spans="1:17" ht="12.75" x14ac:dyDescent="0.2">
      <c r="A2032" s="85" t="s">
        <v>672</v>
      </c>
      <c r="B2032" s="85" t="s">
        <v>557</v>
      </c>
      <c r="C2032" s="85" t="s">
        <v>758</v>
      </c>
      <c r="D2032" s="56">
        <v>2015</v>
      </c>
      <c r="E2032" s="85" t="s">
        <v>650</v>
      </c>
      <c r="F2032" s="57">
        <v>914</v>
      </c>
      <c r="G2032" s="57">
        <v>0</v>
      </c>
      <c r="H2032" s="58">
        <v>0</v>
      </c>
      <c r="I2032" s="57">
        <v>0</v>
      </c>
      <c r="J2032" s="57">
        <v>694</v>
      </c>
      <c r="K2032" s="57">
        <v>0</v>
      </c>
      <c r="L2032" s="57">
        <v>0</v>
      </c>
      <c r="M2032" s="57">
        <v>0</v>
      </c>
      <c r="N2032" s="57">
        <v>642</v>
      </c>
      <c r="O2032" s="57">
        <v>0</v>
      </c>
      <c r="P2032" s="57">
        <v>1410</v>
      </c>
      <c r="Q2032" s="58">
        <v>5</v>
      </c>
    </row>
    <row r="2033" spans="1:17" ht="12.75" x14ac:dyDescent="0.2">
      <c r="A2033" s="85" t="s">
        <v>672</v>
      </c>
      <c r="B2033" s="85" t="s">
        <v>557</v>
      </c>
      <c r="C2033" s="85" t="s">
        <v>758</v>
      </c>
      <c r="D2033" s="56">
        <v>2016</v>
      </c>
      <c r="E2033" s="85" t="s">
        <v>650</v>
      </c>
      <c r="F2033" s="57">
        <v>914</v>
      </c>
      <c r="G2033" s="57">
        <v>0</v>
      </c>
      <c r="H2033" s="58">
        <v>0</v>
      </c>
      <c r="I2033" s="57">
        <v>0</v>
      </c>
      <c r="J2033" s="57">
        <v>694</v>
      </c>
      <c r="K2033" s="57">
        <v>2</v>
      </c>
      <c r="L2033" s="57">
        <v>0</v>
      </c>
      <c r="M2033" s="57">
        <v>2</v>
      </c>
      <c r="N2033" s="57">
        <v>642</v>
      </c>
      <c r="O2033" s="57">
        <v>0</v>
      </c>
      <c r="P2033" s="57">
        <v>1410</v>
      </c>
      <c r="Q2033" s="58">
        <v>50</v>
      </c>
    </row>
    <row r="2034" spans="1:17" ht="12.75" x14ac:dyDescent="0.2">
      <c r="A2034" s="85" t="s">
        <v>672</v>
      </c>
      <c r="B2034" s="85" t="s">
        <v>557</v>
      </c>
      <c r="C2034" s="85" t="s">
        <v>758</v>
      </c>
      <c r="D2034" s="56">
        <v>2017</v>
      </c>
      <c r="E2034" s="85" t="s">
        <v>650</v>
      </c>
      <c r="F2034" s="57">
        <v>914</v>
      </c>
      <c r="G2034" s="57">
        <v>0</v>
      </c>
      <c r="H2034" s="58">
        <v>0</v>
      </c>
      <c r="I2034" s="57">
        <v>0</v>
      </c>
      <c r="J2034" s="57">
        <v>694</v>
      </c>
      <c r="K2034" s="57">
        <v>0</v>
      </c>
      <c r="L2034" s="57">
        <v>0</v>
      </c>
      <c r="M2034" s="57">
        <v>0</v>
      </c>
      <c r="N2034" s="57">
        <v>642</v>
      </c>
      <c r="O2034" s="57">
        <v>16</v>
      </c>
      <c r="P2034" s="57">
        <v>1410</v>
      </c>
      <c r="Q2034" s="58">
        <v>128</v>
      </c>
    </row>
    <row r="2035" spans="1:17" ht="12.75" x14ac:dyDescent="0.2">
      <c r="A2035" s="85" t="s">
        <v>688</v>
      </c>
      <c r="B2035" s="85" t="s">
        <v>557</v>
      </c>
      <c r="C2035" s="85" t="s">
        <v>758</v>
      </c>
      <c r="D2035" s="56">
        <v>2013</v>
      </c>
      <c r="E2035" s="85" t="s">
        <v>650</v>
      </c>
      <c r="F2035" s="57">
        <v>85</v>
      </c>
      <c r="G2035" s="57">
        <v>0</v>
      </c>
      <c r="H2035" s="58">
        <v>0</v>
      </c>
      <c r="I2035" s="57">
        <v>0</v>
      </c>
      <c r="J2035" s="57">
        <v>65</v>
      </c>
      <c r="K2035" s="57">
        <v>1</v>
      </c>
      <c r="L2035" s="57">
        <v>0</v>
      </c>
      <c r="M2035" s="57">
        <v>1</v>
      </c>
      <c r="N2035" s="57">
        <v>59</v>
      </c>
      <c r="O2035" s="57">
        <v>0</v>
      </c>
      <c r="P2035" s="57">
        <v>131</v>
      </c>
      <c r="Q2035" s="58">
        <v>11</v>
      </c>
    </row>
    <row r="2036" spans="1:17" ht="12.75" x14ac:dyDescent="0.2">
      <c r="A2036" s="85" t="s">
        <v>688</v>
      </c>
      <c r="B2036" s="85" t="s">
        <v>557</v>
      </c>
      <c r="C2036" s="85" t="s">
        <v>758</v>
      </c>
      <c r="D2036" s="56">
        <v>2014</v>
      </c>
      <c r="E2036" s="85" t="s">
        <v>650</v>
      </c>
      <c r="F2036" s="57">
        <v>85</v>
      </c>
      <c r="G2036" s="57">
        <v>0</v>
      </c>
      <c r="H2036" s="58">
        <v>0</v>
      </c>
      <c r="I2036" s="57">
        <v>0</v>
      </c>
      <c r="J2036" s="57">
        <v>65</v>
      </c>
      <c r="K2036" s="57">
        <v>0</v>
      </c>
      <c r="L2036" s="57">
        <v>0</v>
      </c>
      <c r="M2036" s="57">
        <v>0</v>
      </c>
      <c r="N2036" s="57">
        <v>59</v>
      </c>
      <c r="O2036" s="57">
        <v>0</v>
      </c>
      <c r="P2036" s="57">
        <v>131</v>
      </c>
      <c r="Q2036" s="58">
        <v>5</v>
      </c>
    </row>
    <row r="2037" spans="1:17" ht="12.75" x14ac:dyDescent="0.2">
      <c r="A2037" s="85" t="s">
        <v>688</v>
      </c>
      <c r="B2037" s="85" t="s">
        <v>557</v>
      </c>
      <c r="C2037" s="85" t="s">
        <v>758</v>
      </c>
      <c r="D2037" s="56">
        <v>2015</v>
      </c>
      <c r="E2037" s="85" t="s">
        <v>650</v>
      </c>
      <c r="F2037" s="57">
        <v>85</v>
      </c>
      <c r="G2037" s="57">
        <v>0</v>
      </c>
      <c r="H2037" s="58">
        <v>0</v>
      </c>
      <c r="I2037" s="57">
        <v>0</v>
      </c>
      <c r="J2037" s="57">
        <v>65</v>
      </c>
      <c r="K2037" s="57">
        <v>1</v>
      </c>
      <c r="L2037" s="57">
        <v>1</v>
      </c>
      <c r="M2037" s="57">
        <v>0</v>
      </c>
      <c r="N2037" s="57">
        <v>59</v>
      </c>
      <c r="O2037" s="57">
        <v>0</v>
      </c>
      <c r="P2037" s="57">
        <v>131</v>
      </c>
      <c r="Q2037" s="58">
        <v>3</v>
      </c>
    </row>
    <row r="2038" spans="1:17" ht="12.75" x14ac:dyDescent="0.2">
      <c r="A2038" s="85" t="s">
        <v>688</v>
      </c>
      <c r="B2038" s="85" t="s">
        <v>557</v>
      </c>
      <c r="C2038" s="85" t="s">
        <v>758</v>
      </c>
      <c r="D2038" s="56">
        <v>2016</v>
      </c>
      <c r="E2038" s="85" t="s">
        <v>650</v>
      </c>
      <c r="F2038" s="57">
        <v>85</v>
      </c>
      <c r="G2038" s="57">
        <v>0</v>
      </c>
      <c r="H2038" s="58">
        <v>0</v>
      </c>
      <c r="I2038" s="57">
        <v>0</v>
      </c>
      <c r="J2038" s="57">
        <v>65</v>
      </c>
      <c r="K2038" s="57">
        <v>1</v>
      </c>
      <c r="L2038" s="57">
        <v>1</v>
      </c>
      <c r="M2038" s="57">
        <v>0</v>
      </c>
      <c r="N2038" s="57">
        <v>59</v>
      </c>
      <c r="O2038" s="57">
        <v>0</v>
      </c>
      <c r="P2038" s="57">
        <v>131</v>
      </c>
      <c r="Q2038" s="58">
        <v>5</v>
      </c>
    </row>
    <row r="2039" spans="1:17" ht="12.75" x14ac:dyDescent="0.2">
      <c r="A2039" s="85" t="s">
        <v>688</v>
      </c>
      <c r="B2039" s="85" t="s">
        <v>557</v>
      </c>
      <c r="C2039" s="85" t="s">
        <v>758</v>
      </c>
      <c r="D2039" s="56">
        <v>2017</v>
      </c>
      <c r="E2039" s="85" t="s">
        <v>650</v>
      </c>
      <c r="F2039" s="57">
        <v>85</v>
      </c>
      <c r="G2039" s="57">
        <v>0</v>
      </c>
      <c r="H2039" s="58">
        <v>0</v>
      </c>
      <c r="I2039" s="57">
        <v>0</v>
      </c>
      <c r="J2039" s="57">
        <v>65</v>
      </c>
      <c r="K2039" s="57">
        <v>2</v>
      </c>
      <c r="L2039" s="57">
        <v>2</v>
      </c>
      <c r="M2039" s="57">
        <v>0</v>
      </c>
      <c r="N2039" s="57">
        <v>59</v>
      </c>
      <c r="O2039" s="57">
        <v>3</v>
      </c>
      <c r="P2039" s="57">
        <v>131</v>
      </c>
      <c r="Q2039" s="58">
        <v>12</v>
      </c>
    </row>
    <row r="2040" spans="1:17" ht="12.75" x14ac:dyDescent="0.2">
      <c r="A2040" s="81" t="s">
        <v>731</v>
      </c>
      <c r="B2040" s="81" t="s">
        <v>557</v>
      </c>
      <c r="C2040" s="81" t="s">
        <v>758</v>
      </c>
      <c r="D2040" s="82">
        <v>2013</v>
      </c>
      <c r="E2040" s="81" t="s">
        <v>650</v>
      </c>
      <c r="F2040" s="58">
        <v>343</v>
      </c>
      <c r="G2040" s="57">
        <v>48</v>
      </c>
      <c r="H2040" s="58">
        <v>48</v>
      </c>
      <c r="I2040" s="58">
        <v>0</v>
      </c>
      <c r="J2040" s="57">
        <v>260</v>
      </c>
      <c r="K2040" s="57">
        <v>36</v>
      </c>
      <c r="L2040" s="58">
        <v>36</v>
      </c>
      <c r="M2040" s="58">
        <v>0</v>
      </c>
      <c r="N2040" s="58">
        <v>241</v>
      </c>
      <c r="O2040" s="58">
        <v>1</v>
      </c>
      <c r="P2040" s="58">
        <v>530</v>
      </c>
      <c r="Q2040" s="58">
        <v>252</v>
      </c>
    </row>
    <row r="2041" spans="1:17" ht="12.75" x14ac:dyDescent="0.2">
      <c r="A2041" s="81" t="s">
        <v>731</v>
      </c>
      <c r="B2041" s="81" t="s">
        <v>557</v>
      </c>
      <c r="C2041" s="81" t="s">
        <v>758</v>
      </c>
      <c r="D2041" s="82">
        <v>2014</v>
      </c>
      <c r="E2041" s="81" t="s">
        <v>650</v>
      </c>
      <c r="F2041" s="58">
        <v>343</v>
      </c>
      <c r="G2041" s="57">
        <v>48</v>
      </c>
      <c r="H2041" s="58">
        <v>48</v>
      </c>
      <c r="I2041" s="58">
        <v>0</v>
      </c>
      <c r="J2041" s="57">
        <v>260</v>
      </c>
      <c r="K2041" s="57">
        <v>18</v>
      </c>
      <c r="L2041" s="58">
        <v>18</v>
      </c>
      <c r="M2041" s="58">
        <v>0</v>
      </c>
      <c r="N2041" s="58">
        <v>241</v>
      </c>
      <c r="O2041" s="58">
        <v>0</v>
      </c>
      <c r="P2041" s="58">
        <v>530</v>
      </c>
      <c r="Q2041" s="58">
        <v>691</v>
      </c>
    </row>
    <row r="2042" spans="1:17" ht="12.75" x14ac:dyDescent="0.2">
      <c r="A2042" s="81" t="s">
        <v>731</v>
      </c>
      <c r="B2042" s="81" t="s">
        <v>557</v>
      </c>
      <c r="C2042" s="81" t="s">
        <v>758</v>
      </c>
      <c r="D2042" s="82">
        <v>2015</v>
      </c>
      <c r="E2042" s="81" t="s">
        <v>650</v>
      </c>
      <c r="F2042" s="58">
        <v>343</v>
      </c>
      <c r="G2042" s="57">
        <v>0</v>
      </c>
      <c r="H2042" s="58">
        <v>0</v>
      </c>
      <c r="I2042" s="58">
        <v>0</v>
      </c>
      <c r="J2042" s="57">
        <v>260</v>
      </c>
      <c r="K2042" s="57">
        <v>0</v>
      </c>
      <c r="L2042" s="58">
        <v>0</v>
      </c>
      <c r="M2042" s="58">
        <v>0</v>
      </c>
      <c r="N2042" s="58">
        <v>241</v>
      </c>
      <c r="O2042" s="58">
        <v>0</v>
      </c>
      <c r="P2042" s="58">
        <v>530</v>
      </c>
      <c r="Q2042" s="58">
        <v>415</v>
      </c>
    </row>
    <row r="2043" spans="1:17" ht="12.75" x14ac:dyDescent="0.2">
      <c r="A2043" s="81" t="s">
        <v>731</v>
      </c>
      <c r="B2043" s="81" t="s">
        <v>557</v>
      </c>
      <c r="C2043" s="81" t="s">
        <v>758</v>
      </c>
      <c r="D2043" s="82">
        <v>2016</v>
      </c>
      <c r="E2043" s="81" t="s">
        <v>650</v>
      </c>
      <c r="F2043" s="58">
        <v>343</v>
      </c>
      <c r="G2043" s="57">
        <v>0</v>
      </c>
      <c r="H2043" s="58">
        <v>0</v>
      </c>
      <c r="I2043" s="58">
        <v>0</v>
      </c>
      <c r="J2043" s="57">
        <v>260</v>
      </c>
      <c r="K2043" s="57">
        <v>0</v>
      </c>
      <c r="L2043" s="58">
        <v>0</v>
      </c>
      <c r="M2043" s="58">
        <v>0</v>
      </c>
      <c r="N2043" s="58">
        <v>241</v>
      </c>
      <c r="O2043" s="58">
        <v>0</v>
      </c>
      <c r="P2043" s="58">
        <v>530</v>
      </c>
      <c r="Q2043" s="58">
        <v>35</v>
      </c>
    </row>
    <row r="2044" spans="1:17" ht="12.75" x14ac:dyDescent="0.2">
      <c r="A2044" s="81" t="s">
        <v>731</v>
      </c>
      <c r="B2044" s="81" t="s">
        <v>557</v>
      </c>
      <c r="C2044" s="81" t="s">
        <v>758</v>
      </c>
      <c r="D2044" s="82">
        <v>2017</v>
      </c>
      <c r="E2044" s="81" t="s">
        <v>650</v>
      </c>
      <c r="F2044" s="58">
        <v>343</v>
      </c>
      <c r="G2044" s="57">
        <v>0</v>
      </c>
      <c r="H2044" s="58">
        <v>0</v>
      </c>
      <c r="I2044" s="58">
        <v>0</v>
      </c>
      <c r="J2044" s="57">
        <v>260</v>
      </c>
      <c r="K2044" s="57">
        <v>0</v>
      </c>
      <c r="L2044" s="58">
        <v>0</v>
      </c>
      <c r="M2044" s="58">
        <v>0</v>
      </c>
      <c r="N2044" s="58">
        <v>241</v>
      </c>
      <c r="O2044" s="58">
        <v>0</v>
      </c>
      <c r="P2044" s="58">
        <v>530</v>
      </c>
      <c r="Q2044" s="58">
        <v>154</v>
      </c>
    </row>
    <row r="2045" spans="1:17" ht="12.75" x14ac:dyDescent="0.2">
      <c r="A2045" s="81" t="s">
        <v>275</v>
      </c>
      <c r="B2045" s="81" t="s">
        <v>557</v>
      </c>
      <c r="C2045" s="81" t="s">
        <v>758</v>
      </c>
      <c r="D2045" s="82">
        <v>2018</v>
      </c>
      <c r="E2045" s="81" t="s">
        <v>650</v>
      </c>
      <c r="F2045" s="58">
        <v>912</v>
      </c>
      <c r="G2045" s="57">
        <v>0</v>
      </c>
      <c r="H2045" s="58">
        <v>0</v>
      </c>
      <c r="I2045" s="58">
        <v>0</v>
      </c>
      <c r="J2045" s="58">
        <v>693</v>
      </c>
      <c r="K2045" s="57">
        <v>5</v>
      </c>
      <c r="L2045" s="58">
        <v>4</v>
      </c>
      <c r="M2045" s="58">
        <v>1</v>
      </c>
      <c r="N2045" s="58">
        <v>1062</v>
      </c>
      <c r="O2045" s="58">
        <v>28</v>
      </c>
      <c r="P2045" s="58">
        <v>2332</v>
      </c>
      <c r="Q2045" s="58">
        <v>182</v>
      </c>
    </row>
    <row r="2046" spans="1:17" ht="12.75" x14ac:dyDescent="0.2">
      <c r="A2046" s="81" t="s">
        <v>292</v>
      </c>
      <c r="B2046" s="81" t="s">
        <v>557</v>
      </c>
      <c r="C2046" s="81" t="s">
        <v>758</v>
      </c>
      <c r="D2046" s="82">
        <v>2018</v>
      </c>
      <c r="E2046" s="81" t="s">
        <v>650</v>
      </c>
      <c r="F2046" s="58">
        <v>3209</v>
      </c>
      <c r="G2046" s="57">
        <v>0</v>
      </c>
      <c r="H2046" s="58">
        <v>0</v>
      </c>
      <c r="I2046" s="58">
        <v>0</v>
      </c>
      <c r="J2046" s="58">
        <v>2439</v>
      </c>
      <c r="K2046" s="57">
        <v>0</v>
      </c>
      <c r="L2046" s="58">
        <v>0</v>
      </c>
      <c r="M2046" s="58">
        <v>0</v>
      </c>
      <c r="N2046" s="58">
        <v>2257</v>
      </c>
      <c r="O2046" s="58">
        <v>0</v>
      </c>
      <c r="P2046" s="58">
        <v>4956</v>
      </c>
      <c r="Q2046" s="58">
        <v>1777</v>
      </c>
    </row>
    <row r="2047" spans="1:17" ht="12.75" x14ac:dyDescent="0.2">
      <c r="A2047" s="81" t="s">
        <v>320</v>
      </c>
      <c r="B2047" s="81" t="s">
        <v>557</v>
      </c>
      <c r="C2047" s="81" t="s">
        <v>758</v>
      </c>
      <c r="D2047" s="82">
        <v>2018</v>
      </c>
      <c r="E2047" s="81" t="s">
        <v>650</v>
      </c>
      <c r="F2047" s="58">
        <v>13</v>
      </c>
      <c r="G2047" s="57">
        <v>0</v>
      </c>
      <c r="H2047" s="58">
        <v>0</v>
      </c>
      <c r="I2047" s="58">
        <v>0</v>
      </c>
      <c r="J2047" s="58">
        <v>9</v>
      </c>
      <c r="K2047" s="57">
        <v>0</v>
      </c>
      <c r="L2047" s="58">
        <v>0</v>
      </c>
      <c r="M2047" s="58">
        <v>0</v>
      </c>
      <c r="N2047" s="58">
        <v>9</v>
      </c>
      <c r="O2047" s="58">
        <v>0</v>
      </c>
      <c r="P2047" s="58">
        <v>19</v>
      </c>
      <c r="Q2047" s="58">
        <v>15</v>
      </c>
    </row>
    <row r="2048" spans="1:17" ht="12.75" x14ac:dyDescent="0.2">
      <c r="A2048" s="81" t="s">
        <v>333</v>
      </c>
      <c r="B2048" s="81" t="s">
        <v>557</v>
      </c>
      <c r="C2048" s="81" t="s">
        <v>758</v>
      </c>
      <c r="D2048" s="82">
        <v>2018</v>
      </c>
      <c r="E2048" s="81" t="s">
        <v>650</v>
      </c>
      <c r="F2048" s="58">
        <v>7</v>
      </c>
      <c r="G2048" s="57">
        <v>0</v>
      </c>
      <c r="H2048" s="58">
        <v>0</v>
      </c>
      <c r="I2048" s="58">
        <v>0</v>
      </c>
      <c r="J2048" s="58">
        <v>5</v>
      </c>
      <c r="K2048" s="57">
        <v>0</v>
      </c>
      <c r="L2048" s="58">
        <v>0</v>
      </c>
      <c r="M2048" s="58">
        <v>0</v>
      </c>
      <c r="N2048" s="58">
        <v>15</v>
      </c>
      <c r="O2048" s="58">
        <v>1</v>
      </c>
      <c r="P2048" s="58">
        <v>34</v>
      </c>
      <c r="Q2048" s="58">
        <v>0</v>
      </c>
    </row>
    <row r="2049" spans="1:17" ht="12.75" x14ac:dyDescent="0.2">
      <c r="A2049" s="81" t="s">
        <v>352</v>
      </c>
      <c r="B2049" s="81" t="s">
        <v>557</v>
      </c>
      <c r="C2049" s="81" t="s">
        <v>758</v>
      </c>
      <c r="D2049" s="82">
        <v>2018</v>
      </c>
      <c r="E2049" s="81" t="s">
        <v>650</v>
      </c>
      <c r="F2049" s="58">
        <v>1448</v>
      </c>
      <c r="G2049" s="57">
        <v>0</v>
      </c>
      <c r="H2049" s="58">
        <v>0</v>
      </c>
      <c r="I2049" s="58">
        <v>0</v>
      </c>
      <c r="J2049" s="58">
        <v>1101</v>
      </c>
      <c r="K2049" s="57">
        <v>74</v>
      </c>
      <c r="L2049" s="58">
        <v>74</v>
      </c>
      <c r="M2049" s="58">
        <v>0</v>
      </c>
      <c r="N2049" s="58">
        <v>1019</v>
      </c>
      <c r="O2049" s="58">
        <v>0</v>
      </c>
      <c r="P2049" s="58">
        <v>2237</v>
      </c>
      <c r="Q2049" s="58">
        <v>94</v>
      </c>
    </row>
    <row r="2050" spans="1:17" ht="12.75" x14ac:dyDescent="0.2">
      <c r="A2050" s="81" t="s">
        <v>362</v>
      </c>
      <c r="B2050" s="81" t="s">
        <v>557</v>
      </c>
      <c r="C2050" s="81" t="s">
        <v>758</v>
      </c>
      <c r="D2050" s="82">
        <v>2018</v>
      </c>
      <c r="E2050" s="81" t="s">
        <v>650</v>
      </c>
      <c r="F2050" s="58">
        <v>587</v>
      </c>
      <c r="G2050" s="57">
        <v>8</v>
      </c>
      <c r="H2050" s="58">
        <v>2</v>
      </c>
      <c r="I2050" s="58">
        <v>6</v>
      </c>
      <c r="J2050" s="58">
        <v>446</v>
      </c>
      <c r="K2050" s="57">
        <v>2</v>
      </c>
      <c r="L2050" s="58">
        <v>0</v>
      </c>
      <c r="M2050" s="58">
        <v>2</v>
      </c>
      <c r="N2050" s="58">
        <v>413</v>
      </c>
      <c r="O2050" s="58">
        <v>7</v>
      </c>
      <c r="P2050" s="58">
        <v>907</v>
      </c>
      <c r="Q2050" s="58">
        <v>131</v>
      </c>
    </row>
    <row r="2051" spans="1:17" ht="12.75" x14ac:dyDescent="0.2">
      <c r="A2051" s="81" t="s">
        <v>366</v>
      </c>
      <c r="B2051" s="81" t="s">
        <v>557</v>
      </c>
      <c r="C2051" s="81" t="s">
        <v>758</v>
      </c>
      <c r="D2051" s="82">
        <v>2018</v>
      </c>
      <c r="E2051" s="81" t="s">
        <v>650</v>
      </c>
      <c r="F2051" s="58">
        <v>1042</v>
      </c>
      <c r="G2051" s="57">
        <v>1</v>
      </c>
      <c r="H2051" s="58">
        <v>0</v>
      </c>
      <c r="I2051" s="58">
        <v>1</v>
      </c>
      <c r="J2051" s="58">
        <v>791</v>
      </c>
      <c r="K2051" s="57">
        <v>1</v>
      </c>
      <c r="L2051" s="58">
        <v>0</v>
      </c>
      <c r="M2051" s="58">
        <v>1</v>
      </c>
      <c r="N2051" s="58">
        <v>733</v>
      </c>
      <c r="O2051" s="58">
        <v>18</v>
      </c>
      <c r="P2051" s="58">
        <v>1609</v>
      </c>
      <c r="Q2051" s="58">
        <v>220</v>
      </c>
    </row>
    <row r="2052" spans="1:17" ht="12.75" x14ac:dyDescent="0.2">
      <c r="A2052" s="81" t="s">
        <v>435</v>
      </c>
      <c r="B2052" s="81" t="s">
        <v>557</v>
      </c>
      <c r="C2052" s="81" t="s">
        <v>758</v>
      </c>
      <c r="D2052" s="82">
        <v>2018</v>
      </c>
      <c r="E2052" s="81" t="s">
        <v>650</v>
      </c>
      <c r="F2052" s="58">
        <v>63</v>
      </c>
      <c r="G2052" s="57">
        <v>0</v>
      </c>
      <c r="H2052" s="58">
        <v>0</v>
      </c>
      <c r="I2052" s="58">
        <v>0</v>
      </c>
      <c r="J2052" s="58">
        <v>48</v>
      </c>
      <c r="K2052" s="57">
        <v>0</v>
      </c>
      <c r="L2052" s="58">
        <v>0</v>
      </c>
      <c r="M2052" s="58">
        <v>0</v>
      </c>
      <c r="N2052" s="58">
        <v>45</v>
      </c>
      <c r="O2052" s="58">
        <v>0</v>
      </c>
      <c r="P2052" s="58">
        <v>98</v>
      </c>
      <c r="Q2052" s="58">
        <v>64</v>
      </c>
    </row>
    <row r="2053" spans="1:17" ht="12.75" x14ac:dyDescent="0.2">
      <c r="A2053" s="81" t="s">
        <v>458</v>
      </c>
      <c r="B2053" s="81" t="s">
        <v>557</v>
      </c>
      <c r="C2053" s="81" t="s">
        <v>758</v>
      </c>
      <c r="D2053" s="82">
        <v>2018</v>
      </c>
      <c r="E2053" s="81" t="s">
        <v>650</v>
      </c>
      <c r="F2053" s="58">
        <v>430</v>
      </c>
      <c r="G2053" s="57">
        <v>0</v>
      </c>
      <c r="H2053" s="58">
        <v>0</v>
      </c>
      <c r="I2053" s="58">
        <v>0</v>
      </c>
      <c r="J2053" s="58">
        <v>326</v>
      </c>
      <c r="K2053" s="57">
        <v>0</v>
      </c>
      <c r="L2053" s="58">
        <v>0</v>
      </c>
      <c r="M2053" s="58">
        <v>0</v>
      </c>
      <c r="N2053" s="58">
        <v>302</v>
      </c>
      <c r="O2053" s="58">
        <v>0</v>
      </c>
      <c r="P2053" s="58">
        <v>664</v>
      </c>
      <c r="Q2053" s="58">
        <v>122</v>
      </c>
    </row>
    <row r="2054" spans="1:17" ht="12.75" x14ac:dyDescent="0.2">
      <c r="A2054" s="81" t="s">
        <v>485</v>
      </c>
      <c r="B2054" s="81" t="s">
        <v>557</v>
      </c>
      <c r="C2054" s="81" t="s">
        <v>758</v>
      </c>
      <c r="D2054" s="82">
        <v>2018</v>
      </c>
      <c r="E2054" s="81" t="s">
        <v>650</v>
      </c>
      <c r="F2054" s="58">
        <v>77</v>
      </c>
      <c r="G2054" s="57">
        <v>0</v>
      </c>
      <c r="H2054" s="58">
        <v>0</v>
      </c>
      <c r="I2054" s="58">
        <v>0</v>
      </c>
      <c r="J2054" s="58">
        <v>59</v>
      </c>
      <c r="K2054" s="57">
        <v>1</v>
      </c>
      <c r="L2054" s="58">
        <v>0</v>
      </c>
      <c r="M2054" s="58">
        <v>1</v>
      </c>
      <c r="N2054" s="58">
        <v>54</v>
      </c>
      <c r="O2054" s="58">
        <v>24</v>
      </c>
      <c r="P2054" s="58">
        <v>119</v>
      </c>
      <c r="Q2054" s="58">
        <v>3</v>
      </c>
    </row>
    <row r="2055" spans="1:17" ht="12.75" x14ac:dyDescent="0.2">
      <c r="A2055" s="81" t="s">
        <v>568</v>
      </c>
      <c r="B2055" s="81" t="s">
        <v>557</v>
      </c>
      <c r="C2055" s="81" t="s">
        <v>758</v>
      </c>
      <c r="D2055" s="82">
        <v>2018</v>
      </c>
      <c r="E2055" s="81" t="s">
        <v>650</v>
      </c>
      <c r="F2055" s="58">
        <v>465</v>
      </c>
      <c r="G2055" s="57">
        <v>0</v>
      </c>
      <c r="H2055" s="58">
        <v>0</v>
      </c>
      <c r="I2055" s="58">
        <v>0</v>
      </c>
      <c r="J2055" s="58">
        <v>353</v>
      </c>
      <c r="K2055" s="57">
        <v>0</v>
      </c>
      <c r="L2055" s="58">
        <v>0</v>
      </c>
      <c r="M2055" s="58">
        <v>0</v>
      </c>
      <c r="N2055" s="58">
        <v>327</v>
      </c>
      <c r="O2055" s="58">
        <v>0</v>
      </c>
      <c r="P2055" s="58">
        <v>718</v>
      </c>
      <c r="Q2055" s="58">
        <v>60</v>
      </c>
    </row>
    <row r="2056" spans="1:17" ht="12.75" x14ac:dyDescent="0.2">
      <c r="A2056" s="81" t="s">
        <v>578</v>
      </c>
      <c r="B2056" s="81" t="s">
        <v>557</v>
      </c>
      <c r="C2056" s="81" t="s">
        <v>758</v>
      </c>
      <c r="D2056" s="82">
        <v>2018</v>
      </c>
      <c r="E2056" s="81" t="s">
        <v>650</v>
      </c>
      <c r="F2056" s="58">
        <v>1549</v>
      </c>
      <c r="G2056" s="57">
        <v>0</v>
      </c>
      <c r="H2056" s="58">
        <v>0</v>
      </c>
      <c r="I2056" s="58">
        <v>0</v>
      </c>
      <c r="J2056" s="58">
        <v>1178</v>
      </c>
      <c r="K2056" s="57">
        <v>0</v>
      </c>
      <c r="L2056" s="58">
        <v>0</v>
      </c>
      <c r="M2056" s="58">
        <v>0</v>
      </c>
      <c r="N2056" s="58">
        <v>1090</v>
      </c>
      <c r="O2056" s="58">
        <v>27</v>
      </c>
      <c r="P2056" s="58">
        <v>2393</v>
      </c>
      <c r="Q2056" s="58">
        <v>267</v>
      </c>
    </row>
    <row r="2057" spans="1:17" ht="12.75" x14ac:dyDescent="0.2">
      <c r="A2057" s="81" t="s">
        <v>608</v>
      </c>
      <c r="B2057" s="81" t="s">
        <v>557</v>
      </c>
      <c r="C2057" s="81" t="s">
        <v>758</v>
      </c>
      <c r="D2057" s="82">
        <v>2018</v>
      </c>
      <c r="E2057" s="81" t="s">
        <v>650</v>
      </c>
      <c r="F2057" s="58">
        <v>201</v>
      </c>
      <c r="G2057" s="57">
        <v>0</v>
      </c>
      <c r="H2057" s="58">
        <v>0</v>
      </c>
      <c r="I2057" s="58">
        <v>0</v>
      </c>
      <c r="J2057" s="58">
        <v>152</v>
      </c>
      <c r="K2057" s="57">
        <v>0</v>
      </c>
      <c r="L2057" s="58">
        <v>0</v>
      </c>
      <c r="M2057" s="58">
        <v>0</v>
      </c>
      <c r="N2057" s="58">
        <v>282</v>
      </c>
      <c r="O2057" s="58">
        <v>0</v>
      </c>
      <c r="P2057" s="58">
        <v>618</v>
      </c>
      <c r="Q2057" s="58">
        <v>15</v>
      </c>
    </row>
    <row r="2058" spans="1:17" ht="12.75" x14ac:dyDescent="0.2">
      <c r="A2058" s="81" t="s">
        <v>557</v>
      </c>
      <c r="B2058" s="81" t="s">
        <v>557</v>
      </c>
      <c r="C2058" s="81" t="s">
        <v>758</v>
      </c>
      <c r="D2058" s="82">
        <v>2018</v>
      </c>
      <c r="E2058" s="81" t="s">
        <v>650</v>
      </c>
      <c r="F2058" s="58">
        <v>21977</v>
      </c>
      <c r="G2058" s="57">
        <v>249</v>
      </c>
      <c r="H2058" s="58">
        <v>249</v>
      </c>
      <c r="I2058" s="58">
        <v>0</v>
      </c>
      <c r="J2058" s="58">
        <v>16703</v>
      </c>
      <c r="K2058" s="57">
        <v>203</v>
      </c>
      <c r="L2058" s="58">
        <v>203</v>
      </c>
      <c r="M2058" s="58">
        <v>0</v>
      </c>
      <c r="N2058" s="58">
        <v>15462</v>
      </c>
      <c r="O2058" s="58">
        <v>6</v>
      </c>
      <c r="P2058" s="58">
        <v>33954</v>
      </c>
      <c r="Q2058" s="58">
        <v>3437</v>
      </c>
    </row>
    <row r="2059" spans="1:17" ht="12.75" x14ac:dyDescent="0.2">
      <c r="A2059" s="81" t="s">
        <v>645</v>
      </c>
      <c r="B2059" s="81" t="s">
        <v>557</v>
      </c>
      <c r="C2059" s="81" t="s">
        <v>758</v>
      </c>
      <c r="D2059" s="82">
        <v>2018</v>
      </c>
      <c r="E2059" s="81" t="s">
        <v>650</v>
      </c>
      <c r="F2059" s="58">
        <v>2085</v>
      </c>
      <c r="G2059" s="57">
        <v>10</v>
      </c>
      <c r="H2059" s="58">
        <v>0</v>
      </c>
      <c r="I2059" s="58">
        <v>10</v>
      </c>
      <c r="J2059" s="58">
        <v>1585</v>
      </c>
      <c r="K2059" s="57">
        <v>142</v>
      </c>
      <c r="L2059" s="58">
        <v>0</v>
      </c>
      <c r="M2059" s="58">
        <v>142</v>
      </c>
      <c r="N2059" s="58">
        <v>5864</v>
      </c>
      <c r="O2059" s="58">
        <v>177</v>
      </c>
      <c r="P2059" s="58">
        <v>12878</v>
      </c>
      <c r="Q2059" s="58">
        <v>399</v>
      </c>
    </row>
    <row r="2060" spans="1:17" ht="12.75" x14ac:dyDescent="0.2">
      <c r="A2060" s="81" t="s">
        <v>658</v>
      </c>
      <c r="B2060" s="81" t="s">
        <v>557</v>
      </c>
      <c r="C2060" s="81" t="s">
        <v>758</v>
      </c>
      <c r="D2060" s="82">
        <v>2018</v>
      </c>
      <c r="E2060" s="81" t="s">
        <v>650</v>
      </c>
      <c r="F2060" s="58">
        <v>1043</v>
      </c>
      <c r="G2060" s="57">
        <v>2</v>
      </c>
      <c r="H2060" s="58">
        <v>2</v>
      </c>
      <c r="I2060" s="58">
        <v>0</v>
      </c>
      <c r="J2060" s="58">
        <v>793</v>
      </c>
      <c r="K2060" s="57">
        <v>0</v>
      </c>
      <c r="L2060" s="58">
        <v>0</v>
      </c>
      <c r="M2060" s="58">
        <v>0</v>
      </c>
      <c r="N2060" s="58">
        <v>734</v>
      </c>
      <c r="O2060" s="58">
        <v>0</v>
      </c>
      <c r="P2060" s="58">
        <v>1613</v>
      </c>
      <c r="Q2060" s="58">
        <v>253</v>
      </c>
    </row>
    <row r="2061" spans="1:17" ht="12.75" x14ac:dyDescent="0.2">
      <c r="A2061" s="81" t="s">
        <v>672</v>
      </c>
      <c r="B2061" s="81" t="s">
        <v>557</v>
      </c>
      <c r="C2061" s="81" t="s">
        <v>758</v>
      </c>
      <c r="D2061" s="82">
        <v>2018</v>
      </c>
      <c r="E2061" s="81" t="s">
        <v>650</v>
      </c>
      <c r="F2061" s="58">
        <v>914</v>
      </c>
      <c r="G2061" s="57">
        <v>0</v>
      </c>
      <c r="H2061" s="58">
        <v>0</v>
      </c>
      <c r="I2061" s="58">
        <v>0</v>
      </c>
      <c r="J2061" s="58">
        <v>694</v>
      </c>
      <c r="K2061" s="57">
        <v>0</v>
      </c>
      <c r="L2061" s="58">
        <v>0</v>
      </c>
      <c r="M2061" s="58">
        <v>0</v>
      </c>
      <c r="N2061" s="58">
        <v>642</v>
      </c>
      <c r="O2061" s="58">
        <v>0</v>
      </c>
      <c r="P2061" s="58">
        <v>1410</v>
      </c>
      <c r="Q2061" s="58">
        <v>157</v>
      </c>
    </row>
    <row r="2062" spans="1:17" ht="12.75" x14ac:dyDescent="0.2">
      <c r="A2062" s="81" t="s">
        <v>688</v>
      </c>
      <c r="B2062" s="81" t="s">
        <v>557</v>
      </c>
      <c r="C2062" s="81" t="s">
        <v>758</v>
      </c>
      <c r="D2062" s="82">
        <v>2018</v>
      </c>
      <c r="E2062" s="81" t="s">
        <v>650</v>
      </c>
      <c r="F2062" s="58">
        <v>85</v>
      </c>
      <c r="G2062" s="57">
        <v>0</v>
      </c>
      <c r="H2062" s="58">
        <v>0</v>
      </c>
      <c r="I2062" s="58">
        <v>0</v>
      </c>
      <c r="J2062" s="58">
        <v>65</v>
      </c>
      <c r="K2062" s="57">
        <v>1</v>
      </c>
      <c r="L2062" s="58">
        <v>1</v>
      </c>
      <c r="M2062" s="58">
        <v>0</v>
      </c>
      <c r="N2062" s="58">
        <v>59</v>
      </c>
      <c r="O2062" s="58">
        <v>5</v>
      </c>
      <c r="P2062" s="58">
        <v>131</v>
      </c>
      <c r="Q2062" s="58">
        <v>11</v>
      </c>
    </row>
    <row r="2063" spans="1:17" ht="12.75" x14ac:dyDescent="0.2">
      <c r="A2063" s="81" t="s">
        <v>731</v>
      </c>
      <c r="B2063" s="81" t="s">
        <v>557</v>
      </c>
      <c r="C2063" s="81" t="s">
        <v>758</v>
      </c>
      <c r="D2063" s="82">
        <v>2018</v>
      </c>
      <c r="E2063" s="81" t="s">
        <v>650</v>
      </c>
      <c r="F2063" s="58">
        <v>343</v>
      </c>
      <c r="G2063" s="57">
        <v>0</v>
      </c>
      <c r="H2063" s="58">
        <v>0</v>
      </c>
      <c r="I2063" s="58">
        <v>0</v>
      </c>
      <c r="J2063" s="58">
        <v>260</v>
      </c>
      <c r="K2063" s="57">
        <v>0</v>
      </c>
      <c r="L2063" s="58">
        <v>0</v>
      </c>
      <c r="M2063" s="58">
        <v>0</v>
      </c>
      <c r="N2063" s="58">
        <v>241</v>
      </c>
      <c r="O2063" s="58">
        <v>0</v>
      </c>
      <c r="P2063" s="58">
        <v>530</v>
      </c>
      <c r="Q2063" s="58">
        <v>475</v>
      </c>
    </row>
    <row r="2064" spans="1:17" ht="12.75" x14ac:dyDescent="0.2">
      <c r="A2064" s="85" t="s">
        <v>575</v>
      </c>
      <c r="B2064" s="85" t="s">
        <v>575</v>
      </c>
      <c r="C2064" s="85" t="s">
        <v>654</v>
      </c>
      <c r="D2064" s="56">
        <v>2014</v>
      </c>
      <c r="E2064" s="85" t="s">
        <v>650</v>
      </c>
      <c r="F2064" s="57">
        <v>6234</v>
      </c>
      <c r="G2064" s="57">
        <v>552</v>
      </c>
      <c r="H2064" s="58">
        <v>552</v>
      </c>
      <c r="I2064" s="57">
        <v>0</v>
      </c>
      <c r="J2064" s="57">
        <v>4639</v>
      </c>
      <c r="K2064" s="57">
        <v>377</v>
      </c>
      <c r="L2064" s="57">
        <v>377</v>
      </c>
      <c r="M2064" s="57">
        <v>0</v>
      </c>
      <c r="N2064" s="57">
        <v>5460</v>
      </c>
      <c r="O2064" s="57">
        <v>77</v>
      </c>
      <c r="P2064" s="57">
        <v>12536</v>
      </c>
      <c r="Q2064" s="61">
        <v>2430</v>
      </c>
    </row>
    <row r="2065" spans="1:17" ht="12.75" x14ac:dyDescent="0.2">
      <c r="A2065" s="85" t="s">
        <v>575</v>
      </c>
      <c r="B2065" s="85" t="s">
        <v>575</v>
      </c>
      <c r="C2065" s="85" t="s">
        <v>654</v>
      </c>
      <c r="D2065" s="56">
        <v>2015</v>
      </c>
      <c r="E2065" s="85" t="s">
        <v>650</v>
      </c>
      <c r="F2065" s="57">
        <v>6234</v>
      </c>
      <c r="G2065" s="57">
        <v>429</v>
      </c>
      <c r="H2065" s="58">
        <v>429</v>
      </c>
      <c r="I2065" s="57">
        <v>0</v>
      </c>
      <c r="J2065" s="57">
        <v>4639</v>
      </c>
      <c r="K2065" s="57">
        <v>179</v>
      </c>
      <c r="L2065" s="57">
        <v>179</v>
      </c>
      <c r="M2065" s="57">
        <v>0</v>
      </c>
      <c r="N2065" s="57">
        <v>5460</v>
      </c>
      <c r="O2065" s="57">
        <v>113</v>
      </c>
      <c r="P2065" s="57">
        <v>12536</v>
      </c>
      <c r="Q2065" s="61">
        <v>2874</v>
      </c>
    </row>
    <row r="2066" spans="1:17" ht="12.75" x14ac:dyDescent="0.2">
      <c r="A2066" s="85" t="s">
        <v>575</v>
      </c>
      <c r="B2066" s="85" t="s">
        <v>575</v>
      </c>
      <c r="C2066" s="85" t="s">
        <v>654</v>
      </c>
      <c r="D2066" s="56">
        <v>2016</v>
      </c>
      <c r="E2066" s="85" t="s">
        <v>650</v>
      </c>
      <c r="F2066" s="57">
        <v>6234</v>
      </c>
      <c r="G2066" s="57">
        <v>410</v>
      </c>
      <c r="H2066" s="58">
        <v>410</v>
      </c>
      <c r="I2066" s="57">
        <v>0</v>
      </c>
      <c r="J2066" s="57">
        <v>4639</v>
      </c>
      <c r="K2066" s="57">
        <v>353</v>
      </c>
      <c r="L2066" s="57">
        <v>353</v>
      </c>
      <c r="M2066" s="57">
        <v>0</v>
      </c>
      <c r="N2066" s="57">
        <v>5460</v>
      </c>
      <c r="O2066" s="57">
        <v>333</v>
      </c>
      <c r="P2066" s="57">
        <v>12536</v>
      </c>
      <c r="Q2066" s="61">
        <v>3604</v>
      </c>
    </row>
    <row r="2067" spans="1:17" ht="12.75" x14ac:dyDescent="0.2">
      <c r="A2067" s="85" t="s">
        <v>575</v>
      </c>
      <c r="B2067" s="85" t="s">
        <v>575</v>
      </c>
      <c r="C2067" s="85" t="s">
        <v>654</v>
      </c>
      <c r="D2067" s="56">
        <v>2017</v>
      </c>
      <c r="E2067" s="85" t="s">
        <v>650</v>
      </c>
      <c r="F2067" s="57">
        <v>6234</v>
      </c>
      <c r="G2067" s="57">
        <v>468</v>
      </c>
      <c r="H2067" s="58">
        <v>468</v>
      </c>
      <c r="I2067" s="57">
        <v>0</v>
      </c>
      <c r="J2067" s="57">
        <v>4639</v>
      </c>
      <c r="K2067" s="57">
        <v>427</v>
      </c>
      <c r="L2067" s="57">
        <v>427</v>
      </c>
      <c r="M2067" s="57">
        <v>0</v>
      </c>
      <c r="N2067" s="57">
        <v>5460</v>
      </c>
      <c r="O2067" s="57">
        <v>268</v>
      </c>
      <c r="P2067" s="57">
        <v>12536</v>
      </c>
      <c r="Q2067" s="61">
        <v>4641</v>
      </c>
    </row>
    <row r="2068" spans="1:17" ht="12.75" x14ac:dyDescent="0.2">
      <c r="A2068" s="81" t="s">
        <v>575</v>
      </c>
      <c r="B2068" s="81" t="s">
        <v>575</v>
      </c>
      <c r="C2068" s="81" t="s">
        <v>654</v>
      </c>
      <c r="D2068" s="82">
        <v>2018</v>
      </c>
      <c r="E2068" s="81" t="s">
        <v>650</v>
      </c>
      <c r="F2068" s="58">
        <v>6234</v>
      </c>
      <c r="G2068" s="57">
        <v>0</v>
      </c>
      <c r="H2068" s="58">
        <v>0</v>
      </c>
      <c r="I2068" s="58">
        <v>0</v>
      </c>
      <c r="J2068" s="58">
        <v>4639</v>
      </c>
      <c r="K2068" s="57">
        <v>922</v>
      </c>
      <c r="L2068" s="58">
        <v>922</v>
      </c>
      <c r="M2068" s="58">
        <v>0</v>
      </c>
      <c r="N2068" s="58">
        <v>5460</v>
      </c>
      <c r="O2068" s="58">
        <v>492</v>
      </c>
      <c r="P2068" s="58">
        <v>12536</v>
      </c>
      <c r="Q2068" s="58">
        <v>4683</v>
      </c>
    </row>
    <row r="2069" spans="1:17" ht="12.75" x14ac:dyDescent="0.2">
      <c r="A2069" s="85" t="s">
        <v>479</v>
      </c>
      <c r="B2069" s="85" t="s">
        <v>383</v>
      </c>
      <c r="C2069" s="85" t="s">
        <v>531</v>
      </c>
      <c r="D2069" s="56">
        <v>2016</v>
      </c>
      <c r="E2069" s="85" t="s">
        <v>650</v>
      </c>
      <c r="F2069" s="57">
        <v>1019</v>
      </c>
      <c r="G2069" s="57">
        <v>0</v>
      </c>
      <c r="H2069" s="58">
        <v>0</v>
      </c>
      <c r="I2069" s="57">
        <v>0</v>
      </c>
      <c r="J2069" s="57">
        <v>759</v>
      </c>
      <c r="K2069" s="57">
        <v>0</v>
      </c>
      <c r="L2069" s="57">
        <v>0</v>
      </c>
      <c r="M2069" s="57">
        <v>0</v>
      </c>
      <c r="N2069" s="57">
        <v>957</v>
      </c>
      <c r="O2069" s="57">
        <v>0</v>
      </c>
      <c r="P2069" s="57">
        <v>2421</v>
      </c>
      <c r="Q2069" s="58">
        <v>170</v>
      </c>
    </row>
    <row r="2070" spans="1:17" ht="12.75" x14ac:dyDescent="0.2">
      <c r="A2070" s="85" t="s">
        <v>479</v>
      </c>
      <c r="B2070" s="85" t="s">
        <v>383</v>
      </c>
      <c r="C2070" s="85" t="s">
        <v>531</v>
      </c>
      <c r="D2070" s="56">
        <v>2017</v>
      </c>
      <c r="E2070" s="85" t="s">
        <v>650</v>
      </c>
      <c r="F2070" s="57">
        <v>1019</v>
      </c>
      <c r="G2070" s="57">
        <v>0</v>
      </c>
      <c r="H2070" s="58">
        <v>0</v>
      </c>
      <c r="I2070" s="57">
        <v>0</v>
      </c>
      <c r="J2070" s="57">
        <v>759</v>
      </c>
      <c r="K2070" s="57">
        <v>0</v>
      </c>
      <c r="L2070" s="57">
        <v>0</v>
      </c>
      <c r="M2070" s="57">
        <v>0</v>
      </c>
      <c r="N2070" s="57">
        <v>957</v>
      </c>
      <c r="O2070" s="57">
        <v>0</v>
      </c>
      <c r="P2070" s="57">
        <v>2421</v>
      </c>
      <c r="Q2070" s="58">
        <v>297</v>
      </c>
    </row>
    <row r="2071" spans="1:17" ht="12.75" x14ac:dyDescent="0.2">
      <c r="A2071" s="85" t="s">
        <v>501</v>
      </c>
      <c r="B2071" s="85" t="s">
        <v>383</v>
      </c>
      <c r="C2071" s="85" t="s">
        <v>531</v>
      </c>
      <c r="D2071" s="56">
        <v>2017</v>
      </c>
      <c r="E2071" s="85" t="s">
        <v>650</v>
      </c>
      <c r="F2071" s="57">
        <v>497</v>
      </c>
      <c r="G2071" s="57">
        <v>52</v>
      </c>
      <c r="H2071" s="58">
        <v>52</v>
      </c>
      <c r="I2071" s="57">
        <v>0</v>
      </c>
      <c r="J2071" s="57">
        <v>331</v>
      </c>
      <c r="K2071" s="57">
        <v>27</v>
      </c>
      <c r="L2071" s="57">
        <v>27</v>
      </c>
      <c r="M2071" s="57">
        <v>0</v>
      </c>
      <c r="N2071" s="57">
        <v>333</v>
      </c>
      <c r="O2071" s="57">
        <v>0</v>
      </c>
      <c r="P2071" s="57">
        <v>770</v>
      </c>
      <c r="Q2071" s="58">
        <v>211</v>
      </c>
    </row>
    <row r="2072" spans="1:17" ht="12.75" x14ac:dyDescent="0.2">
      <c r="A2072" s="85" t="s">
        <v>652</v>
      </c>
      <c r="B2072" s="85" t="s">
        <v>383</v>
      </c>
      <c r="C2072" s="85" t="s">
        <v>531</v>
      </c>
      <c r="D2072" s="56">
        <v>2015</v>
      </c>
      <c r="E2072" s="85" t="s">
        <v>650</v>
      </c>
      <c r="F2072" s="57">
        <v>2496</v>
      </c>
      <c r="G2072" s="57">
        <v>10</v>
      </c>
      <c r="H2072" s="58">
        <v>0</v>
      </c>
      <c r="I2072" s="57">
        <v>10</v>
      </c>
      <c r="J2072" s="57">
        <v>1727</v>
      </c>
      <c r="K2072" s="57">
        <v>56</v>
      </c>
      <c r="L2072" s="57">
        <v>10</v>
      </c>
      <c r="M2072" s="57">
        <v>46</v>
      </c>
      <c r="N2072" s="57">
        <v>1724</v>
      </c>
      <c r="O2072" s="57">
        <v>90</v>
      </c>
      <c r="P2072" s="57">
        <v>4220</v>
      </c>
      <c r="Q2072" s="58">
        <v>183</v>
      </c>
    </row>
    <row r="2073" spans="1:17" ht="12.75" x14ac:dyDescent="0.2">
      <c r="A2073" s="85" t="s">
        <v>652</v>
      </c>
      <c r="B2073" s="85" t="s">
        <v>383</v>
      </c>
      <c r="C2073" s="85" t="s">
        <v>531</v>
      </c>
      <c r="D2073" s="56">
        <v>2016</v>
      </c>
      <c r="E2073" s="85" t="s">
        <v>650</v>
      </c>
      <c r="F2073" s="57">
        <v>2496</v>
      </c>
      <c r="G2073" s="57">
        <v>1</v>
      </c>
      <c r="H2073" s="58">
        <v>0</v>
      </c>
      <c r="I2073" s="57">
        <v>1</v>
      </c>
      <c r="J2073" s="57">
        <v>1727</v>
      </c>
      <c r="K2073" s="57">
        <v>134</v>
      </c>
      <c r="L2073" s="57">
        <v>0</v>
      </c>
      <c r="M2073" s="57">
        <v>134</v>
      </c>
      <c r="N2073" s="57">
        <v>1724</v>
      </c>
      <c r="O2073" s="57">
        <v>96</v>
      </c>
      <c r="P2073" s="57">
        <v>4220</v>
      </c>
      <c r="Q2073" s="58">
        <v>234</v>
      </c>
    </row>
    <row r="2074" spans="1:17" ht="12.75" x14ac:dyDescent="0.2">
      <c r="A2074" s="85" t="s">
        <v>652</v>
      </c>
      <c r="B2074" s="85" t="s">
        <v>383</v>
      </c>
      <c r="C2074" s="85" t="s">
        <v>531</v>
      </c>
      <c r="D2074" s="56">
        <v>2017</v>
      </c>
      <c r="E2074" s="85" t="s">
        <v>650</v>
      </c>
      <c r="F2074" s="57">
        <v>2496</v>
      </c>
      <c r="G2074" s="57">
        <v>0</v>
      </c>
      <c r="H2074" s="58">
        <v>0</v>
      </c>
      <c r="I2074" s="57">
        <v>0</v>
      </c>
      <c r="J2074" s="57">
        <v>1727</v>
      </c>
      <c r="K2074" s="57">
        <v>70</v>
      </c>
      <c r="L2074" s="57">
        <v>70</v>
      </c>
      <c r="M2074" s="57">
        <v>0</v>
      </c>
      <c r="N2074" s="57">
        <v>1724</v>
      </c>
      <c r="O2074" s="57">
        <v>93</v>
      </c>
      <c r="P2074" s="57">
        <v>4220</v>
      </c>
      <c r="Q2074" s="58">
        <v>180</v>
      </c>
    </row>
    <row r="2075" spans="1:17" ht="12.75" x14ac:dyDescent="0.2">
      <c r="A2075" s="81" t="s">
        <v>699</v>
      </c>
      <c r="B2075" s="81" t="s">
        <v>383</v>
      </c>
      <c r="C2075" s="81" t="s">
        <v>531</v>
      </c>
      <c r="D2075" s="82">
        <v>2017</v>
      </c>
      <c r="E2075" s="81" t="s">
        <v>650</v>
      </c>
      <c r="F2075" s="58">
        <v>3157</v>
      </c>
      <c r="G2075" s="57">
        <v>164</v>
      </c>
      <c r="H2075" s="58">
        <v>164</v>
      </c>
      <c r="I2075" s="58">
        <v>0</v>
      </c>
      <c r="J2075" s="57">
        <v>2004</v>
      </c>
      <c r="K2075" s="57">
        <v>0</v>
      </c>
      <c r="L2075" s="58">
        <v>0</v>
      </c>
      <c r="M2075" s="58">
        <v>0</v>
      </c>
      <c r="N2075" s="58">
        <v>2103</v>
      </c>
      <c r="O2075" s="58">
        <v>47</v>
      </c>
      <c r="P2075" s="58">
        <v>4560</v>
      </c>
      <c r="Q2075" s="58">
        <v>175</v>
      </c>
    </row>
    <row r="2076" spans="1:17" ht="12.75" x14ac:dyDescent="0.2">
      <c r="A2076" s="81" t="s">
        <v>710</v>
      </c>
      <c r="B2076" s="81" t="s">
        <v>383</v>
      </c>
      <c r="C2076" s="81" t="s">
        <v>531</v>
      </c>
      <c r="D2076" s="82">
        <v>2015</v>
      </c>
      <c r="E2076" s="81" t="s">
        <v>650</v>
      </c>
      <c r="F2076" s="58">
        <v>980</v>
      </c>
      <c r="G2076" s="57">
        <v>0</v>
      </c>
      <c r="H2076" s="58">
        <v>0</v>
      </c>
      <c r="I2076" s="58">
        <v>0</v>
      </c>
      <c r="J2076" s="57">
        <v>705</v>
      </c>
      <c r="K2076" s="57">
        <v>0</v>
      </c>
      <c r="L2076" s="58">
        <v>0</v>
      </c>
      <c r="M2076" s="58">
        <v>0</v>
      </c>
      <c r="N2076" s="58">
        <v>828</v>
      </c>
      <c r="O2076" s="58">
        <v>0</v>
      </c>
      <c r="P2076" s="58">
        <v>2463</v>
      </c>
      <c r="Q2076" s="58">
        <v>0</v>
      </c>
    </row>
    <row r="2077" spans="1:17" ht="12.75" x14ac:dyDescent="0.2">
      <c r="A2077" s="81" t="s">
        <v>710</v>
      </c>
      <c r="B2077" s="81" t="s">
        <v>383</v>
      </c>
      <c r="C2077" s="81" t="s">
        <v>531</v>
      </c>
      <c r="D2077" s="82">
        <v>2016</v>
      </c>
      <c r="E2077" s="81" t="s">
        <v>650</v>
      </c>
      <c r="F2077" s="58">
        <v>980</v>
      </c>
      <c r="G2077" s="57">
        <v>0</v>
      </c>
      <c r="H2077" s="58">
        <v>0</v>
      </c>
      <c r="I2077" s="58">
        <v>0</v>
      </c>
      <c r="J2077" s="57">
        <v>705</v>
      </c>
      <c r="K2077" s="57">
        <v>0</v>
      </c>
      <c r="L2077" s="58">
        <v>0</v>
      </c>
      <c r="M2077" s="58">
        <v>0</v>
      </c>
      <c r="N2077" s="58">
        <v>828</v>
      </c>
      <c r="O2077" s="58">
        <v>2</v>
      </c>
      <c r="P2077" s="58">
        <v>2463</v>
      </c>
      <c r="Q2077" s="61">
        <v>1003</v>
      </c>
    </row>
    <row r="2078" spans="1:17" ht="12.75" x14ac:dyDescent="0.2">
      <c r="A2078" s="81" t="s">
        <v>710</v>
      </c>
      <c r="B2078" s="81" t="s">
        <v>383</v>
      </c>
      <c r="C2078" s="81" t="s">
        <v>531</v>
      </c>
      <c r="D2078" s="82">
        <v>2017</v>
      </c>
      <c r="E2078" s="81" t="s">
        <v>650</v>
      </c>
      <c r="F2078" s="58">
        <v>980</v>
      </c>
      <c r="G2078" s="57">
        <v>0</v>
      </c>
      <c r="H2078" s="58">
        <v>0</v>
      </c>
      <c r="I2078" s="58">
        <v>0</v>
      </c>
      <c r="J2078" s="57">
        <v>705</v>
      </c>
      <c r="K2078" s="57">
        <v>0</v>
      </c>
      <c r="L2078" s="58">
        <v>0</v>
      </c>
      <c r="M2078" s="58">
        <v>0</v>
      </c>
      <c r="N2078" s="58">
        <v>828</v>
      </c>
      <c r="O2078" s="58">
        <v>3</v>
      </c>
      <c r="P2078" s="58">
        <v>2463</v>
      </c>
      <c r="Q2078" s="58">
        <v>301</v>
      </c>
    </row>
    <row r="2079" spans="1:17" ht="12.75" x14ac:dyDescent="0.2">
      <c r="A2079" s="81" t="s">
        <v>364</v>
      </c>
      <c r="B2079" s="81" t="s">
        <v>383</v>
      </c>
      <c r="C2079" s="81" t="s">
        <v>531</v>
      </c>
      <c r="D2079" s="82">
        <v>2018</v>
      </c>
      <c r="E2079" s="81" t="s">
        <v>650</v>
      </c>
      <c r="F2079" s="58">
        <v>103</v>
      </c>
      <c r="G2079" s="57">
        <v>0</v>
      </c>
      <c r="H2079" s="58">
        <v>0</v>
      </c>
      <c r="I2079" s="58">
        <v>0</v>
      </c>
      <c r="J2079" s="58">
        <v>66</v>
      </c>
      <c r="K2079" s="57">
        <v>0</v>
      </c>
      <c r="L2079" s="58">
        <v>0</v>
      </c>
      <c r="M2079" s="58">
        <v>0</v>
      </c>
      <c r="N2079" s="58">
        <v>64</v>
      </c>
      <c r="O2079" s="58">
        <v>0</v>
      </c>
      <c r="P2079" s="58">
        <v>192</v>
      </c>
      <c r="Q2079" s="58">
        <v>8</v>
      </c>
    </row>
    <row r="2080" spans="1:17" ht="12.75" x14ac:dyDescent="0.2">
      <c r="A2080" s="81" t="s">
        <v>479</v>
      </c>
      <c r="B2080" s="81" t="s">
        <v>383</v>
      </c>
      <c r="C2080" s="81" t="s">
        <v>531</v>
      </c>
      <c r="D2080" s="82">
        <v>2018</v>
      </c>
      <c r="E2080" s="81" t="s">
        <v>650</v>
      </c>
      <c r="F2080" s="58">
        <v>1019</v>
      </c>
      <c r="G2080" s="57">
        <v>0</v>
      </c>
      <c r="H2080" s="58">
        <v>0</v>
      </c>
      <c r="I2080" s="58">
        <v>0</v>
      </c>
      <c r="J2080" s="58">
        <v>759</v>
      </c>
      <c r="K2080" s="57">
        <v>0</v>
      </c>
      <c r="L2080" s="58">
        <v>0</v>
      </c>
      <c r="M2080" s="58">
        <v>0</v>
      </c>
      <c r="N2080" s="58">
        <v>957</v>
      </c>
      <c r="O2080" s="58">
        <v>0</v>
      </c>
      <c r="P2080" s="58">
        <v>2421</v>
      </c>
      <c r="Q2080" s="58">
        <v>383</v>
      </c>
    </row>
    <row r="2081" spans="1:17" ht="12.75" x14ac:dyDescent="0.2">
      <c r="A2081" s="81" t="s">
        <v>501</v>
      </c>
      <c r="B2081" s="81" t="s">
        <v>383</v>
      </c>
      <c r="C2081" s="81" t="s">
        <v>531</v>
      </c>
      <c r="D2081" s="82">
        <v>2018</v>
      </c>
      <c r="E2081" s="81" t="s">
        <v>650</v>
      </c>
      <c r="F2081" s="58">
        <v>497</v>
      </c>
      <c r="G2081" s="57">
        <v>0</v>
      </c>
      <c r="H2081" s="58">
        <v>0</v>
      </c>
      <c r="I2081" s="58">
        <v>0</v>
      </c>
      <c r="J2081" s="58">
        <v>331</v>
      </c>
      <c r="K2081" s="57">
        <v>0</v>
      </c>
      <c r="L2081" s="58">
        <v>0</v>
      </c>
      <c r="M2081" s="58">
        <v>0</v>
      </c>
      <c r="N2081" s="58">
        <v>333</v>
      </c>
      <c r="O2081" s="58">
        <v>48</v>
      </c>
      <c r="P2081" s="58">
        <v>770</v>
      </c>
      <c r="Q2081" s="58">
        <v>170</v>
      </c>
    </row>
    <row r="2082" spans="1:17" ht="12.75" x14ac:dyDescent="0.2">
      <c r="A2082" s="81" t="s">
        <v>529</v>
      </c>
      <c r="B2082" s="81" t="s">
        <v>383</v>
      </c>
      <c r="C2082" s="81" t="s">
        <v>531</v>
      </c>
      <c r="D2082" s="82">
        <v>2018</v>
      </c>
      <c r="E2082" s="81" t="s">
        <v>650</v>
      </c>
      <c r="F2082" s="58">
        <v>925</v>
      </c>
      <c r="G2082" s="57">
        <v>4</v>
      </c>
      <c r="H2082" s="58">
        <v>0</v>
      </c>
      <c r="I2082" s="58">
        <v>4</v>
      </c>
      <c r="J2082" s="58">
        <v>693</v>
      </c>
      <c r="K2082" s="57">
        <v>5</v>
      </c>
      <c r="L2082" s="58">
        <v>0</v>
      </c>
      <c r="M2082" s="58">
        <v>5</v>
      </c>
      <c r="N2082" s="58">
        <v>825</v>
      </c>
      <c r="O2082" s="58">
        <v>4</v>
      </c>
      <c r="P2082" s="58">
        <v>1958</v>
      </c>
      <c r="Q2082" s="58">
        <v>476</v>
      </c>
    </row>
    <row r="2083" spans="1:17" ht="12.75" x14ac:dyDescent="0.2">
      <c r="A2083" s="81" t="s">
        <v>699</v>
      </c>
      <c r="B2083" s="81" t="s">
        <v>383</v>
      </c>
      <c r="C2083" s="81" t="s">
        <v>531</v>
      </c>
      <c r="D2083" s="82">
        <v>2018</v>
      </c>
      <c r="E2083" s="81" t="s">
        <v>650</v>
      </c>
      <c r="F2083" s="58">
        <v>3157</v>
      </c>
      <c r="G2083" s="57">
        <v>0</v>
      </c>
      <c r="H2083" s="58">
        <v>0</v>
      </c>
      <c r="I2083" s="58">
        <v>0</v>
      </c>
      <c r="J2083" s="58">
        <v>2004</v>
      </c>
      <c r="K2083" s="57">
        <v>4</v>
      </c>
      <c r="L2083" s="58">
        <v>0</v>
      </c>
      <c r="M2083" s="58">
        <v>4</v>
      </c>
      <c r="N2083" s="58">
        <v>2103</v>
      </c>
      <c r="O2083" s="58">
        <v>80</v>
      </c>
      <c r="P2083" s="58">
        <v>4560</v>
      </c>
      <c r="Q2083" s="58">
        <v>243</v>
      </c>
    </row>
    <row r="2084" spans="1:17" ht="12.75" x14ac:dyDescent="0.2">
      <c r="A2084" s="81" t="s">
        <v>710</v>
      </c>
      <c r="B2084" s="81" t="s">
        <v>383</v>
      </c>
      <c r="C2084" s="81" t="s">
        <v>531</v>
      </c>
      <c r="D2084" s="82">
        <v>2018</v>
      </c>
      <c r="E2084" s="81" t="s">
        <v>650</v>
      </c>
      <c r="F2084" s="58">
        <v>980</v>
      </c>
      <c r="G2084" s="57">
        <v>0</v>
      </c>
      <c r="H2084" s="58">
        <v>0</v>
      </c>
      <c r="I2084" s="58">
        <v>0</v>
      </c>
      <c r="J2084" s="58">
        <v>705</v>
      </c>
      <c r="K2084" s="57">
        <v>0</v>
      </c>
      <c r="L2084" s="58">
        <v>0</v>
      </c>
      <c r="M2084" s="58">
        <v>0</v>
      </c>
      <c r="N2084" s="58">
        <v>828</v>
      </c>
      <c r="O2084" s="58">
        <v>7</v>
      </c>
      <c r="P2084" s="58">
        <v>2463</v>
      </c>
      <c r="Q2084" s="58">
        <v>1146</v>
      </c>
    </row>
    <row r="2085" spans="1:17" ht="12.75" x14ac:dyDescent="0.2">
      <c r="A2085" s="85" t="s">
        <v>208</v>
      </c>
      <c r="B2085" s="85" t="s">
        <v>583</v>
      </c>
      <c r="C2085" s="85" t="s">
        <v>660</v>
      </c>
      <c r="D2085" s="56">
        <v>2017</v>
      </c>
      <c r="E2085" s="85" t="s">
        <v>650</v>
      </c>
      <c r="F2085" s="57">
        <v>60</v>
      </c>
      <c r="G2085" s="57">
        <v>0</v>
      </c>
      <c r="H2085" s="58">
        <v>0</v>
      </c>
      <c r="I2085" s="57">
        <v>0</v>
      </c>
      <c r="J2085" s="57">
        <v>38</v>
      </c>
      <c r="K2085" s="57">
        <v>4</v>
      </c>
      <c r="L2085" s="57">
        <v>0</v>
      </c>
      <c r="M2085" s="57">
        <v>4</v>
      </c>
      <c r="N2085" s="57">
        <v>43</v>
      </c>
      <c r="O2085" s="57">
        <v>0</v>
      </c>
      <c r="P2085" s="57">
        <v>101</v>
      </c>
      <c r="Q2085" s="58">
        <v>37</v>
      </c>
    </row>
    <row r="2086" spans="1:17" ht="12.75" x14ac:dyDescent="0.2">
      <c r="A2086" s="85" t="s">
        <v>211</v>
      </c>
      <c r="B2086" s="85" t="s">
        <v>583</v>
      </c>
      <c r="C2086" s="85" t="s">
        <v>660</v>
      </c>
      <c r="D2086" s="56">
        <v>2014</v>
      </c>
      <c r="E2086" s="85" t="s">
        <v>650</v>
      </c>
      <c r="F2086" s="57">
        <v>98</v>
      </c>
      <c r="G2086" s="57">
        <v>2</v>
      </c>
      <c r="H2086" s="58">
        <v>2</v>
      </c>
      <c r="I2086" s="57">
        <v>0</v>
      </c>
      <c r="J2086" s="57">
        <v>62</v>
      </c>
      <c r="K2086" s="57">
        <v>1</v>
      </c>
      <c r="L2086" s="57">
        <v>1</v>
      </c>
      <c r="M2086" s="57">
        <v>0</v>
      </c>
      <c r="N2086" s="57">
        <v>69</v>
      </c>
      <c r="O2086" s="57">
        <v>76</v>
      </c>
      <c r="P2086" s="57">
        <v>164</v>
      </c>
      <c r="Q2086" s="58">
        <v>106</v>
      </c>
    </row>
    <row r="2087" spans="1:17" ht="12.75" x14ac:dyDescent="0.2">
      <c r="A2087" s="85" t="s">
        <v>211</v>
      </c>
      <c r="B2087" s="85" t="s">
        <v>583</v>
      </c>
      <c r="C2087" s="85" t="s">
        <v>660</v>
      </c>
      <c r="D2087" s="56">
        <v>2015</v>
      </c>
      <c r="E2087" s="85" t="s">
        <v>650</v>
      </c>
      <c r="F2087" s="57">
        <v>98</v>
      </c>
      <c r="G2087" s="57">
        <v>1</v>
      </c>
      <c r="H2087" s="58">
        <v>1</v>
      </c>
      <c r="I2087" s="57">
        <v>0</v>
      </c>
      <c r="J2087" s="57">
        <v>62</v>
      </c>
      <c r="K2087" s="57">
        <v>0</v>
      </c>
      <c r="L2087" s="57">
        <v>0</v>
      </c>
      <c r="M2087" s="57">
        <v>0</v>
      </c>
      <c r="N2087" s="57">
        <v>69</v>
      </c>
      <c r="O2087" s="57">
        <v>58</v>
      </c>
      <c r="P2087" s="57">
        <v>164</v>
      </c>
      <c r="Q2087" s="58">
        <v>29</v>
      </c>
    </row>
    <row r="2088" spans="1:17" ht="12.75" x14ac:dyDescent="0.2">
      <c r="A2088" s="85" t="s">
        <v>211</v>
      </c>
      <c r="B2088" s="85" t="s">
        <v>583</v>
      </c>
      <c r="C2088" s="85" t="s">
        <v>660</v>
      </c>
      <c r="D2088" s="56">
        <v>2016</v>
      </c>
      <c r="E2088" s="85" t="s">
        <v>650</v>
      </c>
      <c r="F2088" s="57">
        <v>98</v>
      </c>
      <c r="G2088" s="57">
        <v>45</v>
      </c>
      <c r="H2088" s="58">
        <v>45</v>
      </c>
      <c r="I2088" s="57">
        <v>0</v>
      </c>
      <c r="J2088" s="57">
        <v>62</v>
      </c>
      <c r="K2088" s="57">
        <v>25</v>
      </c>
      <c r="L2088" s="57">
        <v>25</v>
      </c>
      <c r="M2088" s="57">
        <v>0</v>
      </c>
      <c r="N2088" s="57">
        <v>69</v>
      </c>
      <c r="O2088" s="57">
        <v>29</v>
      </c>
      <c r="P2088" s="57">
        <v>164</v>
      </c>
      <c r="Q2088" s="58">
        <v>21</v>
      </c>
    </row>
    <row r="2089" spans="1:17" ht="12.75" x14ac:dyDescent="0.2">
      <c r="A2089" s="85" t="s">
        <v>211</v>
      </c>
      <c r="B2089" s="85" t="s">
        <v>583</v>
      </c>
      <c r="C2089" s="85" t="s">
        <v>660</v>
      </c>
      <c r="D2089" s="56">
        <v>2017</v>
      </c>
      <c r="E2089" s="85" t="s">
        <v>650</v>
      </c>
      <c r="F2089" s="57">
        <v>98</v>
      </c>
      <c r="G2089" s="57">
        <v>0</v>
      </c>
      <c r="H2089" s="58">
        <v>0</v>
      </c>
      <c r="I2089" s="57">
        <v>0</v>
      </c>
      <c r="J2089" s="57">
        <v>62</v>
      </c>
      <c r="K2089" s="57">
        <v>0</v>
      </c>
      <c r="L2089" s="57">
        <v>0</v>
      </c>
      <c r="M2089" s="57">
        <v>0</v>
      </c>
      <c r="N2089" s="57">
        <v>69</v>
      </c>
      <c r="O2089" s="57">
        <v>1</v>
      </c>
      <c r="P2089" s="57">
        <v>164</v>
      </c>
      <c r="Q2089" s="58">
        <v>76</v>
      </c>
    </row>
    <row r="2090" spans="1:17" ht="12.75" x14ac:dyDescent="0.2">
      <c r="A2090" s="85" t="s">
        <v>410</v>
      </c>
      <c r="B2090" s="85" t="s">
        <v>583</v>
      </c>
      <c r="C2090" s="85" t="s">
        <v>660</v>
      </c>
      <c r="D2090" s="56">
        <v>2014</v>
      </c>
      <c r="E2090" s="85" t="s">
        <v>650</v>
      </c>
      <c r="F2090" s="57">
        <v>41</v>
      </c>
      <c r="G2090" s="57">
        <v>0</v>
      </c>
      <c r="H2090" s="58">
        <v>0</v>
      </c>
      <c r="I2090" s="57">
        <v>0</v>
      </c>
      <c r="J2090" s="57">
        <v>26</v>
      </c>
      <c r="K2090" s="57">
        <v>1</v>
      </c>
      <c r="L2090" s="57">
        <v>1</v>
      </c>
      <c r="M2090" s="57">
        <v>0</v>
      </c>
      <c r="N2090" s="57">
        <v>29</v>
      </c>
      <c r="O2090" s="57">
        <v>0</v>
      </c>
      <c r="P2090" s="57">
        <v>69</v>
      </c>
      <c r="Q2090" s="58">
        <v>12</v>
      </c>
    </row>
    <row r="2091" spans="1:17" ht="12.75" x14ac:dyDescent="0.2">
      <c r="A2091" s="85" t="s">
        <v>410</v>
      </c>
      <c r="B2091" s="85" t="s">
        <v>583</v>
      </c>
      <c r="C2091" s="85" t="s">
        <v>660</v>
      </c>
      <c r="D2091" s="56">
        <v>2015</v>
      </c>
      <c r="E2091" s="85" t="s">
        <v>650</v>
      </c>
      <c r="F2091" s="57">
        <v>41</v>
      </c>
      <c r="G2091" s="57">
        <v>0</v>
      </c>
      <c r="H2091" s="58">
        <v>0</v>
      </c>
      <c r="I2091" s="57">
        <v>0</v>
      </c>
      <c r="J2091" s="57">
        <v>26</v>
      </c>
      <c r="K2091" s="57">
        <v>2</v>
      </c>
      <c r="L2091" s="57">
        <v>2</v>
      </c>
      <c r="M2091" s="57">
        <v>0</v>
      </c>
      <c r="N2091" s="57">
        <v>29</v>
      </c>
      <c r="O2091" s="57">
        <v>0</v>
      </c>
      <c r="P2091" s="57">
        <v>69</v>
      </c>
      <c r="Q2091" s="58">
        <v>30</v>
      </c>
    </row>
    <row r="2092" spans="1:17" ht="12.75" x14ac:dyDescent="0.2">
      <c r="A2092" s="85" t="s">
        <v>410</v>
      </c>
      <c r="B2092" s="85" t="s">
        <v>583</v>
      </c>
      <c r="C2092" s="85" t="s">
        <v>660</v>
      </c>
      <c r="D2092" s="56">
        <v>2016</v>
      </c>
      <c r="E2092" s="85" t="s">
        <v>650</v>
      </c>
      <c r="F2092" s="57">
        <v>41</v>
      </c>
      <c r="G2092" s="57">
        <v>0</v>
      </c>
      <c r="H2092" s="58">
        <v>0</v>
      </c>
      <c r="I2092" s="57">
        <v>0</v>
      </c>
      <c r="J2092" s="57">
        <v>26</v>
      </c>
      <c r="K2092" s="57">
        <v>2</v>
      </c>
      <c r="L2092" s="57">
        <v>2</v>
      </c>
      <c r="M2092" s="57">
        <v>0</v>
      </c>
      <c r="N2092" s="57">
        <v>29</v>
      </c>
      <c r="O2092" s="57">
        <v>0</v>
      </c>
      <c r="P2092" s="57">
        <v>69</v>
      </c>
      <c r="Q2092" s="58">
        <v>21</v>
      </c>
    </row>
    <row r="2093" spans="1:17" ht="12.75" x14ac:dyDescent="0.2">
      <c r="A2093" s="85" t="s">
        <v>410</v>
      </c>
      <c r="B2093" s="85" t="s">
        <v>583</v>
      </c>
      <c r="C2093" s="85" t="s">
        <v>660</v>
      </c>
      <c r="D2093" s="56">
        <v>2017</v>
      </c>
      <c r="E2093" s="85" t="s">
        <v>650</v>
      </c>
      <c r="F2093" s="57">
        <v>41</v>
      </c>
      <c r="G2093" s="57">
        <v>0</v>
      </c>
      <c r="H2093" s="58">
        <v>0</v>
      </c>
      <c r="I2093" s="57">
        <v>0</v>
      </c>
      <c r="J2093" s="57">
        <v>26</v>
      </c>
      <c r="K2093" s="57">
        <v>0</v>
      </c>
      <c r="L2093" s="57">
        <v>0</v>
      </c>
      <c r="M2093" s="57">
        <v>0</v>
      </c>
      <c r="N2093" s="57">
        <v>29</v>
      </c>
      <c r="O2093" s="57">
        <v>0</v>
      </c>
      <c r="P2093" s="57">
        <v>69</v>
      </c>
      <c r="Q2093" s="58">
        <v>17</v>
      </c>
    </row>
    <row r="2094" spans="1:17" ht="12.75" x14ac:dyDescent="0.2">
      <c r="A2094" s="85" t="s">
        <v>590</v>
      </c>
      <c r="B2094" s="85" t="s">
        <v>583</v>
      </c>
      <c r="C2094" s="85" t="s">
        <v>660</v>
      </c>
      <c r="D2094" s="56">
        <v>2014</v>
      </c>
      <c r="E2094" s="85" t="s">
        <v>650</v>
      </c>
      <c r="F2094" s="57">
        <v>123</v>
      </c>
      <c r="G2094" s="57">
        <v>56</v>
      </c>
      <c r="H2094" s="58">
        <v>56</v>
      </c>
      <c r="I2094" s="57">
        <v>0</v>
      </c>
      <c r="J2094" s="57">
        <v>77</v>
      </c>
      <c r="K2094" s="57">
        <v>24</v>
      </c>
      <c r="L2094" s="57">
        <v>24</v>
      </c>
      <c r="M2094" s="57">
        <v>0</v>
      </c>
      <c r="N2094" s="57">
        <v>87</v>
      </c>
      <c r="O2094" s="57">
        <v>2</v>
      </c>
      <c r="P2094" s="57">
        <v>206</v>
      </c>
      <c r="Q2094" s="58">
        <v>54</v>
      </c>
    </row>
    <row r="2095" spans="1:17" ht="12.75" x14ac:dyDescent="0.2">
      <c r="A2095" s="85" t="s">
        <v>590</v>
      </c>
      <c r="B2095" s="85" t="s">
        <v>583</v>
      </c>
      <c r="C2095" s="85" t="s">
        <v>660</v>
      </c>
      <c r="D2095" s="56">
        <v>2015</v>
      </c>
      <c r="E2095" s="85" t="s">
        <v>650</v>
      </c>
      <c r="F2095" s="57">
        <v>123</v>
      </c>
      <c r="G2095" s="57">
        <v>49</v>
      </c>
      <c r="H2095" s="58">
        <v>49</v>
      </c>
      <c r="I2095" s="57">
        <v>0</v>
      </c>
      <c r="J2095" s="57">
        <v>77</v>
      </c>
      <c r="K2095" s="57">
        <v>20</v>
      </c>
      <c r="L2095" s="57">
        <v>20</v>
      </c>
      <c r="M2095" s="57">
        <v>0</v>
      </c>
      <c r="N2095" s="57">
        <v>87</v>
      </c>
      <c r="O2095" s="57">
        <v>23</v>
      </c>
      <c r="P2095" s="57">
        <v>206</v>
      </c>
      <c r="Q2095" s="58">
        <v>61</v>
      </c>
    </row>
    <row r="2096" spans="1:17" ht="12.75" x14ac:dyDescent="0.2">
      <c r="A2096" s="85" t="s">
        <v>590</v>
      </c>
      <c r="B2096" s="85" t="s">
        <v>583</v>
      </c>
      <c r="C2096" s="85" t="s">
        <v>660</v>
      </c>
      <c r="D2096" s="56">
        <v>2016</v>
      </c>
      <c r="E2096" s="85" t="s">
        <v>650</v>
      </c>
      <c r="F2096" s="57">
        <v>123</v>
      </c>
      <c r="G2096" s="57">
        <v>0</v>
      </c>
      <c r="H2096" s="58">
        <v>0</v>
      </c>
      <c r="I2096" s="57">
        <v>0</v>
      </c>
      <c r="J2096" s="57">
        <v>77</v>
      </c>
      <c r="K2096" s="57">
        <v>0</v>
      </c>
      <c r="L2096" s="57">
        <v>0</v>
      </c>
      <c r="M2096" s="57">
        <v>0</v>
      </c>
      <c r="N2096" s="57">
        <v>87</v>
      </c>
      <c r="O2096" s="57">
        <v>21</v>
      </c>
      <c r="P2096" s="57">
        <v>206</v>
      </c>
      <c r="Q2096" s="58">
        <v>44</v>
      </c>
    </row>
    <row r="2097" spans="1:17" ht="12.75" x14ac:dyDescent="0.2">
      <c r="A2097" s="85" t="s">
        <v>590</v>
      </c>
      <c r="B2097" s="85" t="s">
        <v>583</v>
      </c>
      <c r="C2097" s="85" t="s">
        <v>660</v>
      </c>
      <c r="D2097" s="56">
        <v>2017</v>
      </c>
      <c r="E2097" s="85" t="s">
        <v>650</v>
      </c>
      <c r="F2097" s="57">
        <v>123</v>
      </c>
      <c r="G2097" s="57">
        <v>52</v>
      </c>
      <c r="H2097" s="58">
        <v>52</v>
      </c>
      <c r="I2097" s="57">
        <v>0</v>
      </c>
      <c r="J2097" s="57">
        <v>77</v>
      </c>
      <c r="K2097" s="57">
        <v>23</v>
      </c>
      <c r="L2097" s="57">
        <v>23</v>
      </c>
      <c r="M2097" s="57">
        <v>0</v>
      </c>
      <c r="N2097" s="57">
        <v>87</v>
      </c>
      <c r="O2097" s="57">
        <v>150</v>
      </c>
      <c r="P2097" s="57">
        <v>206</v>
      </c>
      <c r="Q2097" s="58">
        <v>17</v>
      </c>
    </row>
    <row r="2098" spans="1:17" ht="12.75" x14ac:dyDescent="0.2">
      <c r="A2098" s="85" t="s">
        <v>596</v>
      </c>
      <c r="B2098" s="85" t="s">
        <v>583</v>
      </c>
      <c r="C2098" s="85" t="s">
        <v>660</v>
      </c>
      <c r="D2098" s="56">
        <v>2014</v>
      </c>
      <c r="E2098" s="85" t="s">
        <v>650</v>
      </c>
      <c r="F2098" s="57">
        <v>38</v>
      </c>
      <c r="G2098" s="57">
        <v>0</v>
      </c>
      <c r="H2098" s="58">
        <v>0</v>
      </c>
      <c r="I2098" s="57">
        <v>0</v>
      </c>
      <c r="J2098" s="57">
        <v>24</v>
      </c>
      <c r="K2098" s="57">
        <v>12</v>
      </c>
      <c r="L2098" s="57">
        <v>12</v>
      </c>
      <c r="M2098" s="57">
        <v>0</v>
      </c>
      <c r="N2098" s="57">
        <v>27</v>
      </c>
      <c r="O2098" s="57">
        <v>0</v>
      </c>
      <c r="P2098" s="57">
        <v>64</v>
      </c>
      <c r="Q2098" s="58">
        <v>91</v>
      </c>
    </row>
    <row r="2099" spans="1:17" ht="12.75" x14ac:dyDescent="0.2">
      <c r="A2099" s="85" t="s">
        <v>596</v>
      </c>
      <c r="B2099" s="85" t="s">
        <v>583</v>
      </c>
      <c r="C2099" s="85" t="s">
        <v>660</v>
      </c>
      <c r="D2099" s="56">
        <v>2015</v>
      </c>
      <c r="E2099" s="85" t="s">
        <v>650</v>
      </c>
      <c r="F2099" s="57">
        <v>38</v>
      </c>
      <c r="G2099" s="57">
        <v>0</v>
      </c>
      <c r="H2099" s="58">
        <v>0</v>
      </c>
      <c r="I2099" s="57">
        <v>0</v>
      </c>
      <c r="J2099" s="57">
        <v>24</v>
      </c>
      <c r="K2099" s="57">
        <v>0</v>
      </c>
      <c r="L2099" s="57">
        <v>0</v>
      </c>
      <c r="M2099" s="57">
        <v>0</v>
      </c>
      <c r="N2099" s="57">
        <v>27</v>
      </c>
      <c r="O2099" s="57">
        <v>0</v>
      </c>
      <c r="P2099" s="57">
        <v>64</v>
      </c>
      <c r="Q2099" s="58">
        <v>55</v>
      </c>
    </row>
    <row r="2100" spans="1:17" ht="12.75" x14ac:dyDescent="0.2">
      <c r="A2100" s="85" t="s">
        <v>596</v>
      </c>
      <c r="B2100" s="85" t="s">
        <v>583</v>
      </c>
      <c r="C2100" s="85" t="s">
        <v>660</v>
      </c>
      <c r="D2100" s="56">
        <v>2016</v>
      </c>
      <c r="E2100" s="85" t="s">
        <v>650</v>
      </c>
      <c r="F2100" s="57">
        <v>38</v>
      </c>
      <c r="G2100" s="57">
        <v>0</v>
      </c>
      <c r="H2100" s="58">
        <v>0</v>
      </c>
      <c r="I2100" s="57">
        <v>0</v>
      </c>
      <c r="J2100" s="57">
        <v>24</v>
      </c>
      <c r="K2100" s="57">
        <v>0</v>
      </c>
      <c r="L2100" s="57">
        <v>0</v>
      </c>
      <c r="M2100" s="57">
        <v>0</v>
      </c>
      <c r="N2100" s="57">
        <v>27</v>
      </c>
      <c r="O2100" s="57">
        <v>0</v>
      </c>
      <c r="P2100" s="57">
        <v>64</v>
      </c>
      <c r="Q2100" s="58">
        <v>65</v>
      </c>
    </row>
    <row r="2101" spans="1:17" ht="12.75" x14ac:dyDescent="0.2">
      <c r="A2101" s="85" t="s">
        <v>596</v>
      </c>
      <c r="B2101" s="85" t="s">
        <v>583</v>
      </c>
      <c r="C2101" s="85" t="s">
        <v>660</v>
      </c>
      <c r="D2101" s="56">
        <v>2017</v>
      </c>
      <c r="E2101" s="85" t="s">
        <v>650</v>
      </c>
      <c r="F2101" s="57">
        <v>38</v>
      </c>
      <c r="G2101" s="57">
        <v>0</v>
      </c>
      <c r="H2101" s="58">
        <v>0</v>
      </c>
      <c r="I2101" s="57">
        <v>0</v>
      </c>
      <c r="J2101" s="57">
        <v>24</v>
      </c>
      <c r="K2101" s="57">
        <v>0</v>
      </c>
      <c r="L2101" s="57">
        <v>0</v>
      </c>
      <c r="M2101" s="57">
        <v>0</v>
      </c>
      <c r="N2101" s="57">
        <v>27</v>
      </c>
      <c r="O2101" s="57">
        <v>0</v>
      </c>
      <c r="P2101" s="57">
        <v>64</v>
      </c>
      <c r="Q2101" s="58">
        <v>32</v>
      </c>
    </row>
    <row r="2102" spans="1:17" ht="12.75" x14ac:dyDescent="0.2">
      <c r="A2102" s="85" t="s">
        <v>583</v>
      </c>
      <c r="B2102" s="85" t="s">
        <v>583</v>
      </c>
      <c r="C2102" s="85" t="s">
        <v>660</v>
      </c>
      <c r="D2102" s="56">
        <v>2014</v>
      </c>
      <c r="E2102" s="85" t="s">
        <v>650</v>
      </c>
      <c r="F2102" s="57">
        <v>285</v>
      </c>
      <c r="G2102" s="57">
        <v>35</v>
      </c>
      <c r="H2102" s="58">
        <v>35</v>
      </c>
      <c r="I2102" s="57">
        <v>0</v>
      </c>
      <c r="J2102" s="57">
        <v>179</v>
      </c>
      <c r="K2102" s="57">
        <v>16</v>
      </c>
      <c r="L2102" s="57">
        <v>16</v>
      </c>
      <c r="M2102" s="57">
        <v>0</v>
      </c>
      <c r="N2102" s="57">
        <v>201</v>
      </c>
      <c r="O2102" s="57">
        <v>8</v>
      </c>
      <c r="P2102" s="57">
        <v>478</v>
      </c>
      <c r="Q2102" s="58">
        <v>146</v>
      </c>
    </row>
    <row r="2103" spans="1:17" ht="12.75" x14ac:dyDescent="0.2">
      <c r="A2103" s="85" t="s">
        <v>583</v>
      </c>
      <c r="B2103" s="85" t="s">
        <v>583</v>
      </c>
      <c r="C2103" s="85" t="s">
        <v>660</v>
      </c>
      <c r="D2103" s="56">
        <v>2015</v>
      </c>
      <c r="E2103" s="85" t="s">
        <v>650</v>
      </c>
      <c r="F2103" s="57">
        <v>285</v>
      </c>
      <c r="G2103" s="57">
        <v>1</v>
      </c>
      <c r="H2103" s="58">
        <v>1</v>
      </c>
      <c r="I2103" s="57">
        <v>0</v>
      </c>
      <c r="J2103" s="57">
        <v>179</v>
      </c>
      <c r="K2103" s="57">
        <v>1</v>
      </c>
      <c r="L2103" s="57">
        <v>1</v>
      </c>
      <c r="M2103" s="57">
        <v>0</v>
      </c>
      <c r="N2103" s="57">
        <v>201</v>
      </c>
      <c r="O2103" s="57">
        <v>2</v>
      </c>
      <c r="P2103" s="57">
        <v>478</v>
      </c>
      <c r="Q2103" s="58">
        <v>168</v>
      </c>
    </row>
    <row r="2104" spans="1:17" ht="12.75" x14ac:dyDescent="0.2">
      <c r="A2104" s="85" t="s">
        <v>583</v>
      </c>
      <c r="B2104" s="85" t="s">
        <v>583</v>
      </c>
      <c r="C2104" s="85" t="s">
        <v>660</v>
      </c>
      <c r="D2104" s="56">
        <v>2016</v>
      </c>
      <c r="E2104" s="85" t="s">
        <v>650</v>
      </c>
      <c r="F2104" s="57">
        <v>285</v>
      </c>
      <c r="G2104" s="57">
        <v>19</v>
      </c>
      <c r="H2104" s="58">
        <v>19</v>
      </c>
      <c r="I2104" s="57">
        <v>0</v>
      </c>
      <c r="J2104" s="57">
        <v>179</v>
      </c>
      <c r="K2104" s="57">
        <v>1</v>
      </c>
      <c r="L2104" s="57">
        <v>1</v>
      </c>
      <c r="M2104" s="57">
        <v>0</v>
      </c>
      <c r="N2104" s="57">
        <v>201</v>
      </c>
      <c r="O2104" s="57">
        <v>3</v>
      </c>
      <c r="P2104" s="57">
        <v>478</v>
      </c>
      <c r="Q2104" s="58">
        <v>111</v>
      </c>
    </row>
    <row r="2105" spans="1:17" ht="12.75" x14ac:dyDescent="0.2">
      <c r="A2105" s="85" t="s">
        <v>583</v>
      </c>
      <c r="B2105" s="85" t="s">
        <v>583</v>
      </c>
      <c r="C2105" s="85" t="s">
        <v>660</v>
      </c>
      <c r="D2105" s="56">
        <v>2017</v>
      </c>
      <c r="E2105" s="85" t="s">
        <v>650</v>
      </c>
      <c r="F2105" s="57">
        <v>285</v>
      </c>
      <c r="G2105" s="57">
        <v>41</v>
      </c>
      <c r="H2105" s="58">
        <v>41</v>
      </c>
      <c r="I2105" s="57">
        <v>0</v>
      </c>
      <c r="J2105" s="57">
        <v>179</v>
      </c>
      <c r="K2105" s="57">
        <v>9</v>
      </c>
      <c r="L2105" s="57">
        <v>9</v>
      </c>
      <c r="M2105" s="57">
        <v>0</v>
      </c>
      <c r="N2105" s="57">
        <v>201</v>
      </c>
      <c r="O2105" s="57">
        <v>0</v>
      </c>
      <c r="P2105" s="57">
        <v>478</v>
      </c>
      <c r="Q2105" s="58">
        <v>164</v>
      </c>
    </row>
    <row r="2106" spans="1:17" ht="12.75" x14ac:dyDescent="0.2">
      <c r="A2106" s="85" t="s">
        <v>657</v>
      </c>
      <c r="B2106" s="85" t="s">
        <v>583</v>
      </c>
      <c r="C2106" s="85" t="s">
        <v>660</v>
      </c>
      <c r="D2106" s="56">
        <v>2014</v>
      </c>
      <c r="E2106" s="85" t="s">
        <v>650</v>
      </c>
      <c r="F2106" s="57">
        <v>336</v>
      </c>
      <c r="G2106" s="57">
        <v>1</v>
      </c>
      <c r="H2106" s="58">
        <v>1</v>
      </c>
      <c r="I2106" s="57">
        <v>0</v>
      </c>
      <c r="J2106" s="57">
        <v>211</v>
      </c>
      <c r="K2106" s="57">
        <v>5</v>
      </c>
      <c r="L2106" s="57">
        <v>5</v>
      </c>
      <c r="M2106" s="57">
        <v>0</v>
      </c>
      <c r="N2106" s="57">
        <v>237</v>
      </c>
      <c r="O2106" s="57">
        <v>22</v>
      </c>
      <c r="P2106" s="57">
        <v>563</v>
      </c>
      <c r="Q2106" s="58">
        <v>293</v>
      </c>
    </row>
    <row r="2107" spans="1:17" ht="12.75" x14ac:dyDescent="0.2">
      <c r="A2107" s="85" t="s">
        <v>657</v>
      </c>
      <c r="B2107" s="85" t="s">
        <v>583</v>
      </c>
      <c r="C2107" s="85" t="s">
        <v>660</v>
      </c>
      <c r="D2107" s="56">
        <v>2015</v>
      </c>
      <c r="E2107" s="85" t="s">
        <v>650</v>
      </c>
      <c r="F2107" s="57">
        <v>336</v>
      </c>
      <c r="G2107" s="57">
        <v>7</v>
      </c>
      <c r="H2107" s="58">
        <v>2</v>
      </c>
      <c r="I2107" s="57">
        <v>5</v>
      </c>
      <c r="J2107" s="57">
        <v>211</v>
      </c>
      <c r="K2107" s="57">
        <v>10</v>
      </c>
      <c r="L2107" s="57">
        <v>3</v>
      </c>
      <c r="M2107" s="57">
        <v>7</v>
      </c>
      <c r="N2107" s="57">
        <v>237</v>
      </c>
      <c r="O2107" s="57">
        <v>27</v>
      </c>
      <c r="P2107" s="57">
        <v>563</v>
      </c>
      <c r="Q2107" s="58">
        <v>282</v>
      </c>
    </row>
    <row r="2108" spans="1:17" ht="12.75" x14ac:dyDescent="0.2">
      <c r="A2108" s="85" t="s">
        <v>657</v>
      </c>
      <c r="B2108" s="85" t="s">
        <v>583</v>
      </c>
      <c r="C2108" s="85" t="s">
        <v>660</v>
      </c>
      <c r="D2108" s="56">
        <v>2016</v>
      </c>
      <c r="E2108" s="85" t="s">
        <v>650</v>
      </c>
      <c r="F2108" s="57">
        <v>336</v>
      </c>
      <c r="G2108" s="57">
        <v>20</v>
      </c>
      <c r="H2108" s="58">
        <v>14</v>
      </c>
      <c r="I2108" s="57">
        <v>6</v>
      </c>
      <c r="J2108" s="57">
        <v>211</v>
      </c>
      <c r="K2108" s="57">
        <v>43</v>
      </c>
      <c r="L2108" s="57">
        <v>34</v>
      </c>
      <c r="M2108" s="57">
        <v>9</v>
      </c>
      <c r="N2108" s="57">
        <v>237</v>
      </c>
      <c r="O2108" s="57">
        <v>48</v>
      </c>
      <c r="P2108" s="57">
        <v>563</v>
      </c>
      <c r="Q2108" s="58">
        <v>278</v>
      </c>
    </row>
    <row r="2109" spans="1:17" ht="12.75" x14ac:dyDescent="0.2">
      <c r="A2109" s="85" t="s">
        <v>657</v>
      </c>
      <c r="B2109" s="85" t="s">
        <v>583</v>
      </c>
      <c r="C2109" s="85" t="s">
        <v>660</v>
      </c>
      <c r="D2109" s="56">
        <v>2017</v>
      </c>
      <c r="E2109" s="85" t="s">
        <v>650</v>
      </c>
      <c r="F2109" s="57">
        <v>336</v>
      </c>
      <c r="G2109" s="57">
        <v>12</v>
      </c>
      <c r="H2109" s="58">
        <v>3</v>
      </c>
      <c r="I2109" s="57">
        <v>9</v>
      </c>
      <c r="J2109" s="57">
        <v>211</v>
      </c>
      <c r="K2109" s="57">
        <v>14</v>
      </c>
      <c r="L2109" s="57">
        <v>5</v>
      </c>
      <c r="M2109" s="57">
        <v>9</v>
      </c>
      <c r="N2109" s="57">
        <v>237</v>
      </c>
      <c r="O2109" s="57">
        <v>45</v>
      </c>
      <c r="P2109" s="57">
        <v>563</v>
      </c>
      <c r="Q2109" s="58">
        <v>371</v>
      </c>
    </row>
    <row r="2110" spans="1:17" ht="12.75" x14ac:dyDescent="0.2">
      <c r="A2110" s="81" t="s">
        <v>208</v>
      </c>
      <c r="B2110" s="81" t="s">
        <v>583</v>
      </c>
      <c r="C2110" s="81" t="s">
        <v>660</v>
      </c>
      <c r="D2110" s="82">
        <v>2018</v>
      </c>
      <c r="E2110" s="81" t="s">
        <v>650</v>
      </c>
      <c r="F2110" s="58">
        <v>60</v>
      </c>
      <c r="G2110" s="57">
        <v>0</v>
      </c>
      <c r="H2110" s="58">
        <v>0</v>
      </c>
      <c r="I2110" s="58">
        <v>0</v>
      </c>
      <c r="J2110" s="58">
        <v>38</v>
      </c>
      <c r="K2110" s="57">
        <v>13</v>
      </c>
      <c r="L2110" s="58">
        <v>0</v>
      </c>
      <c r="M2110" s="58">
        <v>13</v>
      </c>
      <c r="N2110" s="58">
        <v>43</v>
      </c>
      <c r="O2110" s="58">
        <v>0</v>
      </c>
      <c r="P2110" s="58">
        <v>101</v>
      </c>
      <c r="Q2110" s="58">
        <v>22</v>
      </c>
    </row>
    <row r="2111" spans="1:17" ht="12.75" x14ac:dyDescent="0.2">
      <c r="A2111" s="81" t="s">
        <v>211</v>
      </c>
      <c r="B2111" s="81" t="s">
        <v>583</v>
      </c>
      <c r="C2111" s="81" t="s">
        <v>660</v>
      </c>
      <c r="D2111" s="82">
        <v>2018</v>
      </c>
      <c r="E2111" s="81" t="s">
        <v>650</v>
      </c>
      <c r="F2111" s="58">
        <v>98</v>
      </c>
      <c r="G2111" s="57">
        <v>0</v>
      </c>
      <c r="H2111" s="58">
        <v>0</v>
      </c>
      <c r="I2111" s="58">
        <v>0</v>
      </c>
      <c r="J2111" s="58">
        <v>62</v>
      </c>
      <c r="K2111" s="57">
        <v>0</v>
      </c>
      <c r="L2111" s="58">
        <v>0</v>
      </c>
      <c r="M2111" s="58">
        <v>0</v>
      </c>
      <c r="N2111" s="58">
        <v>69</v>
      </c>
      <c r="O2111" s="58">
        <v>7</v>
      </c>
      <c r="P2111" s="58">
        <v>164</v>
      </c>
      <c r="Q2111" s="58">
        <v>12</v>
      </c>
    </row>
    <row r="2112" spans="1:17" ht="12.75" x14ac:dyDescent="0.2">
      <c r="A2112" s="81" t="s">
        <v>410</v>
      </c>
      <c r="B2112" s="81" t="s">
        <v>583</v>
      </c>
      <c r="C2112" s="81" t="s">
        <v>660</v>
      </c>
      <c r="D2112" s="82">
        <v>2018</v>
      </c>
      <c r="E2112" s="81" t="s">
        <v>650</v>
      </c>
      <c r="F2112" s="58">
        <v>41</v>
      </c>
      <c r="G2112" s="57">
        <v>0</v>
      </c>
      <c r="H2112" s="58">
        <v>0</v>
      </c>
      <c r="I2112" s="58">
        <v>0</v>
      </c>
      <c r="J2112" s="58">
        <v>26</v>
      </c>
      <c r="K2112" s="57">
        <v>4</v>
      </c>
      <c r="L2112" s="58">
        <v>4</v>
      </c>
      <c r="M2112" s="58">
        <v>0</v>
      </c>
      <c r="N2112" s="58">
        <v>29</v>
      </c>
      <c r="O2112" s="58">
        <v>0</v>
      </c>
      <c r="P2112" s="58">
        <v>69</v>
      </c>
      <c r="Q2112" s="58">
        <v>25</v>
      </c>
    </row>
    <row r="2113" spans="1:17" ht="12.75" x14ac:dyDescent="0.2">
      <c r="A2113" s="81" t="s">
        <v>563</v>
      </c>
      <c r="B2113" s="81" t="s">
        <v>583</v>
      </c>
      <c r="C2113" s="81" t="s">
        <v>660</v>
      </c>
      <c r="D2113" s="82">
        <v>2018</v>
      </c>
      <c r="E2113" s="81" t="s">
        <v>650</v>
      </c>
      <c r="F2113" s="58">
        <v>39</v>
      </c>
      <c r="G2113" s="57">
        <v>0</v>
      </c>
      <c r="H2113" s="58">
        <v>0</v>
      </c>
      <c r="I2113" s="58">
        <v>0</v>
      </c>
      <c r="J2113" s="58">
        <v>24</v>
      </c>
      <c r="K2113" s="57">
        <v>0</v>
      </c>
      <c r="L2113" s="58">
        <v>0</v>
      </c>
      <c r="M2113" s="58">
        <v>0</v>
      </c>
      <c r="N2113" s="58">
        <v>27</v>
      </c>
      <c r="O2113" s="58">
        <v>2</v>
      </c>
      <c r="P2113" s="58">
        <v>65</v>
      </c>
      <c r="Q2113" s="58">
        <v>38</v>
      </c>
    </row>
    <row r="2114" spans="1:17" ht="12.75" x14ac:dyDescent="0.2">
      <c r="A2114" s="81" t="s">
        <v>590</v>
      </c>
      <c r="B2114" s="81" t="s">
        <v>583</v>
      </c>
      <c r="C2114" s="81" t="s">
        <v>660</v>
      </c>
      <c r="D2114" s="82">
        <v>2018</v>
      </c>
      <c r="E2114" s="81" t="s">
        <v>650</v>
      </c>
      <c r="F2114" s="58">
        <v>123</v>
      </c>
      <c r="G2114" s="57">
        <v>54</v>
      </c>
      <c r="H2114" s="58">
        <v>54</v>
      </c>
      <c r="I2114" s="58">
        <v>0</v>
      </c>
      <c r="J2114" s="58">
        <v>77</v>
      </c>
      <c r="K2114" s="57">
        <v>21</v>
      </c>
      <c r="L2114" s="58">
        <v>21</v>
      </c>
      <c r="M2114" s="58">
        <v>0</v>
      </c>
      <c r="N2114" s="58">
        <v>87</v>
      </c>
      <c r="O2114" s="58">
        <v>13</v>
      </c>
      <c r="P2114" s="58">
        <v>206</v>
      </c>
      <c r="Q2114" s="58">
        <v>12</v>
      </c>
    </row>
    <row r="2115" spans="1:17" ht="12.75" x14ac:dyDescent="0.2">
      <c r="A2115" s="81" t="s">
        <v>596</v>
      </c>
      <c r="B2115" s="81" t="s">
        <v>583</v>
      </c>
      <c r="C2115" s="81" t="s">
        <v>660</v>
      </c>
      <c r="D2115" s="82">
        <v>2018</v>
      </c>
      <c r="E2115" s="81" t="s">
        <v>650</v>
      </c>
      <c r="F2115" s="58">
        <v>38</v>
      </c>
      <c r="G2115" s="57">
        <v>0</v>
      </c>
      <c r="H2115" s="58">
        <v>0</v>
      </c>
      <c r="I2115" s="58">
        <v>0</v>
      </c>
      <c r="J2115" s="58">
        <v>24</v>
      </c>
      <c r="K2115" s="57">
        <v>0</v>
      </c>
      <c r="L2115" s="58">
        <v>0</v>
      </c>
      <c r="M2115" s="58">
        <v>0</v>
      </c>
      <c r="N2115" s="58">
        <v>27</v>
      </c>
      <c r="O2115" s="58">
        <v>0</v>
      </c>
      <c r="P2115" s="58">
        <v>64</v>
      </c>
      <c r="Q2115" s="58">
        <v>10</v>
      </c>
    </row>
    <row r="2116" spans="1:17" ht="12.75" x14ac:dyDescent="0.2">
      <c r="A2116" s="81" t="s">
        <v>583</v>
      </c>
      <c r="B2116" s="81" t="s">
        <v>583</v>
      </c>
      <c r="C2116" s="81" t="s">
        <v>660</v>
      </c>
      <c r="D2116" s="82">
        <v>2018</v>
      </c>
      <c r="E2116" s="81" t="s">
        <v>650</v>
      </c>
      <c r="F2116" s="58">
        <v>285</v>
      </c>
      <c r="G2116" s="57">
        <v>70</v>
      </c>
      <c r="H2116" s="58">
        <v>70</v>
      </c>
      <c r="I2116" s="58">
        <v>0</v>
      </c>
      <c r="J2116" s="58">
        <v>179</v>
      </c>
      <c r="K2116" s="57">
        <v>4</v>
      </c>
      <c r="L2116" s="58">
        <v>4</v>
      </c>
      <c r="M2116" s="58">
        <v>0</v>
      </c>
      <c r="N2116" s="58">
        <v>201</v>
      </c>
      <c r="O2116" s="58">
        <v>0</v>
      </c>
      <c r="P2116" s="58">
        <v>478</v>
      </c>
      <c r="Q2116" s="58">
        <v>220</v>
      </c>
    </row>
    <row r="2117" spans="1:17" ht="12.75" x14ac:dyDescent="0.2">
      <c r="A2117" s="81" t="s">
        <v>657</v>
      </c>
      <c r="B2117" s="81" t="s">
        <v>583</v>
      </c>
      <c r="C2117" s="81" t="s">
        <v>660</v>
      </c>
      <c r="D2117" s="82">
        <v>2018</v>
      </c>
      <c r="E2117" s="81" t="s">
        <v>650</v>
      </c>
      <c r="F2117" s="58">
        <v>336</v>
      </c>
      <c r="G2117" s="57">
        <v>12</v>
      </c>
      <c r="H2117" s="58">
        <v>12</v>
      </c>
      <c r="I2117" s="58">
        <v>0</v>
      </c>
      <c r="J2117" s="58">
        <v>211</v>
      </c>
      <c r="K2117" s="57">
        <v>17</v>
      </c>
      <c r="L2117" s="58">
        <v>17</v>
      </c>
      <c r="M2117" s="58">
        <v>0</v>
      </c>
      <c r="N2117" s="58">
        <v>237</v>
      </c>
      <c r="O2117" s="58">
        <v>14</v>
      </c>
      <c r="P2117" s="58">
        <v>563</v>
      </c>
      <c r="Q2117" s="58">
        <v>343</v>
      </c>
    </row>
    <row r="2118" spans="1:17" ht="12.75" x14ac:dyDescent="0.2">
      <c r="A2118" s="85" t="s">
        <v>212</v>
      </c>
      <c r="B2118" s="85" t="s">
        <v>595</v>
      </c>
      <c r="C2118" s="85" t="s">
        <v>654</v>
      </c>
      <c r="D2118" s="56">
        <v>2014</v>
      </c>
      <c r="E2118" s="85" t="s">
        <v>650</v>
      </c>
      <c r="F2118" s="57">
        <v>35</v>
      </c>
      <c r="G2118" s="57">
        <v>1</v>
      </c>
      <c r="H2118" s="58">
        <v>0</v>
      </c>
      <c r="I2118" s="57">
        <v>1</v>
      </c>
      <c r="J2118" s="57">
        <v>26</v>
      </c>
      <c r="K2118" s="57">
        <v>3</v>
      </c>
      <c r="L2118" s="57">
        <v>0</v>
      </c>
      <c r="M2118" s="57">
        <v>3</v>
      </c>
      <c r="N2118" s="57">
        <v>29</v>
      </c>
      <c r="O2118" s="57">
        <v>0</v>
      </c>
      <c r="P2118" s="57">
        <v>3</v>
      </c>
      <c r="Q2118" s="58">
        <v>1</v>
      </c>
    </row>
    <row r="2119" spans="1:17" ht="12.75" x14ac:dyDescent="0.2">
      <c r="A2119" s="85" t="s">
        <v>212</v>
      </c>
      <c r="B2119" s="85" t="s">
        <v>595</v>
      </c>
      <c r="C2119" s="85" t="s">
        <v>654</v>
      </c>
      <c r="D2119" s="56">
        <v>2015</v>
      </c>
      <c r="E2119" s="85" t="s">
        <v>650</v>
      </c>
      <c r="F2119" s="57">
        <v>35</v>
      </c>
      <c r="G2119" s="57">
        <v>12</v>
      </c>
      <c r="H2119" s="58">
        <v>12</v>
      </c>
      <c r="I2119" s="57">
        <v>0</v>
      </c>
      <c r="J2119" s="57">
        <v>26</v>
      </c>
      <c r="K2119" s="57">
        <v>0</v>
      </c>
      <c r="L2119" s="57">
        <v>0</v>
      </c>
      <c r="M2119" s="57">
        <v>0</v>
      </c>
      <c r="N2119" s="57">
        <v>29</v>
      </c>
      <c r="O2119" s="57">
        <v>0</v>
      </c>
      <c r="P2119" s="57">
        <v>3</v>
      </c>
      <c r="Q2119" s="58">
        <v>0</v>
      </c>
    </row>
    <row r="2120" spans="1:17" ht="12.75" x14ac:dyDescent="0.2">
      <c r="A2120" s="85" t="s">
        <v>212</v>
      </c>
      <c r="B2120" s="85" t="s">
        <v>595</v>
      </c>
      <c r="C2120" s="85" t="s">
        <v>654</v>
      </c>
      <c r="D2120" s="56">
        <v>2016</v>
      </c>
      <c r="E2120" s="85" t="s">
        <v>650</v>
      </c>
      <c r="F2120" s="57">
        <v>35</v>
      </c>
      <c r="G2120" s="57">
        <v>5</v>
      </c>
      <c r="H2120" s="58">
        <v>0</v>
      </c>
      <c r="I2120" s="57">
        <v>5</v>
      </c>
      <c r="J2120" s="57">
        <v>26</v>
      </c>
      <c r="K2120" s="57">
        <v>3</v>
      </c>
      <c r="L2120" s="57">
        <v>0</v>
      </c>
      <c r="M2120" s="57">
        <v>3</v>
      </c>
      <c r="N2120" s="57">
        <v>29</v>
      </c>
      <c r="O2120" s="57">
        <v>2</v>
      </c>
      <c r="P2120" s="57">
        <v>3</v>
      </c>
      <c r="Q2120" s="58">
        <v>5</v>
      </c>
    </row>
    <row r="2121" spans="1:17" ht="12.75" x14ac:dyDescent="0.2">
      <c r="A2121" s="85" t="s">
        <v>212</v>
      </c>
      <c r="B2121" s="85" t="s">
        <v>595</v>
      </c>
      <c r="C2121" s="85" t="s">
        <v>654</v>
      </c>
      <c r="D2121" s="56">
        <v>2017</v>
      </c>
      <c r="E2121" s="85" t="s">
        <v>650</v>
      </c>
      <c r="F2121" s="57">
        <v>35</v>
      </c>
      <c r="G2121" s="57">
        <v>6</v>
      </c>
      <c r="H2121" s="58">
        <v>0</v>
      </c>
      <c r="I2121" s="57">
        <v>6</v>
      </c>
      <c r="J2121" s="57">
        <v>26</v>
      </c>
      <c r="K2121" s="57">
        <v>5</v>
      </c>
      <c r="L2121" s="57">
        <v>0</v>
      </c>
      <c r="M2121" s="57">
        <v>5</v>
      </c>
      <c r="N2121" s="57">
        <v>29</v>
      </c>
      <c r="O2121" s="57">
        <v>0</v>
      </c>
      <c r="P2121" s="57">
        <v>3</v>
      </c>
      <c r="Q2121" s="58">
        <v>25</v>
      </c>
    </row>
    <row r="2122" spans="1:17" ht="12.75" x14ac:dyDescent="0.2">
      <c r="A2122" s="85" t="s">
        <v>235</v>
      </c>
      <c r="B2122" s="85" t="s">
        <v>595</v>
      </c>
      <c r="C2122" s="85" t="s">
        <v>654</v>
      </c>
      <c r="D2122" s="56">
        <v>2014</v>
      </c>
      <c r="E2122" s="85" t="s">
        <v>650</v>
      </c>
      <c r="F2122" s="57">
        <v>116</v>
      </c>
      <c r="G2122" s="57">
        <v>0</v>
      </c>
      <c r="H2122" s="58">
        <v>0</v>
      </c>
      <c r="I2122" s="57">
        <v>0</v>
      </c>
      <c r="J2122" s="57">
        <v>63</v>
      </c>
      <c r="K2122" s="57">
        <v>0</v>
      </c>
      <c r="L2122" s="57">
        <v>0</v>
      </c>
      <c r="M2122" s="57">
        <v>0</v>
      </c>
      <c r="N2122" s="57">
        <v>67</v>
      </c>
      <c r="O2122" s="57">
        <v>0</v>
      </c>
      <c r="P2122" s="57">
        <v>222</v>
      </c>
      <c r="Q2122" s="58">
        <v>18</v>
      </c>
    </row>
    <row r="2123" spans="1:17" ht="12.75" x14ac:dyDescent="0.2">
      <c r="A2123" s="85" t="s">
        <v>235</v>
      </c>
      <c r="B2123" s="85" t="s">
        <v>595</v>
      </c>
      <c r="C2123" s="85" t="s">
        <v>654</v>
      </c>
      <c r="D2123" s="56">
        <v>2015</v>
      </c>
      <c r="E2123" s="85" t="s">
        <v>650</v>
      </c>
      <c r="F2123" s="57">
        <v>116</v>
      </c>
      <c r="G2123" s="57">
        <v>0</v>
      </c>
      <c r="H2123" s="58">
        <v>0</v>
      </c>
      <c r="I2123" s="57">
        <v>0</v>
      </c>
      <c r="J2123" s="57">
        <v>63</v>
      </c>
      <c r="K2123" s="57">
        <v>0</v>
      </c>
      <c r="L2123" s="57">
        <v>0</v>
      </c>
      <c r="M2123" s="57">
        <v>0</v>
      </c>
      <c r="N2123" s="57">
        <v>67</v>
      </c>
      <c r="O2123" s="57">
        <v>0</v>
      </c>
      <c r="P2123" s="57">
        <v>222</v>
      </c>
      <c r="Q2123" s="58">
        <v>7</v>
      </c>
    </row>
    <row r="2124" spans="1:17" ht="12.75" x14ac:dyDescent="0.2">
      <c r="A2124" s="85" t="s">
        <v>235</v>
      </c>
      <c r="B2124" s="85" t="s">
        <v>595</v>
      </c>
      <c r="C2124" s="85" t="s">
        <v>654</v>
      </c>
      <c r="D2124" s="56">
        <v>2016</v>
      </c>
      <c r="E2124" s="85" t="s">
        <v>650</v>
      </c>
      <c r="F2124" s="57">
        <v>116</v>
      </c>
      <c r="G2124" s="57">
        <v>0</v>
      </c>
      <c r="H2124" s="58">
        <v>0</v>
      </c>
      <c r="I2124" s="57">
        <v>0</v>
      </c>
      <c r="J2124" s="57">
        <v>63</v>
      </c>
      <c r="K2124" s="57">
        <v>0</v>
      </c>
      <c r="L2124" s="57">
        <v>0</v>
      </c>
      <c r="M2124" s="57">
        <v>0</v>
      </c>
      <c r="N2124" s="57">
        <v>67</v>
      </c>
      <c r="O2124" s="57">
        <v>0</v>
      </c>
      <c r="P2124" s="57">
        <v>222</v>
      </c>
      <c r="Q2124" s="58">
        <v>7</v>
      </c>
    </row>
    <row r="2125" spans="1:17" ht="12.75" x14ac:dyDescent="0.2">
      <c r="A2125" s="85" t="s">
        <v>235</v>
      </c>
      <c r="B2125" s="85" t="s">
        <v>595</v>
      </c>
      <c r="C2125" s="85" t="s">
        <v>654</v>
      </c>
      <c r="D2125" s="56">
        <v>2017</v>
      </c>
      <c r="E2125" s="85" t="s">
        <v>650</v>
      </c>
      <c r="F2125" s="57">
        <v>116</v>
      </c>
      <c r="G2125" s="57">
        <v>0</v>
      </c>
      <c r="H2125" s="58">
        <v>0</v>
      </c>
      <c r="I2125" s="57">
        <v>0</v>
      </c>
      <c r="J2125" s="57">
        <v>63</v>
      </c>
      <c r="K2125" s="57">
        <v>0</v>
      </c>
      <c r="L2125" s="57">
        <v>0</v>
      </c>
      <c r="M2125" s="57">
        <v>0</v>
      </c>
      <c r="N2125" s="57">
        <v>67</v>
      </c>
      <c r="O2125" s="57">
        <v>4</v>
      </c>
      <c r="P2125" s="57">
        <v>222</v>
      </c>
      <c r="Q2125" s="58">
        <v>109</v>
      </c>
    </row>
    <row r="2126" spans="1:17" ht="12.75" x14ac:dyDescent="0.2">
      <c r="A2126" s="85" t="s">
        <v>254</v>
      </c>
      <c r="B2126" s="85" t="s">
        <v>595</v>
      </c>
      <c r="C2126" s="85" t="s">
        <v>654</v>
      </c>
      <c r="D2126" s="56">
        <v>2014</v>
      </c>
      <c r="E2126" s="85" t="s">
        <v>650</v>
      </c>
      <c r="F2126" s="57">
        <v>25</v>
      </c>
      <c r="G2126" s="57">
        <v>0</v>
      </c>
      <c r="H2126" s="58">
        <v>0</v>
      </c>
      <c r="I2126" s="57">
        <v>0</v>
      </c>
      <c r="J2126" s="57">
        <v>13</v>
      </c>
      <c r="K2126" s="57">
        <v>0</v>
      </c>
      <c r="L2126" s="57">
        <v>0</v>
      </c>
      <c r="M2126" s="57">
        <v>0</v>
      </c>
      <c r="N2126" s="57">
        <v>15</v>
      </c>
      <c r="O2126" s="57">
        <v>1</v>
      </c>
      <c r="P2126" s="57">
        <v>30</v>
      </c>
      <c r="Q2126" s="58">
        <v>38</v>
      </c>
    </row>
    <row r="2127" spans="1:17" ht="12.75" x14ac:dyDescent="0.2">
      <c r="A2127" s="85" t="s">
        <v>254</v>
      </c>
      <c r="B2127" s="85" t="s">
        <v>595</v>
      </c>
      <c r="C2127" s="85" t="s">
        <v>654</v>
      </c>
      <c r="D2127" s="56">
        <v>2015</v>
      </c>
      <c r="E2127" s="85" t="s">
        <v>650</v>
      </c>
      <c r="F2127" s="57">
        <v>25</v>
      </c>
      <c r="G2127" s="57">
        <v>0</v>
      </c>
      <c r="H2127" s="58">
        <v>0</v>
      </c>
      <c r="I2127" s="57">
        <v>0</v>
      </c>
      <c r="J2127" s="57">
        <v>13</v>
      </c>
      <c r="K2127" s="57">
        <v>0</v>
      </c>
      <c r="L2127" s="57">
        <v>0</v>
      </c>
      <c r="M2127" s="57">
        <v>0</v>
      </c>
      <c r="N2127" s="57">
        <v>15</v>
      </c>
      <c r="O2127" s="57">
        <v>1</v>
      </c>
      <c r="P2127" s="57">
        <v>30</v>
      </c>
      <c r="Q2127" s="58">
        <v>2</v>
      </c>
    </row>
    <row r="2128" spans="1:17" ht="12.75" x14ac:dyDescent="0.2">
      <c r="A2128" s="85" t="s">
        <v>254</v>
      </c>
      <c r="B2128" s="85" t="s">
        <v>595</v>
      </c>
      <c r="C2128" s="85" t="s">
        <v>654</v>
      </c>
      <c r="D2128" s="56">
        <v>2016</v>
      </c>
      <c r="E2128" s="85" t="s">
        <v>650</v>
      </c>
      <c r="F2128" s="57">
        <v>25</v>
      </c>
      <c r="G2128" s="57">
        <v>0</v>
      </c>
      <c r="H2128" s="58">
        <v>0</v>
      </c>
      <c r="I2128" s="57">
        <v>0</v>
      </c>
      <c r="J2128" s="57">
        <v>13</v>
      </c>
      <c r="K2128" s="57">
        <v>0</v>
      </c>
      <c r="L2128" s="57">
        <v>0</v>
      </c>
      <c r="M2128" s="57">
        <v>0</v>
      </c>
      <c r="N2128" s="57">
        <v>15</v>
      </c>
      <c r="O2128" s="57">
        <v>3</v>
      </c>
      <c r="P2128" s="57">
        <v>30</v>
      </c>
      <c r="Q2128" s="58">
        <v>4</v>
      </c>
    </row>
    <row r="2129" spans="1:17" ht="12.75" x14ac:dyDescent="0.2">
      <c r="A2129" s="85" t="s">
        <v>254</v>
      </c>
      <c r="B2129" s="85" t="s">
        <v>595</v>
      </c>
      <c r="C2129" s="85" t="s">
        <v>654</v>
      </c>
      <c r="D2129" s="56">
        <v>2017</v>
      </c>
      <c r="E2129" s="85" t="s">
        <v>650</v>
      </c>
      <c r="F2129" s="57">
        <v>25</v>
      </c>
      <c r="G2129" s="57">
        <v>0</v>
      </c>
      <c r="H2129" s="58">
        <v>0</v>
      </c>
      <c r="I2129" s="57">
        <v>0</v>
      </c>
      <c r="J2129" s="57">
        <v>13</v>
      </c>
      <c r="K2129" s="57">
        <v>0</v>
      </c>
      <c r="L2129" s="57">
        <v>0</v>
      </c>
      <c r="M2129" s="57">
        <v>0</v>
      </c>
      <c r="N2129" s="57">
        <v>15</v>
      </c>
      <c r="O2129" s="57">
        <v>3</v>
      </c>
      <c r="P2129" s="57">
        <v>30</v>
      </c>
      <c r="Q2129" s="58">
        <v>4</v>
      </c>
    </row>
    <row r="2130" spans="1:17" ht="12.75" x14ac:dyDescent="0.2">
      <c r="A2130" s="85" t="s">
        <v>259</v>
      </c>
      <c r="B2130" s="85" t="s">
        <v>595</v>
      </c>
      <c r="C2130" s="85" t="s">
        <v>654</v>
      </c>
      <c r="D2130" s="56">
        <v>2014</v>
      </c>
      <c r="E2130" s="85" t="s">
        <v>650</v>
      </c>
      <c r="F2130" s="57">
        <v>276</v>
      </c>
      <c r="G2130" s="57">
        <v>0</v>
      </c>
      <c r="H2130" s="58">
        <v>0</v>
      </c>
      <c r="I2130" s="57">
        <v>0</v>
      </c>
      <c r="J2130" s="57">
        <v>144</v>
      </c>
      <c r="K2130" s="57">
        <v>0</v>
      </c>
      <c r="L2130" s="57">
        <v>0</v>
      </c>
      <c r="M2130" s="57">
        <v>0</v>
      </c>
      <c r="N2130" s="57">
        <v>155</v>
      </c>
      <c r="O2130" s="57">
        <v>3</v>
      </c>
      <c r="P2130" s="57">
        <v>288</v>
      </c>
      <c r="Q2130" s="58">
        <v>0</v>
      </c>
    </row>
    <row r="2131" spans="1:17" ht="12.75" x14ac:dyDescent="0.2">
      <c r="A2131" s="85" t="s">
        <v>259</v>
      </c>
      <c r="B2131" s="85" t="s">
        <v>595</v>
      </c>
      <c r="C2131" s="85" t="s">
        <v>654</v>
      </c>
      <c r="D2131" s="56">
        <v>2015</v>
      </c>
      <c r="E2131" s="85" t="s">
        <v>650</v>
      </c>
      <c r="F2131" s="57">
        <v>276</v>
      </c>
      <c r="G2131" s="57">
        <v>0</v>
      </c>
      <c r="H2131" s="58">
        <v>0</v>
      </c>
      <c r="I2131" s="57">
        <v>0</v>
      </c>
      <c r="J2131" s="57">
        <v>144</v>
      </c>
      <c r="K2131" s="57">
        <v>0</v>
      </c>
      <c r="L2131" s="57">
        <v>0</v>
      </c>
      <c r="M2131" s="57">
        <v>0</v>
      </c>
      <c r="N2131" s="57">
        <v>155</v>
      </c>
      <c r="O2131" s="57">
        <v>0</v>
      </c>
      <c r="P2131" s="57">
        <v>288</v>
      </c>
      <c r="Q2131" s="58">
        <v>5</v>
      </c>
    </row>
    <row r="2132" spans="1:17" ht="12.75" x14ac:dyDescent="0.2">
      <c r="A2132" s="85" t="s">
        <v>259</v>
      </c>
      <c r="B2132" s="85" t="s">
        <v>595</v>
      </c>
      <c r="C2132" s="85" t="s">
        <v>654</v>
      </c>
      <c r="D2132" s="56">
        <v>2016</v>
      </c>
      <c r="E2132" s="85" t="s">
        <v>650</v>
      </c>
      <c r="F2132" s="57">
        <v>276</v>
      </c>
      <c r="G2132" s="57">
        <v>0</v>
      </c>
      <c r="H2132" s="58">
        <v>0</v>
      </c>
      <c r="I2132" s="57">
        <v>0</v>
      </c>
      <c r="J2132" s="57">
        <v>144</v>
      </c>
      <c r="K2132" s="57">
        <v>0</v>
      </c>
      <c r="L2132" s="57">
        <v>0</v>
      </c>
      <c r="M2132" s="57">
        <v>0</v>
      </c>
      <c r="N2132" s="57">
        <v>155</v>
      </c>
      <c r="O2132" s="57">
        <v>0</v>
      </c>
      <c r="P2132" s="57">
        <v>288</v>
      </c>
      <c r="Q2132" s="58">
        <v>133</v>
      </c>
    </row>
    <row r="2133" spans="1:17" ht="12.75" x14ac:dyDescent="0.2">
      <c r="A2133" s="85" t="s">
        <v>259</v>
      </c>
      <c r="B2133" s="85" t="s">
        <v>595</v>
      </c>
      <c r="C2133" s="85" t="s">
        <v>654</v>
      </c>
      <c r="D2133" s="56">
        <v>2017</v>
      </c>
      <c r="E2133" s="85" t="s">
        <v>650</v>
      </c>
      <c r="F2133" s="57">
        <v>276</v>
      </c>
      <c r="G2133" s="57">
        <v>0</v>
      </c>
      <c r="H2133" s="58">
        <v>0</v>
      </c>
      <c r="I2133" s="57">
        <v>0</v>
      </c>
      <c r="J2133" s="57">
        <v>144</v>
      </c>
      <c r="K2133" s="57">
        <v>0</v>
      </c>
      <c r="L2133" s="57">
        <v>0</v>
      </c>
      <c r="M2133" s="57">
        <v>0</v>
      </c>
      <c r="N2133" s="57">
        <v>155</v>
      </c>
      <c r="O2133" s="57">
        <v>0</v>
      </c>
      <c r="P2133" s="57">
        <v>288</v>
      </c>
      <c r="Q2133" s="58">
        <v>13</v>
      </c>
    </row>
    <row r="2134" spans="1:17" ht="12.75" x14ac:dyDescent="0.2">
      <c r="A2134" s="85" t="s">
        <v>307</v>
      </c>
      <c r="B2134" s="85" t="s">
        <v>595</v>
      </c>
      <c r="C2134" s="85" t="s">
        <v>654</v>
      </c>
      <c r="D2134" s="56">
        <v>2014</v>
      </c>
      <c r="E2134" s="85" t="s">
        <v>650</v>
      </c>
      <c r="F2134" s="57">
        <v>20</v>
      </c>
      <c r="G2134" s="57">
        <v>0</v>
      </c>
      <c r="H2134" s="58">
        <v>0</v>
      </c>
      <c r="I2134" s="57">
        <v>0</v>
      </c>
      <c r="J2134" s="57">
        <v>8</v>
      </c>
      <c r="K2134" s="57">
        <v>0</v>
      </c>
      <c r="L2134" s="57">
        <v>0</v>
      </c>
      <c r="M2134" s="57">
        <v>0</v>
      </c>
      <c r="N2134" s="57">
        <v>9</v>
      </c>
      <c r="O2134" s="57">
        <v>0</v>
      </c>
      <c r="P2134" s="57">
        <v>22</v>
      </c>
      <c r="Q2134" s="58">
        <v>0</v>
      </c>
    </row>
    <row r="2135" spans="1:17" ht="12.75" x14ac:dyDescent="0.2">
      <c r="A2135" s="85" t="s">
        <v>307</v>
      </c>
      <c r="B2135" s="85" t="s">
        <v>595</v>
      </c>
      <c r="C2135" s="85" t="s">
        <v>654</v>
      </c>
      <c r="D2135" s="56">
        <v>2015</v>
      </c>
      <c r="E2135" s="85" t="s">
        <v>650</v>
      </c>
      <c r="F2135" s="57">
        <v>20</v>
      </c>
      <c r="G2135" s="57">
        <v>0</v>
      </c>
      <c r="H2135" s="58">
        <v>0</v>
      </c>
      <c r="I2135" s="57">
        <v>0</v>
      </c>
      <c r="J2135" s="57">
        <v>8</v>
      </c>
      <c r="K2135" s="57">
        <v>0</v>
      </c>
      <c r="L2135" s="57">
        <v>0</v>
      </c>
      <c r="M2135" s="57">
        <v>0</v>
      </c>
      <c r="N2135" s="57">
        <v>9</v>
      </c>
      <c r="O2135" s="57">
        <v>0</v>
      </c>
      <c r="P2135" s="57">
        <v>22</v>
      </c>
      <c r="Q2135" s="58">
        <v>0</v>
      </c>
    </row>
    <row r="2136" spans="1:17" ht="12.75" x14ac:dyDescent="0.2">
      <c r="A2136" s="85" t="s">
        <v>307</v>
      </c>
      <c r="B2136" s="85" t="s">
        <v>595</v>
      </c>
      <c r="C2136" s="85" t="s">
        <v>654</v>
      </c>
      <c r="D2136" s="56">
        <v>2016</v>
      </c>
      <c r="E2136" s="85" t="s">
        <v>650</v>
      </c>
      <c r="F2136" s="57">
        <v>20</v>
      </c>
      <c r="G2136" s="57">
        <v>0</v>
      </c>
      <c r="H2136" s="58">
        <v>0</v>
      </c>
      <c r="I2136" s="57">
        <v>0</v>
      </c>
      <c r="J2136" s="57">
        <v>8</v>
      </c>
      <c r="K2136" s="57">
        <v>0</v>
      </c>
      <c r="L2136" s="57">
        <v>0</v>
      </c>
      <c r="M2136" s="57">
        <v>0</v>
      </c>
      <c r="N2136" s="57">
        <v>9</v>
      </c>
      <c r="O2136" s="57">
        <v>0</v>
      </c>
      <c r="P2136" s="57">
        <v>22</v>
      </c>
      <c r="Q2136" s="58">
        <v>0</v>
      </c>
    </row>
    <row r="2137" spans="1:17" ht="12.75" x14ac:dyDescent="0.2">
      <c r="A2137" s="85" t="s">
        <v>307</v>
      </c>
      <c r="B2137" s="85" t="s">
        <v>595</v>
      </c>
      <c r="C2137" s="85" t="s">
        <v>654</v>
      </c>
      <c r="D2137" s="56">
        <v>2017</v>
      </c>
      <c r="E2137" s="85" t="s">
        <v>650</v>
      </c>
      <c r="F2137" s="57">
        <v>20</v>
      </c>
      <c r="G2137" s="57">
        <v>0</v>
      </c>
      <c r="H2137" s="58">
        <v>0</v>
      </c>
      <c r="I2137" s="57">
        <v>0</v>
      </c>
      <c r="J2137" s="57">
        <v>8</v>
      </c>
      <c r="K2137" s="57">
        <v>0</v>
      </c>
      <c r="L2137" s="57">
        <v>0</v>
      </c>
      <c r="M2137" s="57">
        <v>0</v>
      </c>
      <c r="N2137" s="57">
        <v>9</v>
      </c>
      <c r="O2137" s="57">
        <v>0</v>
      </c>
      <c r="P2137" s="57">
        <v>22</v>
      </c>
      <c r="Q2137" s="58">
        <v>6</v>
      </c>
    </row>
    <row r="2138" spans="1:17" ht="12.75" x14ac:dyDescent="0.2">
      <c r="A2138" s="85" t="s">
        <v>330</v>
      </c>
      <c r="B2138" s="85" t="s">
        <v>595</v>
      </c>
      <c r="C2138" s="85" t="s">
        <v>654</v>
      </c>
      <c r="D2138" s="56">
        <v>2014</v>
      </c>
      <c r="E2138" s="85" t="s">
        <v>650</v>
      </c>
      <c r="F2138" s="57">
        <v>400</v>
      </c>
      <c r="G2138" s="57">
        <v>0</v>
      </c>
      <c r="H2138" s="58">
        <v>0</v>
      </c>
      <c r="I2138" s="57">
        <v>0</v>
      </c>
      <c r="J2138" s="57">
        <v>188</v>
      </c>
      <c r="K2138" s="57">
        <v>0</v>
      </c>
      <c r="L2138" s="57">
        <v>0</v>
      </c>
      <c r="M2138" s="57">
        <v>0</v>
      </c>
      <c r="N2138" s="57">
        <v>221</v>
      </c>
      <c r="O2138" s="60">
        <v>10</v>
      </c>
      <c r="P2138" s="57">
        <v>541</v>
      </c>
      <c r="Q2138" s="58">
        <v>10</v>
      </c>
    </row>
    <row r="2139" spans="1:17" ht="12.75" x14ac:dyDescent="0.2">
      <c r="A2139" s="85" t="s">
        <v>330</v>
      </c>
      <c r="B2139" s="85" t="s">
        <v>595</v>
      </c>
      <c r="C2139" s="85" t="s">
        <v>654</v>
      </c>
      <c r="D2139" s="56">
        <v>2015</v>
      </c>
      <c r="E2139" s="85" t="s">
        <v>650</v>
      </c>
      <c r="F2139" s="57">
        <v>400</v>
      </c>
      <c r="G2139" s="57">
        <v>38</v>
      </c>
      <c r="H2139" s="58">
        <v>38</v>
      </c>
      <c r="I2139" s="57">
        <v>0</v>
      </c>
      <c r="J2139" s="57">
        <v>188</v>
      </c>
      <c r="K2139" s="57">
        <v>15</v>
      </c>
      <c r="L2139" s="57">
        <v>15</v>
      </c>
      <c r="M2139" s="57">
        <v>0</v>
      </c>
      <c r="N2139" s="57">
        <v>221</v>
      </c>
      <c r="O2139" s="57">
        <v>14</v>
      </c>
      <c r="P2139" s="57">
        <v>541</v>
      </c>
      <c r="Q2139" s="58">
        <v>89</v>
      </c>
    </row>
    <row r="2140" spans="1:17" ht="12.75" x14ac:dyDescent="0.2">
      <c r="A2140" s="85" t="s">
        <v>330</v>
      </c>
      <c r="B2140" s="85" t="s">
        <v>595</v>
      </c>
      <c r="C2140" s="85" t="s">
        <v>654</v>
      </c>
      <c r="D2140" s="56">
        <v>2016</v>
      </c>
      <c r="E2140" s="85" t="s">
        <v>650</v>
      </c>
      <c r="F2140" s="57">
        <v>400</v>
      </c>
      <c r="G2140" s="57">
        <v>0</v>
      </c>
      <c r="H2140" s="58">
        <v>0</v>
      </c>
      <c r="I2140" s="57">
        <v>0</v>
      </c>
      <c r="J2140" s="57">
        <v>188</v>
      </c>
      <c r="K2140" s="57">
        <v>7</v>
      </c>
      <c r="L2140" s="57">
        <v>7</v>
      </c>
      <c r="M2140" s="57">
        <v>0</v>
      </c>
      <c r="N2140" s="57">
        <v>221</v>
      </c>
      <c r="O2140" s="57">
        <v>17</v>
      </c>
      <c r="P2140" s="57">
        <v>541</v>
      </c>
      <c r="Q2140" s="58">
        <v>140</v>
      </c>
    </row>
    <row r="2141" spans="1:17" ht="12.75" x14ac:dyDescent="0.2">
      <c r="A2141" s="85" t="s">
        <v>330</v>
      </c>
      <c r="B2141" s="85" t="s">
        <v>595</v>
      </c>
      <c r="C2141" s="85" t="s">
        <v>654</v>
      </c>
      <c r="D2141" s="56">
        <v>2017</v>
      </c>
      <c r="E2141" s="85" t="s">
        <v>650</v>
      </c>
      <c r="F2141" s="57">
        <v>400</v>
      </c>
      <c r="G2141" s="57">
        <v>21</v>
      </c>
      <c r="H2141" s="58">
        <v>21</v>
      </c>
      <c r="I2141" s="57">
        <v>0</v>
      </c>
      <c r="J2141" s="57">
        <v>188</v>
      </c>
      <c r="K2141" s="57">
        <v>200</v>
      </c>
      <c r="L2141" s="57">
        <v>183</v>
      </c>
      <c r="M2141" s="57">
        <v>17</v>
      </c>
      <c r="N2141" s="57">
        <v>221</v>
      </c>
      <c r="O2141" s="57">
        <v>18</v>
      </c>
      <c r="P2141" s="57">
        <v>541</v>
      </c>
      <c r="Q2141" s="58">
        <v>17</v>
      </c>
    </row>
    <row r="2142" spans="1:17" ht="12.75" x14ac:dyDescent="0.2">
      <c r="A2142" s="85" t="s">
        <v>350</v>
      </c>
      <c r="B2142" s="85" t="s">
        <v>595</v>
      </c>
      <c r="C2142" s="85" t="s">
        <v>654</v>
      </c>
      <c r="D2142" s="56">
        <v>2015</v>
      </c>
      <c r="E2142" s="85" t="s">
        <v>650</v>
      </c>
      <c r="F2142" s="57">
        <v>64</v>
      </c>
      <c r="G2142" s="57">
        <v>0</v>
      </c>
      <c r="H2142" s="58">
        <v>0</v>
      </c>
      <c r="I2142" s="57">
        <v>0</v>
      </c>
      <c r="J2142" s="57">
        <v>54</v>
      </c>
      <c r="K2142" s="57">
        <v>8</v>
      </c>
      <c r="L2142" s="57">
        <v>8</v>
      </c>
      <c r="M2142" s="57">
        <v>0</v>
      </c>
      <c r="N2142" s="57">
        <v>83</v>
      </c>
      <c r="O2142" s="57">
        <v>0</v>
      </c>
      <c r="P2142" s="57">
        <v>266</v>
      </c>
      <c r="Q2142" s="58">
        <v>0</v>
      </c>
    </row>
    <row r="2143" spans="1:17" ht="12.75" x14ac:dyDescent="0.2">
      <c r="A2143" s="85" t="s">
        <v>350</v>
      </c>
      <c r="B2143" s="85" t="s">
        <v>595</v>
      </c>
      <c r="C2143" s="85" t="s">
        <v>654</v>
      </c>
      <c r="D2143" s="56">
        <v>2016</v>
      </c>
      <c r="E2143" s="85" t="s">
        <v>650</v>
      </c>
      <c r="F2143" s="57">
        <v>64</v>
      </c>
      <c r="G2143" s="57">
        <v>0</v>
      </c>
      <c r="H2143" s="58">
        <v>0</v>
      </c>
      <c r="I2143" s="57">
        <v>0</v>
      </c>
      <c r="J2143" s="57">
        <v>54</v>
      </c>
      <c r="K2143" s="57">
        <v>0</v>
      </c>
      <c r="L2143" s="57">
        <v>0</v>
      </c>
      <c r="M2143" s="57">
        <v>0</v>
      </c>
      <c r="N2143" s="57">
        <v>83</v>
      </c>
      <c r="O2143" s="57">
        <v>33</v>
      </c>
      <c r="P2143" s="57">
        <v>266</v>
      </c>
      <c r="Q2143" s="58">
        <v>0</v>
      </c>
    </row>
    <row r="2144" spans="1:17" ht="12.75" x14ac:dyDescent="0.2">
      <c r="A2144" s="85" t="s">
        <v>350</v>
      </c>
      <c r="B2144" s="85" t="s">
        <v>595</v>
      </c>
      <c r="C2144" s="85" t="s">
        <v>654</v>
      </c>
      <c r="D2144" s="56">
        <v>2017</v>
      </c>
      <c r="E2144" s="85" t="s">
        <v>650</v>
      </c>
      <c r="F2144" s="57">
        <v>64</v>
      </c>
      <c r="G2144" s="57">
        <v>16</v>
      </c>
      <c r="H2144" s="58">
        <v>16</v>
      </c>
      <c r="I2144" s="57">
        <v>0</v>
      </c>
      <c r="J2144" s="57">
        <v>54</v>
      </c>
      <c r="K2144" s="57">
        <v>24</v>
      </c>
      <c r="L2144" s="57">
        <v>24</v>
      </c>
      <c r="M2144" s="57">
        <v>0</v>
      </c>
      <c r="N2144" s="57">
        <v>83</v>
      </c>
      <c r="O2144" s="57">
        <v>0</v>
      </c>
      <c r="P2144" s="57">
        <v>266</v>
      </c>
      <c r="Q2144" s="58">
        <v>5</v>
      </c>
    </row>
    <row r="2145" spans="1:17" ht="12.75" x14ac:dyDescent="0.2">
      <c r="A2145" s="85" t="s">
        <v>389</v>
      </c>
      <c r="B2145" s="85" t="s">
        <v>595</v>
      </c>
      <c r="C2145" s="85" t="s">
        <v>654</v>
      </c>
      <c r="D2145" s="56">
        <v>2015</v>
      </c>
      <c r="E2145" s="85" t="s">
        <v>650</v>
      </c>
      <c r="F2145" s="57">
        <v>148</v>
      </c>
      <c r="G2145" s="57">
        <v>83</v>
      </c>
      <c r="H2145" s="58">
        <v>83</v>
      </c>
      <c r="I2145" s="57">
        <v>0</v>
      </c>
      <c r="J2145" s="57">
        <v>87</v>
      </c>
      <c r="K2145" s="57">
        <v>49</v>
      </c>
      <c r="L2145" s="57">
        <v>49</v>
      </c>
      <c r="M2145" s="57">
        <v>0</v>
      </c>
      <c r="N2145" s="57">
        <v>76</v>
      </c>
      <c r="O2145" s="57">
        <v>14</v>
      </c>
      <c r="P2145" s="57">
        <v>119</v>
      </c>
      <c r="Q2145" s="58">
        <v>563</v>
      </c>
    </row>
    <row r="2146" spans="1:17" ht="12.75" x14ac:dyDescent="0.2">
      <c r="A2146" s="85" t="s">
        <v>389</v>
      </c>
      <c r="B2146" s="85" t="s">
        <v>595</v>
      </c>
      <c r="C2146" s="85" t="s">
        <v>654</v>
      </c>
      <c r="D2146" s="56">
        <v>2016</v>
      </c>
      <c r="E2146" s="85" t="s">
        <v>650</v>
      </c>
      <c r="F2146" s="57">
        <v>148</v>
      </c>
      <c r="G2146" s="57">
        <v>0</v>
      </c>
      <c r="H2146" s="58">
        <v>0</v>
      </c>
      <c r="I2146" s="57">
        <v>0</v>
      </c>
      <c r="J2146" s="57">
        <v>87</v>
      </c>
      <c r="K2146" s="57">
        <v>0</v>
      </c>
      <c r="L2146" s="57">
        <v>0</v>
      </c>
      <c r="M2146" s="57">
        <v>0</v>
      </c>
      <c r="N2146" s="57">
        <v>76</v>
      </c>
      <c r="O2146" s="57">
        <v>0</v>
      </c>
      <c r="P2146" s="57">
        <v>119</v>
      </c>
      <c r="Q2146" s="58">
        <v>74</v>
      </c>
    </row>
    <row r="2147" spans="1:17" ht="12.75" x14ac:dyDescent="0.2">
      <c r="A2147" s="85" t="s">
        <v>389</v>
      </c>
      <c r="B2147" s="85" t="s">
        <v>595</v>
      </c>
      <c r="C2147" s="85" t="s">
        <v>654</v>
      </c>
      <c r="D2147" s="56">
        <v>2017</v>
      </c>
      <c r="E2147" s="85" t="s">
        <v>650</v>
      </c>
      <c r="F2147" s="57">
        <v>148</v>
      </c>
      <c r="G2147" s="57">
        <v>1</v>
      </c>
      <c r="H2147" s="58">
        <v>0</v>
      </c>
      <c r="I2147" s="57">
        <v>1</v>
      </c>
      <c r="J2147" s="57">
        <v>87</v>
      </c>
      <c r="K2147" s="57">
        <v>0</v>
      </c>
      <c r="L2147" s="57">
        <v>0</v>
      </c>
      <c r="M2147" s="57">
        <v>0</v>
      </c>
      <c r="N2147" s="57">
        <v>76</v>
      </c>
      <c r="O2147" s="57">
        <v>0</v>
      </c>
      <c r="P2147" s="57">
        <v>119</v>
      </c>
      <c r="Q2147" s="58">
        <v>0</v>
      </c>
    </row>
    <row r="2148" spans="1:17" ht="12.75" x14ac:dyDescent="0.2">
      <c r="A2148" s="85" t="s">
        <v>415</v>
      </c>
      <c r="B2148" s="85" t="s">
        <v>595</v>
      </c>
      <c r="C2148" s="85" t="s">
        <v>654</v>
      </c>
      <c r="D2148" s="56">
        <v>2014</v>
      </c>
      <c r="E2148" s="85" t="s">
        <v>650</v>
      </c>
      <c r="F2148" s="57">
        <v>52</v>
      </c>
      <c r="G2148" s="57">
        <v>52</v>
      </c>
      <c r="H2148" s="58">
        <v>52</v>
      </c>
      <c r="I2148" s="57">
        <v>0</v>
      </c>
      <c r="J2148" s="57">
        <v>31</v>
      </c>
      <c r="K2148" s="57">
        <v>3</v>
      </c>
      <c r="L2148" s="57">
        <v>3</v>
      </c>
      <c r="M2148" s="57">
        <v>0</v>
      </c>
      <c r="N2148" s="57">
        <v>36</v>
      </c>
      <c r="O2148" s="57">
        <v>0</v>
      </c>
      <c r="P2148" s="57">
        <v>121</v>
      </c>
      <c r="Q2148" s="58">
        <v>0</v>
      </c>
    </row>
    <row r="2149" spans="1:17" ht="12.75" x14ac:dyDescent="0.2">
      <c r="A2149" s="85" t="s">
        <v>415</v>
      </c>
      <c r="B2149" s="85" t="s">
        <v>595</v>
      </c>
      <c r="C2149" s="85" t="s">
        <v>654</v>
      </c>
      <c r="D2149" s="56">
        <v>2015</v>
      </c>
      <c r="E2149" s="85" t="s">
        <v>650</v>
      </c>
      <c r="F2149" s="57">
        <v>52</v>
      </c>
      <c r="G2149" s="57">
        <v>0</v>
      </c>
      <c r="H2149" s="58">
        <v>0</v>
      </c>
      <c r="I2149" s="57">
        <v>0</v>
      </c>
      <c r="J2149" s="57">
        <v>31</v>
      </c>
      <c r="K2149" s="57">
        <v>0</v>
      </c>
      <c r="L2149" s="57">
        <v>0</v>
      </c>
      <c r="M2149" s="57">
        <v>0</v>
      </c>
      <c r="N2149" s="57">
        <v>36</v>
      </c>
      <c r="O2149" s="57">
        <v>0</v>
      </c>
      <c r="P2149" s="57">
        <v>121</v>
      </c>
      <c r="Q2149" s="58">
        <v>9</v>
      </c>
    </row>
    <row r="2150" spans="1:17" ht="12.75" x14ac:dyDescent="0.2">
      <c r="A2150" s="85" t="s">
        <v>415</v>
      </c>
      <c r="B2150" s="85" t="s">
        <v>595</v>
      </c>
      <c r="C2150" s="85" t="s">
        <v>654</v>
      </c>
      <c r="D2150" s="56">
        <v>2016</v>
      </c>
      <c r="E2150" s="85" t="s">
        <v>650</v>
      </c>
      <c r="F2150" s="57">
        <v>52</v>
      </c>
      <c r="G2150" s="57">
        <v>0</v>
      </c>
      <c r="H2150" s="58">
        <v>0</v>
      </c>
      <c r="I2150" s="57">
        <v>0</v>
      </c>
      <c r="J2150" s="57">
        <v>31</v>
      </c>
      <c r="K2150" s="57">
        <v>0</v>
      </c>
      <c r="L2150" s="57">
        <v>0</v>
      </c>
      <c r="M2150" s="57">
        <v>0</v>
      </c>
      <c r="N2150" s="57">
        <v>36</v>
      </c>
      <c r="O2150" s="57">
        <v>6</v>
      </c>
      <c r="P2150" s="57">
        <v>121</v>
      </c>
      <c r="Q2150" s="58">
        <v>14</v>
      </c>
    </row>
    <row r="2151" spans="1:17" ht="12.75" x14ac:dyDescent="0.2">
      <c r="A2151" s="85" t="s">
        <v>415</v>
      </c>
      <c r="B2151" s="85" t="s">
        <v>595</v>
      </c>
      <c r="C2151" s="85" t="s">
        <v>654</v>
      </c>
      <c r="D2151" s="56">
        <v>2017</v>
      </c>
      <c r="E2151" s="85" t="s">
        <v>650</v>
      </c>
      <c r="F2151" s="57">
        <v>52</v>
      </c>
      <c r="G2151" s="57">
        <v>0</v>
      </c>
      <c r="H2151" s="58">
        <v>0</v>
      </c>
      <c r="I2151" s="57">
        <v>0</v>
      </c>
      <c r="J2151" s="57">
        <v>31</v>
      </c>
      <c r="K2151" s="57">
        <v>0</v>
      </c>
      <c r="L2151" s="57">
        <v>0</v>
      </c>
      <c r="M2151" s="57">
        <v>0</v>
      </c>
      <c r="N2151" s="57">
        <v>36</v>
      </c>
      <c r="O2151" s="57">
        <v>3</v>
      </c>
      <c r="P2151" s="57">
        <v>121</v>
      </c>
      <c r="Q2151" s="58">
        <v>12</v>
      </c>
    </row>
    <row r="2152" spans="1:17" ht="12.75" x14ac:dyDescent="0.2">
      <c r="A2152" s="85" t="s">
        <v>429</v>
      </c>
      <c r="B2152" s="85" t="s">
        <v>595</v>
      </c>
      <c r="C2152" s="85" t="s">
        <v>654</v>
      </c>
      <c r="D2152" s="56">
        <v>2015</v>
      </c>
      <c r="E2152" s="85" t="s">
        <v>650</v>
      </c>
      <c r="F2152" s="57">
        <v>32</v>
      </c>
      <c r="G2152" s="57">
        <v>16</v>
      </c>
      <c r="H2152" s="58">
        <v>0</v>
      </c>
      <c r="I2152" s="57">
        <v>16</v>
      </c>
      <c r="J2152" s="57">
        <v>17</v>
      </c>
      <c r="K2152" s="57">
        <v>8</v>
      </c>
      <c r="L2152" s="57">
        <v>0</v>
      </c>
      <c r="M2152" s="57">
        <v>8</v>
      </c>
      <c r="N2152" s="57">
        <v>21</v>
      </c>
      <c r="O2152" s="57">
        <v>10</v>
      </c>
      <c r="P2152" s="57">
        <v>21</v>
      </c>
      <c r="Q2152" s="58">
        <v>5</v>
      </c>
    </row>
    <row r="2153" spans="1:17" ht="12.75" x14ac:dyDescent="0.2">
      <c r="A2153" s="85" t="s">
        <v>429</v>
      </c>
      <c r="B2153" s="85" t="s">
        <v>595</v>
      </c>
      <c r="C2153" s="85" t="s">
        <v>654</v>
      </c>
      <c r="D2153" s="56">
        <v>2016</v>
      </c>
      <c r="E2153" s="85" t="s">
        <v>650</v>
      </c>
      <c r="F2153" s="57">
        <v>32</v>
      </c>
      <c r="G2153" s="57">
        <v>4</v>
      </c>
      <c r="H2153" s="58">
        <v>0</v>
      </c>
      <c r="I2153" s="57">
        <v>4</v>
      </c>
      <c r="J2153" s="57">
        <v>17</v>
      </c>
      <c r="K2153" s="57">
        <v>2</v>
      </c>
      <c r="L2153" s="57">
        <v>0</v>
      </c>
      <c r="M2153" s="57">
        <v>2</v>
      </c>
      <c r="N2153" s="57">
        <v>21</v>
      </c>
      <c r="O2153" s="57">
        <v>2</v>
      </c>
      <c r="P2153" s="57">
        <v>21</v>
      </c>
      <c r="Q2153" s="58">
        <v>2</v>
      </c>
    </row>
    <row r="2154" spans="1:17" ht="12.75" x14ac:dyDescent="0.2">
      <c r="A2154" s="85" t="s">
        <v>429</v>
      </c>
      <c r="B2154" s="85" t="s">
        <v>595</v>
      </c>
      <c r="C2154" s="85" t="s">
        <v>654</v>
      </c>
      <c r="D2154" s="56">
        <v>2017</v>
      </c>
      <c r="E2154" s="85" t="s">
        <v>650</v>
      </c>
      <c r="F2154" s="57">
        <v>32</v>
      </c>
      <c r="G2154" s="57">
        <v>8</v>
      </c>
      <c r="H2154" s="58">
        <v>0</v>
      </c>
      <c r="I2154" s="57">
        <v>8</v>
      </c>
      <c r="J2154" s="57">
        <v>17</v>
      </c>
      <c r="K2154" s="57">
        <v>3</v>
      </c>
      <c r="L2154" s="57">
        <v>0</v>
      </c>
      <c r="M2154" s="57">
        <v>3</v>
      </c>
      <c r="N2154" s="57">
        <v>21</v>
      </c>
      <c r="O2154" s="57">
        <v>4</v>
      </c>
      <c r="P2154" s="57">
        <v>21</v>
      </c>
      <c r="Q2154" s="58">
        <v>3</v>
      </c>
    </row>
    <row r="2155" spans="1:17" ht="12.75" x14ac:dyDescent="0.2">
      <c r="A2155" s="85" t="s">
        <v>541</v>
      </c>
      <c r="B2155" s="85" t="s">
        <v>595</v>
      </c>
      <c r="C2155" s="85" t="s">
        <v>654</v>
      </c>
      <c r="D2155" s="56">
        <v>2015</v>
      </c>
      <c r="E2155" s="85" t="s">
        <v>650</v>
      </c>
      <c r="F2155" s="57">
        <v>233</v>
      </c>
      <c r="G2155" s="57">
        <v>85</v>
      </c>
      <c r="H2155" s="58">
        <v>84</v>
      </c>
      <c r="I2155" s="57">
        <v>1</v>
      </c>
      <c r="J2155" s="57">
        <v>129</v>
      </c>
      <c r="K2155" s="57">
        <v>22</v>
      </c>
      <c r="L2155" s="57">
        <v>20</v>
      </c>
      <c r="M2155" s="57">
        <v>2</v>
      </c>
      <c r="N2155" s="57">
        <v>143</v>
      </c>
      <c r="O2155" s="57">
        <v>0</v>
      </c>
      <c r="P2155" s="57">
        <v>150</v>
      </c>
      <c r="Q2155" s="58">
        <v>712</v>
      </c>
    </row>
    <row r="2156" spans="1:17" ht="12.75" x14ac:dyDescent="0.2">
      <c r="A2156" s="85" t="s">
        <v>541</v>
      </c>
      <c r="B2156" s="85" t="s">
        <v>595</v>
      </c>
      <c r="C2156" s="85" t="s">
        <v>654</v>
      </c>
      <c r="D2156" s="56">
        <v>2016</v>
      </c>
      <c r="E2156" s="85" t="s">
        <v>650</v>
      </c>
      <c r="F2156" s="57">
        <v>233</v>
      </c>
      <c r="G2156" s="57">
        <v>45</v>
      </c>
      <c r="H2156" s="58">
        <v>42</v>
      </c>
      <c r="I2156" s="57">
        <v>3</v>
      </c>
      <c r="J2156" s="57">
        <v>129</v>
      </c>
      <c r="K2156" s="57">
        <v>4</v>
      </c>
      <c r="L2156" s="57">
        <v>0</v>
      </c>
      <c r="M2156" s="57">
        <v>4</v>
      </c>
      <c r="N2156" s="57">
        <v>143</v>
      </c>
      <c r="O2156" s="57">
        <v>0</v>
      </c>
      <c r="P2156" s="57">
        <v>150</v>
      </c>
      <c r="Q2156" s="58">
        <v>17</v>
      </c>
    </row>
    <row r="2157" spans="1:17" ht="12.75" x14ac:dyDescent="0.2">
      <c r="A2157" s="85" t="s">
        <v>541</v>
      </c>
      <c r="B2157" s="85" t="s">
        <v>595</v>
      </c>
      <c r="C2157" s="85" t="s">
        <v>654</v>
      </c>
      <c r="D2157" s="56">
        <v>2017</v>
      </c>
      <c r="E2157" s="85" t="s">
        <v>650</v>
      </c>
      <c r="F2157" s="57">
        <v>233</v>
      </c>
      <c r="G2157" s="57">
        <v>8</v>
      </c>
      <c r="H2157" s="58">
        <v>0</v>
      </c>
      <c r="I2157" s="57">
        <v>8</v>
      </c>
      <c r="J2157" s="57">
        <v>129</v>
      </c>
      <c r="K2157" s="57">
        <v>6</v>
      </c>
      <c r="L2157" s="57">
        <v>2</v>
      </c>
      <c r="M2157" s="57">
        <v>4</v>
      </c>
      <c r="N2157" s="57">
        <v>143</v>
      </c>
      <c r="O2157" s="57">
        <v>1</v>
      </c>
      <c r="P2157" s="57">
        <v>150</v>
      </c>
      <c r="Q2157" s="58">
        <v>20</v>
      </c>
    </row>
    <row r="2158" spans="1:17" ht="12.75" x14ac:dyDescent="0.2">
      <c r="A2158" s="85" t="s">
        <v>545</v>
      </c>
      <c r="B2158" s="85" t="s">
        <v>595</v>
      </c>
      <c r="C2158" s="85" t="s">
        <v>654</v>
      </c>
      <c r="D2158" s="56">
        <v>2016</v>
      </c>
      <c r="E2158" s="85" t="s">
        <v>650</v>
      </c>
      <c r="F2158" s="57">
        <v>193</v>
      </c>
      <c r="G2158" s="57">
        <v>0</v>
      </c>
      <c r="H2158" s="58">
        <v>0</v>
      </c>
      <c r="I2158" s="57">
        <v>0</v>
      </c>
      <c r="J2158" s="57">
        <v>101</v>
      </c>
      <c r="K2158" s="57">
        <v>0</v>
      </c>
      <c r="L2158" s="57">
        <v>0</v>
      </c>
      <c r="M2158" s="57">
        <v>0</v>
      </c>
      <c r="N2158" s="57">
        <v>112</v>
      </c>
      <c r="O2158" s="57">
        <v>0</v>
      </c>
      <c r="P2158" s="57">
        <v>257</v>
      </c>
      <c r="Q2158" s="58">
        <v>0</v>
      </c>
    </row>
    <row r="2159" spans="1:17" ht="12.75" x14ac:dyDescent="0.2">
      <c r="A2159" s="85" t="s">
        <v>545</v>
      </c>
      <c r="B2159" s="85" t="s">
        <v>595</v>
      </c>
      <c r="C2159" s="85" t="s">
        <v>654</v>
      </c>
      <c r="D2159" s="56">
        <v>2017</v>
      </c>
      <c r="E2159" s="85" t="s">
        <v>650</v>
      </c>
      <c r="F2159" s="57">
        <v>193</v>
      </c>
      <c r="G2159" s="57">
        <v>0</v>
      </c>
      <c r="H2159" s="58">
        <v>0</v>
      </c>
      <c r="I2159" s="57">
        <v>0</v>
      </c>
      <c r="J2159" s="57">
        <v>101</v>
      </c>
      <c r="K2159" s="57">
        <v>0</v>
      </c>
      <c r="L2159" s="57">
        <v>0</v>
      </c>
      <c r="M2159" s="57">
        <v>0</v>
      </c>
      <c r="N2159" s="57">
        <v>112</v>
      </c>
      <c r="O2159" s="57">
        <v>0</v>
      </c>
      <c r="P2159" s="57">
        <v>257</v>
      </c>
      <c r="Q2159" s="58">
        <v>3</v>
      </c>
    </row>
    <row r="2160" spans="1:17" ht="12.75" x14ac:dyDescent="0.2">
      <c r="A2160" s="85" t="s">
        <v>585</v>
      </c>
      <c r="B2160" s="85" t="s">
        <v>595</v>
      </c>
      <c r="C2160" s="85" t="s">
        <v>654</v>
      </c>
      <c r="D2160" s="56">
        <v>2015</v>
      </c>
      <c r="E2160" s="85" t="s">
        <v>650</v>
      </c>
      <c r="F2160" s="57">
        <v>121</v>
      </c>
      <c r="G2160" s="57">
        <v>0</v>
      </c>
      <c r="H2160" s="58">
        <v>0</v>
      </c>
      <c r="I2160" s="57">
        <v>0</v>
      </c>
      <c r="J2160" s="57">
        <v>68</v>
      </c>
      <c r="K2160" s="57">
        <v>0</v>
      </c>
      <c r="L2160" s="57">
        <v>0</v>
      </c>
      <c r="M2160" s="57">
        <v>0</v>
      </c>
      <c r="N2160" s="57">
        <v>70</v>
      </c>
      <c r="O2160" s="57">
        <v>1</v>
      </c>
      <c r="P2160" s="57">
        <v>154</v>
      </c>
      <c r="Q2160" s="58">
        <v>7</v>
      </c>
    </row>
    <row r="2161" spans="1:17" ht="12.75" x14ac:dyDescent="0.2">
      <c r="A2161" s="85" t="s">
        <v>585</v>
      </c>
      <c r="B2161" s="85" t="s">
        <v>595</v>
      </c>
      <c r="C2161" s="85" t="s">
        <v>654</v>
      </c>
      <c r="D2161" s="56">
        <v>2016</v>
      </c>
      <c r="E2161" s="85" t="s">
        <v>650</v>
      </c>
      <c r="F2161" s="57">
        <v>121</v>
      </c>
      <c r="G2161" s="57">
        <v>0</v>
      </c>
      <c r="H2161" s="58">
        <v>0</v>
      </c>
      <c r="I2161" s="57">
        <v>0</v>
      </c>
      <c r="J2161" s="57">
        <v>68</v>
      </c>
      <c r="K2161" s="57">
        <v>0</v>
      </c>
      <c r="L2161" s="57">
        <v>0</v>
      </c>
      <c r="M2161" s="57">
        <v>0</v>
      </c>
      <c r="N2161" s="57">
        <v>70</v>
      </c>
      <c r="O2161" s="57">
        <v>1</v>
      </c>
      <c r="P2161" s="57">
        <v>154</v>
      </c>
      <c r="Q2161" s="58">
        <v>12</v>
      </c>
    </row>
    <row r="2162" spans="1:17" ht="12.75" x14ac:dyDescent="0.2">
      <c r="A2162" s="85" t="s">
        <v>585</v>
      </c>
      <c r="B2162" s="85" t="s">
        <v>595</v>
      </c>
      <c r="C2162" s="85" t="s">
        <v>654</v>
      </c>
      <c r="D2162" s="56">
        <v>2017</v>
      </c>
      <c r="E2162" s="85" t="s">
        <v>650</v>
      </c>
      <c r="F2162" s="57">
        <v>121</v>
      </c>
      <c r="G2162" s="57">
        <v>0</v>
      </c>
      <c r="H2162" s="58">
        <v>0</v>
      </c>
      <c r="I2162" s="57">
        <v>0</v>
      </c>
      <c r="J2162" s="57">
        <v>68</v>
      </c>
      <c r="K2162" s="57">
        <v>0</v>
      </c>
      <c r="L2162" s="57">
        <v>0</v>
      </c>
      <c r="M2162" s="57">
        <v>0</v>
      </c>
      <c r="N2162" s="57">
        <v>70</v>
      </c>
      <c r="O2162" s="57">
        <v>4</v>
      </c>
      <c r="P2162" s="57">
        <v>154</v>
      </c>
      <c r="Q2162" s="58">
        <v>5</v>
      </c>
    </row>
    <row r="2163" spans="1:17" ht="12.75" x14ac:dyDescent="0.2">
      <c r="A2163" s="85" t="s">
        <v>607</v>
      </c>
      <c r="B2163" s="85" t="s">
        <v>595</v>
      </c>
      <c r="C2163" s="85" t="s">
        <v>654</v>
      </c>
      <c r="D2163" s="56">
        <v>2015</v>
      </c>
      <c r="E2163" s="85" t="s">
        <v>650</v>
      </c>
      <c r="F2163" s="57">
        <v>21</v>
      </c>
      <c r="G2163" s="57">
        <v>0</v>
      </c>
      <c r="H2163" s="58">
        <v>0</v>
      </c>
      <c r="I2163" s="57">
        <v>0</v>
      </c>
      <c r="J2163" s="57">
        <v>15</v>
      </c>
      <c r="K2163" s="57">
        <v>0</v>
      </c>
      <c r="L2163" s="57">
        <v>0</v>
      </c>
      <c r="M2163" s="57">
        <v>0</v>
      </c>
      <c r="N2163" s="57">
        <v>15</v>
      </c>
      <c r="O2163" s="57">
        <v>0</v>
      </c>
      <c r="P2163" s="57">
        <v>13</v>
      </c>
      <c r="Q2163" s="58">
        <v>8</v>
      </c>
    </row>
    <row r="2164" spans="1:17" ht="12.75" x14ac:dyDescent="0.2">
      <c r="A2164" s="85" t="s">
        <v>607</v>
      </c>
      <c r="B2164" s="85" t="s">
        <v>595</v>
      </c>
      <c r="C2164" s="85" t="s">
        <v>654</v>
      </c>
      <c r="D2164" s="56">
        <v>2016</v>
      </c>
      <c r="E2164" s="85" t="s">
        <v>650</v>
      </c>
      <c r="F2164" s="57">
        <v>21</v>
      </c>
      <c r="G2164" s="57">
        <v>0</v>
      </c>
      <c r="H2164" s="58">
        <v>0</v>
      </c>
      <c r="I2164" s="57">
        <v>0</v>
      </c>
      <c r="J2164" s="57">
        <v>15</v>
      </c>
      <c r="K2164" s="57">
        <v>0</v>
      </c>
      <c r="L2164" s="57">
        <v>0</v>
      </c>
      <c r="M2164" s="57">
        <v>0</v>
      </c>
      <c r="N2164" s="57">
        <v>15</v>
      </c>
      <c r="O2164" s="57">
        <v>1</v>
      </c>
      <c r="P2164" s="57">
        <v>13</v>
      </c>
      <c r="Q2164" s="58">
        <v>8</v>
      </c>
    </row>
    <row r="2165" spans="1:17" ht="12.75" x14ac:dyDescent="0.2">
      <c r="A2165" s="85" t="s">
        <v>607</v>
      </c>
      <c r="B2165" s="85" t="s">
        <v>595</v>
      </c>
      <c r="C2165" s="85" t="s">
        <v>654</v>
      </c>
      <c r="D2165" s="56">
        <v>2017</v>
      </c>
      <c r="E2165" s="85" t="s">
        <v>650</v>
      </c>
      <c r="F2165" s="57">
        <v>21</v>
      </c>
      <c r="G2165" s="57">
        <v>0</v>
      </c>
      <c r="H2165" s="58">
        <v>0</v>
      </c>
      <c r="I2165" s="57">
        <v>0</v>
      </c>
      <c r="J2165" s="57">
        <v>15</v>
      </c>
      <c r="K2165" s="57">
        <v>0</v>
      </c>
      <c r="L2165" s="57">
        <v>0</v>
      </c>
      <c r="M2165" s="57">
        <v>0</v>
      </c>
      <c r="N2165" s="57">
        <v>15</v>
      </c>
      <c r="O2165" s="57">
        <v>2</v>
      </c>
      <c r="P2165" s="57">
        <v>13</v>
      </c>
      <c r="Q2165" s="58">
        <v>6</v>
      </c>
    </row>
    <row r="2166" spans="1:17" ht="12.75" x14ac:dyDescent="0.2">
      <c r="A2166" s="85" t="s">
        <v>618</v>
      </c>
      <c r="B2166" s="85" t="s">
        <v>595</v>
      </c>
      <c r="C2166" s="85" t="s">
        <v>654</v>
      </c>
      <c r="D2166" s="56">
        <v>2015</v>
      </c>
      <c r="E2166" s="85" t="s">
        <v>650</v>
      </c>
      <c r="F2166" s="57">
        <v>706</v>
      </c>
      <c r="G2166" s="57">
        <v>0</v>
      </c>
      <c r="H2166" s="58">
        <v>0</v>
      </c>
      <c r="I2166" s="57">
        <v>0</v>
      </c>
      <c r="J2166" s="57">
        <v>429</v>
      </c>
      <c r="K2166" s="57">
        <v>2</v>
      </c>
      <c r="L2166" s="57">
        <v>0</v>
      </c>
      <c r="M2166" s="57">
        <v>2</v>
      </c>
      <c r="N2166" s="57">
        <v>502</v>
      </c>
      <c r="O2166" s="57">
        <v>0</v>
      </c>
      <c r="P2166" s="57">
        <v>1152</v>
      </c>
      <c r="Q2166" s="61">
        <v>1126</v>
      </c>
    </row>
    <row r="2167" spans="1:17" ht="12.75" x14ac:dyDescent="0.2">
      <c r="A2167" s="85" t="s">
        <v>618</v>
      </c>
      <c r="B2167" s="85" t="s">
        <v>595</v>
      </c>
      <c r="C2167" s="85" t="s">
        <v>654</v>
      </c>
      <c r="D2167" s="56">
        <v>2016</v>
      </c>
      <c r="E2167" s="85" t="s">
        <v>650</v>
      </c>
      <c r="F2167" s="57">
        <v>706</v>
      </c>
      <c r="G2167" s="57">
        <v>7</v>
      </c>
      <c r="H2167" s="58">
        <v>7</v>
      </c>
      <c r="I2167" s="57">
        <v>0</v>
      </c>
      <c r="J2167" s="57">
        <v>429</v>
      </c>
      <c r="K2167" s="57">
        <v>16</v>
      </c>
      <c r="L2167" s="57">
        <v>0</v>
      </c>
      <c r="M2167" s="57">
        <v>16</v>
      </c>
      <c r="N2167" s="57">
        <v>502</v>
      </c>
      <c r="O2167" s="57">
        <v>0</v>
      </c>
      <c r="P2167" s="57">
        <v>1152</v>
      </c>
      <c r="Q2167" s="58">
        <v>240</v>
      </c>
    </row>
    <row r="2168" spans="1:17" ht="12.75" x14ac:dyDescent="0.2">
      <c r="A2168" s="85" t="s">
        <v>618</v>
      </c>
      <c r="B2168" s="85" t="s">
        <v>595</v>
      </c>
      <c r="C2168" s="85" t="s">
        <v>654</v>
      </c>
      <c r="D2168" s="56">
        <v>2017</v>
      </c>
      <c r="E2168" s="85" t="s">
        <v>650</v>
      </c>
      <c r="F2168" s="57">
        <v>706</v>
      </c>
      <c r="G2168" s="57">
        <v>0</v>
      </c>
      <c r="H2168" s="58">
        <v>0</v>
      </c>
      <c r="I2168" s="57">
        <v>0</v>
      </c>
      <c r="J2168" s="57">
        <v>429</v>
      </c>
      <c r="K2168" s="57">
        <v>36</v>
      </c>
      <c r="L2168" s="57">
        <v>36</v>
      </c>
      <c r="M2168" s="57">
        <v>0</v>
      </c>
      <c r="N2168" s="57">
        <v>502</v>
      </c>
      <c r="O2168" s="57">
        <v>0</v>
      </c>
      <c r="P2168" s="57">
        <v>1152</v>
      </c>
      <c r="Q2168" s="58">
        <v>8</v>
      </c>
    </row>
    <row r="2169" spans="1:17" ht="12.75" x14ac:dyDescent="0.2">
      <c r="A2169" s="85" t="s">
        <v>641</v>
      </c>
      <c r="B2169" s="85" t="s">
        <v>595</v>
      </c>
      <c r="C2169" s="85" t="s">
        <v>654</v>
      </c>
      <c r="D2169" s="56">
        <v>2014</v>
      </c>
      <c r="E2169" s="85" t="s">
        <v>650</v>
      </c>
      <c r="F2169" s="57">
        <v>358</v>
      </c>
      <c r="G2169" s="57">
        <v>0</v>
      </c>
      <c r="H2169" s="58">
        <v>0</v>
      </c>
      <c r="I2169" s="57">
        <v>0</v>
      </c>
      <c r="J2169" s="57">
        <v>161</v>
      </c>
      <c r="K2169" s="57">
        <v>0</v>
      </c>
      <c r="L2169" s="57">
        <v>0</v>
      </c>
      <c r="M2169" s="57">
        <v>0</v>
      </c>
      <c r="N2169" s="57">
        <v>205</v>
      </c>
      <c r="O2169" s="57">
        <v>0</v>
      </c>
      <c r="P2169" s="57">
        <v>431</v>
      </c>
      <c r="Q2169" s="58">
        <v>1</v>
      </c>
    </row>
    <row r="2170" spans="1:17" ht="12.75" x14ac:dyDescent="0.2">
      <c r="A2170" s="85" t="s">
        <v>641</v>
      </c>
      <c r="B2170" s="85" t="s">
        <v>595</v>
      </c>
      <c r="C2170" s="85" t="s">
        <v>654</v>
      </c>
      <c r="D2170" s="56">
        <v>2015</v>
      </c>
      <c r="E2170" s="85" t="s">
        <v>650</v>
      </c>
      <c r="F2170" s="57">
        <v>358</v>
      </c>
      <c r="G2170" s="57">
        <v>0</v>
      </c>
      <c r="H2170" s="58">
        <v>0</v>
      </c>
      <c r="I2170" s="57">
        <v>0</v>
      </c>
      <c r="J2170" s="57">
        <v>161</v>
      </c>
      <c r="K2170" s="57">
        <v>0</v>
      </c>
      <c r="L2170" s="57">
        <v>0</v>
      </c>
      <c r="M2170" s="57">
        <v>0</v>
      </c>
      <c r="N2170" s="57">
        <v>205</v>
      </c>
      <c r="O2170" s="57">
        <v>1</v>
      </c>
      <c r="P2170" s="57">
        <v>431</v>
      </c>
      <c r="Q2170" s="58">
        <v>9</v>
      </c>
    </row>
    <row r="2171" spans="1:17" ht="12.75" x14ac:dyDescent="0.2">
      <c r="A2171" s="85" t="s">
        <v>641</v>
      </c>
      <c r="B2171" s="85" t="s">
        <v>595</v>
      </c>
      <c r="C2171" s="85" t="s">
        <v>654</v>
      </c>
      <c r="D2171" s="56">
        <v>2016</v>
      </c>
      <c r="E2171" s="85" t="s">
        <v>650</v>
      </c>
      <c r="F2171" s="57">
        <v>358</v>
      </c>
      <c r="G2171" s="57">
        <v>0</v>
      </c>
      <c r="H2171" s="58">
        <v>0</v>
      </c>
      <c r="I2171" s="57">
        <v>0</v>
      </c>
      <c r="J2171" s="57">
        <v>161</v>
      </c>
      <c r="K2171" s="57">
        <v>4</v>
      </c>
      <c r="L2171" s="57">
        <v>4</v>
      </c>
      <c r="M2171" s="57">
        <v>0</v>
      </c>
      <c r="N2171" s="57">
        <v>205</v>
      </c>
      <c r="O2171" s="57">
        <v>41</v>
      </c>
      <c r="P2171" s="57">
        <v>431</v>
      </c>
      <c r="Q2171" s="58">
        <v>42</v>
      </c>
    </row>
    <row r="2172" spans="1:17" ht="12.75" x14ac:dyDescent="0.2">
      <c r="A2172" s="85" t="s">
        <v>641</v>
      </c>
      <c r="B2172" s="59" t="s">
        <v>595</v>
      </c>
      <c r="C2172" s="85" t="s">
        <v>654</v>
      </c>
      <c r="D2172" s="96">
        <v>2017</v>
      </c>
      <c r="E2172" s="85" t="s">
        <v>650</v>
      </c>
      <c r="F2172" s="57">
        <v>358</v>
      </c>
      <c r="G2172" s="57">
        <v>0</v>
      </c>
      <c r="H2172" s="58">
        <v>0</v>
      </c>
      <c r="I2172" s="57">
        <v>0</v>
      </c>
      <c r="J2172" s="57">
        <v>161</v>
      </c>
      <c r="K2172" s="57">
        <v>14</v>
      </c>
      <c r="L2172" s="57">
        <v>14</v>
      </c>
      <c r="M2172" s="57">
        <v>0</v>
      </c>
      <c r="N2172" s="57">
        <v>205</v>
      </c>
      <c r="O2172" s="57">
        <v>0</v>
      </c>
      <c r="P2172" s="57">
        <v>431</v>
      </c>
      <c r="Q2172" s="61">
        <v>1</v>
      </c>
    </row>
    <row r="2173" spans="1:17" ht="12.75" x14ac:dyDescent="0.2">
      <c r="A2173" s="85" t="s">
        <v>643</v>
      </c>
      <c r="B2173" s="85" t="s">
        <v>595</v>
      </c>
      <c r="C2173" s="85" t="s">
        <v>654</v>
      </c>
      <c r="D2173" s="56">
        <v>2016</v>
      </c>
      <c r="E2173" s="85" t="s">
        <v>650</v>
      </c>
      <c r="F2173" s="57">
        <v>195</v>
      </c>
      <c r="G2173" s="57">
        <v>4</v>
      </c>
      <c r="H2173" s="58">
        <v>4</v>
      </c>
      <c r="I2173" s="57">
        <v>0</v>
      </c>
      <c r="J2173" s="57">
        <v>107</v>
      </c>
      <c r="K2173" s="57">
        <v>13</v>
      </c>
      <c r="L2173" s="57">
        <v>13</v>
      </c>
      <c r="M2173" s="57">
        <v>0</v>
      </c>
      <c r="N2173" s="57">
        <v>111</v>
      </c>
      <c r="O2173" s="57">
        <v>10</v>
      </c>
      <c r="P2173" s="57">
        <v>183</v>
      </c>
      <c r="Q2173" s="58">
        <v>358</v>
      </c>
    </row>
    <row r="2174" spans="1:17" ht="12.75" x14ac:dyDescent="0.2">
      <c r="A2174" s="85" t="s">
        <v>643</v>
      </c>
      <c r="B2174" s="85" t="s">
        <v>595</v>
      </c>
      <c r="C2174" s="85" t="s">
        <v>654</v>
      </c>
      <c r="D2174" s="56">
        <v>2017</v>
      </c>
      <c r="E2174" s="85" t="s">
        <v>650</v>
      </c>
      <c r="F2174" s="57">
        <v>195</v>
      </c>
      <c r="G2174" s="57">
        <v>1</v>
      </c>
      <c r="H2174" s="58">
        <v>1</v>
      </c>
      <c r="I2174" s="57">
        <v>0</v>
      </c>
      <c r="J2174" s="57">
        <v>107</v>
      </c>
      <c r="K2174" s="57">
        <v>0</v>
      </c>
      <c r="L2174" s="57">
        <v>0</v>
      </c>
      <c r="M2174" s="57">
        <v>0</v>
      </c>
      <c r="N2174" s="57">
        <v>111</v>
      </c>
      <c r="O2174" s="57">
        <v>1</v>
      </c>
      <c r="P2174" s="57">
        <v>183</v>
      </c>
      <c r="Q2174" s="58">
        <v>44</v>
      </c>
    </row>
    <row r="2175" spans="1:17" ht="12.75" x14ac:dyDescent="0.2">
      <c r="A2175" s="85" t="s">
        <v>595</v>
      </c>
      <c r="B2175" s="85" t="s">
        <v>595</v>
      </c>
      <c r="C2175" s="85" t="s">
        <v>654</v>
      </c>
      <c r="D2175" s="56">
        <v>2015</v>
      </c>
      <c r="E2175" s="85" t="s">
        <v>650</v>
      </c>
      <c r="F2175" s="57">
        <v>859</v>
      </c>
      <c r="G2175" s="57">
        <v>0</v>
      </c>
      <c r="H2175" s="58">
        <v>0</v>
      </c>
      <c r="I2175" s="57">
        <v>0</v>
      </c>
      <c r="J2175" s="57">
        <v>469</v>
      </c>
      <c r="K2175" s="57">
        <v>23</v>
      </c>
      <c r="L2175" s="57">
        <v>23</v>
      </c>
      <c r="M2175" s="57">
        <v>0</v>
      </c>
      <c r="N2175" s="57">
        <v>530</v>
      </c>
      <c r="O2175" s="57">
        <v>88</v>
      </c>
      <c r="P2175" s="57">
        <v>1242</v>
      </c>
      <c r="Q2175" s="58">
        <v>480</v>
      </c>
    </row>
    <row r="2176" spans="1:17" ht="12.75" x14ac:dyDescent="0.2">
      <c r="A2176" s="85" t="s">
        <v>595</v>
      </c>
      <c r="B2176" s="85" t="s">
        <v>595</v>
      </c>
      <c r="C2176" s="85" t="s">
        <v>654</v>
      </c>
      <c r="D2176" s="56">
        <v>2016</v>
      </c>
      <c r="E2176" s="85" t="s">
        <v>650</v>
      </c>
      <c r="F2176" s="57">
        <v>859</v>
      </c>
      <c r="G2176" s="57">
        <v>12</v>
      </c>
      <c r="H2176" s="58">
        <v>12</v>
      </c>
      <c r="I2176" s="57">
        <v>0</v>
      </c>
      <c r="J2176" s="57">
        <v>469</v>
      </c>
      <c r="K2176" s="57">
        <v>3</v>
      </c>
      <c r="L2176" s="57">
        <v>3</v>
      </c>
      <c r="M2176" s="57">
        <v>0</v>
      </c>
      <c r="N2176" s="57">
        <v>530</v>
      </c>
      <c r="O2176" s="57">
        <v>2</v>
      </c>
      <c r="P2176" s="57">
        <v>1242</v>
      </c>
      <c r="Q2176" s="58">
        <v>172</v>
      </c>
    </row>
    <row r="2177" spans="1:17" ht="12.75" x14ac:dyDescent="0.2">
      <c r="A2177" s="85" t="s">
        <v>595</v>
      </c>
      <c r="B2177" s="85" t="s">
        <v>595</v>
      </c>
      <c r="C2177" s="85" t="s">
        <v>654</v>
      </c>
      <c r="D2177" s="56">
        <v>2017</v>
      </c>
      <c r="E2177" s="85" t="s">
        <v>650</v>
      </c>
      <c r="F2177" s="57">
        <v>859</v>
      </c>
      <c r="G2177" s="57">
        <v>37</v>
      </c>
      <c r="H2177" s="58">
        <v>37</v>
      </c>
      <c r="I2177" s="57">
        <v>0</v>
      </c>
      <c r="J2177" s="57">
        <v>469</v>
      </c>
      <c r="K2177" s="57">
        <v>0</v>
      </c>
      <c r="L2177" s="57">
        <v>0</v>
      </c>
      <c r="M2177" s="57">
        <v>0</v>
      </c>
      <c r="N2177" s="57">
        <v>530</v>
      </c>
      <c r="O2177" s="57">
        <v>4</v>
      </c>
      <c r="P2177" s="57">
        <v>1242</v>
      </c>
      <c r="Q2177" s="58">
        <v>424</v>
      </c>
    </row>
    <row r="2178" spans="1:17" ht="12.75" x14ac:dyDescent="0.2">
      <c r="A2178" s="85" t="s">
        <v>659</v>
      </c>
      <c r="B2178" s="85" t="s">
        <v>595</v>
      </c>
      <c r="C2178" s="85" t="s">
        <v>654</v>
      </c>
      <c r="D2178" s="56">
        <v>2015</v>
      </c>
      <c r="E2178" s="85" t="s">
        <v>650</v>
      </c>
      <c r="F2178" s="57">
        <v>153</v>
      </c>
      <c r="G2178" s="57">
        <v>0</v>
      </c>
      <c r="H2178" s="58">
        <v>0</v>
      </c>
      <c r="I2178" s="57">
        <v>0</v>
      </c>
      <c r="J2178" s="57">
        <v>103</v>
      </c>
      <c r="K2178" s="57">
        <v>1</v>
      </c>
      <c r="L2178" s="57">
        <v>0</v>
      </c>
      <c r="M2178" s="57">
        <v>1</v>
      </c>
      <c r="N2178" s="57">
        <v>102</v>
      </c>
      <c r="O2178" s="57">
        <v>6</v>
      </c>
      <c r="P2178" s="57">
        <v>555</v>
      </c>
      <c r="Q2178" s="58">
        <v>53</v>
      </c>
    </row>
    <row r="2179" spans="1:17" ht="12.75" x14ac:dyDescent="0.2">
      <c r="A2179" s="85" t="s">
        <v>659</v>
      </c>
      <c r="B2179" s="85" t="s">
        <v>595</v>
      </c>
      <c r="C2179" s="85" t="s">
        <v>654</v>
      </c>
      <c r="D2179" s="56">
        <v>2016</v>
      </c>
      <c r="E2179" s="85" t="s">
        <v>650</v>
      </c>
      <c r="F2179" s="57">
        <v>153</v>
      </c>
      <c r="G2179" s="57">
        <v>0</v>
      </c>
      <c r="H2179" s="58">
        <v>0</v>
      </c>
      <c r="I2179" s="57">
        <v>0</v>
      </c>
      <c r="J2179" s="57">
        <v>103</v>
      </c>
      <c r="K2179" s="57">
        <v>3</v>
      </c>
      <c r="L2179" s="57">
        <v>0</v>
      </c>
      <c r="M2179" s="57">
        <v>3</v>
      </c>
      <c r="N2179" s="57">
        <v>102</v>
      </c>
      <c r="O2179" s="57">
        <v>7</v>
      </c>
      <c r="P2179" s="57">
        <v>555</v>
      </c>
      <c r="Q2179" s="58">
        <v>50</v>
      </c>
    </row>
    <row r="2180" spans="1:17" ht="12.75" x14ac:dyDescent="0.2">
      <c r="A2180" s="85" t="s">
        <v>659</v>
      </c>
      <c r="B2180" s="85" t="s">
        <v>595</v>
      </c>
      <c r="C2180" s="85" t="s">
        <v>654</v>
      </c>
      <c r="D2180" s="56">
        <v>2017</v>
      </c>
      <c r="E2180" s="85" t="s">
        <v>650</v>
      </c>
      <c r="F2180" s="57">
        <v>153</v>
      </c>
      <c r="G2180" s="57">
        <v>1</v>
      </c>
      <c r="H2180" s="58">
        <v>0</v>
      </c>
      <c r="I2180" s="57">
        <v>1</v>
      </c>
      <c r="J2180" s="57">
        <v>103</v>
      </c>
      <c r="K2180" s="57">
        <v>8</v>
      </c>
      <c r="L2180" s="57">
        <v>7</v>
      </c>
      <c r="M2180" s="57">
        <v>1</v>
      </c>
      <c r="N2180" s="57">
        <v>102</v>
      </c>
      <c r="O2180" s="57">
        <v>4</v>
      </c>
      <c r="P2180" s="57">
        <v>555</v>
      </c>
      <c r="Q2180" s="58">
        <v>44</v>
      </c>
    </row>
    <row r="2181" spans="1:17" ht="12.75" x14ac:dyDescent="0.2">
      <c r="A2181" s="85" t="s">
        <v>696</v>
      </c>
      <c r="B2181" s="85" t="s">
        <v>595</v>
      </c>
      <c r="C2181" s="85" t="s">
        <v>654</v>
      </c>
      <c r="D2181" s="56">
        <v>2015</v>
      </c>
      <c r="E2181" s="85" t="s">
        <v>650</v>
      </c>
      <c r="F2181" s="57">
        <v>565</v>
      </c>
      <c r="G2181" s="57">
        <v>0</v>
      </c>
      <c r="H2181" s="58">
        <v>0</v>
      </c>
      <c r="I2181" s="57">
        <v>0</v>
      </c>
      <c r="J2181" s="57">
        <v>281</v>
      </c>
      <c r="K2181" s="57">
        <v>3</v>
      </c>
      <c r="L2181" s="57">
        <v>3</v>
      </c>
      <c r="M2181" s="57">
        <v>0</v>
      </c>
      <c r="N2181" s="57">
        <v>313</v>
      </c>
      <c r="O2181" s="57">
        <v>10</v>
      </c>
      <c r="P2181" s="57">
        <v>705</v>
      </c>
      <c r="Q2181" s="58">
        <v>28</v>
      </c>
    </row>
    <row r="2182" spans="1:17" ht="12.75" x14ac:dyDescent="0.2">
      <c r="A2182" s="85" t="s">
        <v>696</v>
      </c>
      <c r="B2182" s="85" t="s">
        <v>595</v>
      </c>
      <c r="C2182" s="85" t="s">
        <v>654</v>
      </c>
      <c r="D2182" s="56">
        <v>2016</v>
      </c>
      <c r="E2182" s="85" t="s">
        <v>650</v>
      </c>
      <c r="F2182" s="57">
        <v>565</v>
      </c>
      <c r="G2182" s="57">
        <v>0</v>
      </c>
      <c r="H2182" s="58">
        <v>0</v>
      </c>
      <c r="I2182" s="57">
        <v>0</v>
      </c>
      <c r="J2182" s="57">
        <v>281</v>
      </c>
      <c r="K2182" s="57">
        <v>1</v>
      </c>
      <c r="L2182" s="57">
        <v>1</v>
      </c>
      <c r="M2182" s="57">
        <v>0</v>
      </c>
      <c r="N2182" s="57">
        <v>313</v>
      </c>
      <c r="O2182" s="57">
        <v>13</v>
      </c>
      <c r="P2182" s="57">
        <v>705</v>
      </c>
      <c r="Q2182" s="58">
        <v>92</v>
      </c>
    </row>
    <row r="2183" spans="1:17" ht="12.75" x14ac:dyDescent="0.2">
      <c r="A2183" s="85" t="s">
        <v>696</v>
      </c>
      <c r="B2183" s="85" t="s">
        <v>595</v>
      </c>
      <c r="C2183" s="85" t="s">
        <v>654</v>
      </c>
      <c r="D2183" s="56">
        <v>2017</v>
      </c>
      <c r="E2183" s="85" t="s">
        <v>650</v>
      </c>
      <c r="F2183" s="57">
        <v>565</v>
      </c>
      <c r="G2183" s="57">
        <v>80</v>
      </c>
      <c r="H2183" s="58">
        <v>80</v>
      </c>
      <c r="I2183" s="57">
        <v>0</v>
      </c>
      <c r="J2183" s="57">
        <v>281</v>
      </c>
      <c r="K2183" s="57">
        <v>0</v>
      </c>
      <c r="L2183" s="57">
        <v>0</v>
      </c>
      <c r="M2183" s="57">
        <v>0</v>
      </c>
      <c r="N2183" s="57">
        <v>313</v>
      </c>
      <c r="O2183" s="57">
        <v>5</v>
      </c>
      <c r="P2183" s="57">
        <v>705</v>
      </c>
      <c r="Q2183" s="58">
        <v>283</v>
      </c>
    </row>
    <row r="2184" spans="1:17" ht="12.75" x14ac:dyDescent="0.2">
      <c r="A2184" s="81" t="s">
        <v>748</v>
      </c>
      <c r="B2184" s="81" t="s">
        <v>595</v>
      </c>
      <c r="C2184" s="81" t="s">
        <v>654</v>
      </c>
      <c r="D2184" s="82">
        <v>2015</v>
      </c>
      <c r="E2184" s="81" t="s">
        <v>650</v>
      </c>
      <c r="F2184" s="58">
        <v>23</v>
      </c>
      <c r="G2184" s="57">
        <v>1</v>
      </c>
      <c r="H2184" s="58">
        <v>0</v>
      </c>
      <c r="I2184" s="58">
        <v>1</v>
      </c>
      <c r="J2184" s="58">
        <v>13</v>
      </c>
      <c r="K2184" s="57">
        <v>0</v>
      </c>
      <c r="L2184" s="58">
        <v>0</v>
      </c>
      <c r="M2184" s="58">
        <v>0</v>
      </c>
      <c r="N2184" s="58">
        <v>15</v>
      </c>
      <c r="O2184" s="58">
        <v>0</v>
      </c>
      <c r="P2184" s="58">
        <v>11</v>
      </c>
      <c r="Q2184" s="58">
        <v>4</v>
      </c>
    </row>
    <row r="2185" spans="1:17" ht="12.75" x14ac:dyDescent="0.2">
      <c r="A2185" s="81" t="s">
        <v>748</v>
      </c>
      <c r="B2185" s="81" t="s">
        <v>595</v>
      </c>
      <c r="C2185" s="81" t="s">
        <v>654</v>
      </c>
      <c r="D2185" s="82">
        <v>2016</v>
      </c>
      <c r="E2185" s="81" t="s">
        <v>650</v>
      </c>
      <c r="F2185" s="58">
        <v>23</v>
      </c>
      <c r="G2185" s="57">
        <v>5</v>
      </c>
      <c r="H2185" s="58">
        <v>0</v>
      </c>
      <c r="I2185" s="58">
        <v>5</v>
      </c>
      <c r="J2185" s="58">
        <v>13</v>
      </c>
      <c r="K2185" s="57">
        <v>1</v>
      </c>
      <c r="L2185" s="58">
        <v>0</v>
      </c>
      <c r="M2185" s="58">
        <v>1</v>
      </c>
      <c r="N2185" s="58">
        <v>15</v>
      </c>
      <c r="O2185" s="58">
        <v>1</v>
      </c>
      <c r="P2185" s="58">
        <v>11</v>
      </c>
      <c r="Q2185" s="58">
        <v>8</v>
      </c>
    </row>
    <row r="2186" spans="1:17" ht="12.75" x14ac:dyDescent="0.2">
      <c r="A2186" s="81" t="s">
        <v>748</v>
      </c>
      <c r="B2186" s="81" t="s">
        <v>595</v>
      </c>
      <c r="C2186" s="81" t="s">
        <v>654</v>
      </c>
      <c r="D2186" s="82">
        <v>2017</v>
      </c>
      <c r="E2186" s="81" t="s">
        <v>650</v>
      </c>
      <c r="F2186" s="58">
        <v>23</v>
      </c>
      <c r="G2186" s="57">
        <v>6</v>
      </c>
      <c r="H2186" s="58">
        <v>0</v>
      </c>
      <c r="I2186" s="58">
        <v>6</v>
      </c>
      <c r="J2186" s="58">
        <v>13</v>
      </c>
      <c r="K2186" s="57">
        <v>1</v>
      </c>
      <c r="L2186" s="58">
        <v>0</v>
      </c>
      <c r="M2186" s="58">
        <v>1</v>
      </c>
      <c r="N2186" s="58">
        <v>15</v>
      </c>
      <c r="O2186" s="58">
        <v>1</v>
      </c>
      <c r="P2186" s="58">
        <v>11</v>
      </c>
      <c r="Q2186" s="58">
        <v>5</v>
      </c>
    </row>
    <row r="2187" spans="1:17" ht="12.75" x14ac:dyDescent="0.2">
      <c r="A2187" s="81" t="s">
        <v>212</v>
      </c>
      <c r="B2187" s="81" t="s">
        <v>595</v>
      </c>
      <c r="C2187" s="81" t="s">
        <v>654</v>
      </c>
      <c r="D2187" s="82">
        <v>2018</v>
      </c>
      <c r="E2187" s="81" t="s">
        <v>650</v>
      </c>
      <c r="F2187" s="58">
        <v>35</v>
      </c>
      <c r="G2187" s="57">
        <v>3</v>
      </c>
      <c r="H2187" s="58">
        <v>0</v>
      </c>
      <c r="I2187" s="58">
        <v>3</v>
      </c>
      <c r="J2187" s="58">
        <v>26</v>
      </c>
      <c r="K2187" s="57">
        <v>2</v>
      </c>
      <c r="L2187" s="58">
        <v>0</v>
      </c>
      <c r="M2187" s="58">
        <v>2</v>
      </c>
      <c r="N2187" s="58">
        <v>29</v>
      </c>
      <c r="O2187" s="58">
        <v>1</v>
      </c>
      <c r="P2187" s="58">
        <v>3</v>
      </c>
      <c r="Q2187" s="58">
        <v>28</v>
      </c>
    </row>
    <row r="2188" spans="1:17" ht="12.75" x14ac:dyDescent="0.2">
      <c r="A2188" s="81" t="s">
        <v>235</v>
      </c>
      <c r="B2188" s="81" t="s">
        <v>595</v>
      </c>
      <c r="C2188" s="81" t="s">
        <v>654</v>
      </c>
      <c r="D2188" s="82">
        <v>2018</v>
      </c>
      <c r="E2188" s="81" t="s">
        <v>650</v>
      </c>
      <c r="F2188" s="58">
        <v>116</v>
      </c>
      <c r="G2188" s="57">
        <v>0</v>
      </c>
      <c r="H2188" s="58">
        <v>0</v>
      </c>
      <c r="I2188" s="58">
        <v>0</v>
      </c>
      <c r="J2188" s="58">
        <v>63</v>
      </c>
      <c r="K2188" s="57">
        <v>0</v>
      </c>
      <c r="L2188" s="58">
        <v>0</v>
      </c>
      <c r="M2188" s="58">
        <v>0</v>
      </c>
      <c r="N2188" s="58">
        <v>67</v>
      </c>
      <c r="O2188" s="58">
        <v>9</v>
      </c>
      <c r="P2188" s="58">
        <v>222</v>
      </c>
      <c r="Q2188" s="58">
        <v>6</v>
      </c>
    </row>
    <row r="2189" spans="1:17" ht="12.75" x14ac:dyDescent="0.2">
      <c r="A2189" s="81" t="s">
        <v>254</v>
      </c>
      <c r="B2189" s="81" t="s">
        <v>595</v>
      </c>
      <c r="C2189" s="81" t="s">
        <v>654</v>
      </c>
      <c r="D2189" s="82">
        <v>2018</v>
      </c>
      <c r="E2189" s="81" t="s">
        <v>650</v>
      </c>
      <c r="F2189" s="58">
        <v>25</v>
      </c>
      <c r="G2189" s="57">
        <v>0</v>
      </c>
      <c r="H2189" s="58">
        <v>0</v>
      </c>
      <c r="I2189" s="58">
        <v>0</v>
      </c>
      <c r="J2189" s="58">
        <v>13</v>
      </c>
      <c r="K2189" s="57">
        <v>0</v>
      </c>
      <c r="L2189" s="58">
        <v>0</v>
      </c>
      <c r="M2189" s="58">
        <v>0</v>
      </c>
      <c r="N2189" s="58">
        <v>15</v>
      </c>
      <c r="O2189" s="58">
        <v>5</v>
      </c>
      <c r="P2189" s="58">
        <v>30</v>
      </c>
      <c r="Q2189" s="58">
        <v>1</v>
      </c>
    </row>
    <row r="2190" spans="1:17" ht="12.75" x14ac:dyDescent="0.2">
      <c r="A2190" s="81" t="s">
        <v>259</v>
      </c>
      <c r="B2190" s="81" t="s">
        <v>595</v>
      </c>
      <c r="C2190" s="81" t="s">
        <v>654</v>
      </c>
      <c r="D2190" s="82">
        <v>2018</v>
      </c>
      <c r="E2190" s="81" t="s">
        <v>650</v>
      </c>
      <c r="F2190" s="58">
        <v>276</v>
      </c>
      <c r="G2190" s="57">
        <v>0</v>
      </c>
      <c r="H2190" s="58">
        <v>0</v>
      </c>
      <c r="I2190" s="58">
        <v>0</v>
      </c>
      <c r="J2190" s="58">
        <v>144</v>
      </c>
      <c r="K2190" s="57">
        <v>0</v>
      </c>
      <c r="L2190" s="58">
        <v>0</v>
      </c>
      <c r="M2190" s="58">
        <v>0</v>
      </c>
      <c r="N2190" s="58">
        <v>155</v>
      </c>
      <c r="O2190" s="58">
        <v>29</v>
      </c>
      <c r="P2190" s="58">
        <v>288</v>
      </c>
      <c r="Q2190" s="58">
        <v>271</v>
      </c>
    </row>
    <row r="2191" spans="1:17" ht="12.75" x14ac:dyDescent="0.2">
      <c r="A2191" s="81" t="s">
        <v>307</v>
      </c>
      <c r="B2191" s="81" t="s">
        <v>595</v>
      </c>
      <c r="C2191" s="81" t="s">
        <v>654</v>
      </c>
      <c r="D2191" s="82">
        <v>2018</v>
      </c>
      <c r="E2191" s="81" t="s">
        <v>650</v>
      </c>
      <c r="F2191" s="58">
        <v>20</v>
      </c>
      <c r="G2191" s="57">
        <v>31</v>
      </c>
      <c r="H2191" s="58">
        <v>31</v>
      </c>
      <c r="I2191" s="58">
        <v>0</v>
      </c>
      <c r="J2191" s="58">
        <v>8</v>
      </c>
      <c r="K2191" s="57">
        <v>34</v>
      </c>
      <c r="L2191" s="58">
        <v>34</v>
      </c>
      <c r="M2191" s="58">
        <v>0</v>
      </c>
      <c r="N2191" s="58">
        <v>9</v>
      </c>
      <c r="O2191" s="58">
        <v>0</v>
      </c>
      <c r="P2191" s="58">
        <v>22</v>
      </c>
      <c r="Q2191" s="58">
        <v>4</v>
      </c>
    </row>
    <row r="2192" spans="1:17" ht="12.75" x14ac:dyDescent="0.2">
      <c r="A2192" s="81" t="s">
        <v>330</v>
      </c>
      <c r="B2192" s="81" t="s">
        <v>595</v>
      </c>
      <c r="C2192" s="81" t="s">
        <v>654</v>
      </c>
      <c r="D2192" s="82">
        <v>2018</v>
      </c>
      <c r="E2192" s="81" t="s">
        <v>650</v>
      </c>
      <c r="F2192" s="58">
        <v>400</v>
      </c>
      <c r="G2192" s="57">
        <v>0</v>
      </c>
      <c r="H2192" s="58">
        <v>0</v>
      </c>
      <c r="I2192" s="58">
        <v>0</v>
      </c>
      <c r="J2192" s="58">
        <v>188</v>
      </c>
      <c r="K2192" s="57">
        <v>37</v>
      </c>
      <c r="L2192" s="58">
        <v>0</v>
      </c>
      <c r="M2192" s="58">
        <v>37</v>
      </c>
      <c r="N2192" s="58">
        <v>221</v>
      </c>
      <c r="O2192" s="58">
        <v>37</v>
      </c>
      <c r="P2192" s="58">
        <v>541</v>
      </c>
      <c r="Q2192" s="58">
        <v>22</v>
      </c>
    </row>
    <row r="2193" spans="1:17" ht="12.75" x14ac:dyDescent="0.2">
      <c r="A2193" s="81" t="s">
        <v>350</v>
      </c>
      <c r="B2193" s="81" t="s">
        <v>595</v>
      </c>
      <c r="C2193" s="81" t="s">
        <v>654</v>
      </c>
      <c r="D2193" s="82">
        <v>2018</v>
      </c>
      <c r="E2193" s="81" t="s">
        <v>650</v>
      </c>
      <c r="F2193" s="58">
        <v>64</v>
      </c>
      <c r="G2193" s="85"/>
      <c r="H2193" s="86"/>
      <c r="I2193" s="86"/>
      <c r="J2193" s="58">
        <v>54</v>
      </c>
      <c r="K2193" s="85"/>
      <c r="L2193" s="86"/>
      <c r="M2193" s="86"/>
      <c r="N2193" s="58">
        <v>83</v>
      </c>
      <c r="O2193" s="86"/>
      <c r="P2193" s="58">
        <v>266</v>
      </c>
      <c r="Q2193" s="86"/>
    </row>
    <row r="2194" spans="1:17" ht="12.75" x14ac:dyDescent="0.2">
      <c r="A2194" s="81" t="s">
        <v>389</v>
      </c>
      <c r="B2194" s="81" t="s">
        <v>595</v>
      </c>
      <c r="C2194" s="81" t="s">
        <v>654</v>
      </c>
      <c r="D2194" s="82">
        <v>2018</v>
      </c>
      <c r="E2194" s="81" t="s">
        <v>650</v>
      </c>
      <c r="F2194" s="58">
        <v>148</v>
      </c>
      <c r="G2194" s="85"/>
      <c r="H2194" s="86"/>
      <c r="I2194" s="86"/>
      <c r="J2194" s="58">
        <v>87</v>
      </c>
      <c r="K2194" s="85"/>
      <c r="L2194" s="86"/>
      <c r="M2194" s="86"/>
      <c r="N2194" s="58">
        <v>76</v>
      </c>
      <c r="O2194" s="86"/>
      <c r="P2194" s="58">
        <v>119</v>
      </c>
      <c r="Q2194" s="86"/>
    </row>
    <row r="2195" spans="1:17" ht="12.75" x14ac:dyDescent="0.2">
      <c r="A2195" s="81" t="s">
        <v>415</v>
      </c>
      <c r="B2195" s="81" t="s">
        <v>595</v>
      </c>
      <c r="C2195" s="81" t="s">
        <v>654</v>
      </c>
      <c r="D2195" s="82">
        <v>2018</v>
      </c>
      <c r="E2195" s="81" t="s">
        <v>650</v>
      </c>
      <c r="F2195" s="58">
        <v>52</v>
      </c>
      <c r="G2195" s="57">
        <v>0</v>
      </c>
      <c r="H2195" s="58">
        <v>0</v>
      </c>
      <c r="I2195" s="58">
        <v>0</v>
      </c>
      <c r="J2195" s="58">
        <v>31</v>
      </c>
      <c r="K2195" s="57">
        <v>0</v>
      </c>
      <c r="L2195" s="58">
        <v>0</v>
      </c>
      <c r="M2195" s="58">
        <v>0</v>
      </c>
      <c r="N2195" s="58">
        <v>36</v>
      </c>
      <c r="O2195" s="58">
        <v>3</v>
      </c>
      <c r="P2195" s="58">
        <v>121</v>
      </c>
      <c r="Q2195" s="58">
        <v>10</v>
      </c>
    </row>
    <row r="2196" spans="1:17" ht="12.75" x14ac:dyDescent="0.2">
      <c r="A2196" s="81" t="s">
        <v>429</v>
      </c>
      <c r="B2196" s="81" t="s">
        <v>595</v>
      </c>
      <c r="C2196" s="81" t="s">
        <v>654</v>
      </c>
      <c r="D2196" s="82">
        <v>2018</v>
      </c>
      <c r="E2196" s="81" t="s">
        <v>650</v>
      </c>
      <c r="F2196" s="58">
        <v>32</v>
      </c>
      <c r="G2196" s="57">
        <v>6</v>
      </c>
      <c r="H2196" s="58">
        <v>0</v>
      </c>
      <c r="I2196" s="58">
        <v>6</v>
      </c>
      <c r="J2196" s="58">
        <v>17</v>
      </c>
      <c r="K2196" s="57">
        <v>4</v>
      </c>
      <c r="L2196" s="58">
        <v>0</v>
      </c>
      <c r="M2196" s="58">
        <v>4</v>
      </c>
      <c r="N2196" s="58">
        <v>21</v>
      </c>
      <c r="O2196" s="58">
        <v>3</v>
      </c>
      <c r="P2196" s="58">
        <v>21</v>
      </c>
      <c r="Q2196" s="58">
        <v>3</v>
      </c>
    </row>
    <row r="2197" spans="1:17" ht="12.75" x14ac:dyDescent="0.2">
      <c r="A2197" s="81" t="s">
        <v>541</v>
      </c>
      <c r="B2197" s="81" t="s">
        <v>595</v>
      </c>
      <c r="C2197" s="81" t="s">
        <v>654</v>
      </c>
      <c r="D2197" s="82">
        <v>2018</v>
      </c>
      <c r="E2197" s="81" t="s">
        <v>650</v>
      </c>
      <c r="F2197" s="58">
        <v>233</v>
      </c>
      <c r="G2197" s="57">
        <v>9</v>
      </c>
      <c r="H2197" s="58">
        <v>0</v>
      </c>
      <c r="I2197" s="58">
        <v>9</v>
      </c>
      <c r="J2197" s="58">
        <v>129</v>
      </c>
      <c r="K2197" s="57">
        <v>6</v>
      </c>
      <c r="L2197" s="58">
        <v>1</v>
      </c>
      <c r="M2197" s="58">
        <v>5</v>
      </c>
      <c r="N2197" s="58">
        <v>143</v>
      </c>
      <c r="O2197" s="58">
        <v>3</v>
      </c>
      <c r="P2197" s="58">
        <v>150</v>
      </c>
      <c r="Q2197" s="58">
        <v>26</v>
      </c>
    </row>
    <row r="2198" spans="1:17" ht="12.75" x14ac:dyDescent="0.2">
      <c r="A2198" s="81" t="s">
        <v>545</v>
      </c>
      <c r="B2198" s="81" t="s">
        <v>595</v>
      </c>
      <c r="C2198" s="81" t="s">
        <v>654</v>
      </c>
      <c r="D2198" s="82">
        <v>2018</v>
      </c>
      <c r="E2198" s="81" t="s">
        <v>650</v>
      </c>
      <c r="F2198" s="58">
        <v>193</v>
      </c>
      <c r="G2198" s="85"/>
      <c r="H2198" s="86"/>
      <c r="I2198" s="86"/>
      <c r="J2198" s="58">
        <v>101</v>
      </c>
      <c r="K2198" s="85"/>
      <c r="L2198" s="86"/>
      <c r="M2198" s="86"/>
      <c r="N2198" s="58">
        <v>112</v>
      </c>
      <c r="O2198" s="86"/>
      <c r="P2198" s="58">
        <v>257</v>
      </c>
      <c r="Q2198" s="86"/>
    </row>
    <row r="2199" spans="1:17" ht="12.75" x14ac:dyDescent="0.2">
      <c r="A2199" s="81" t="s">
        <v>585</v>
      </c>
      <c r="B2199" s="81" t="s">
        <v>595</v>
      </c>
      <c r="C2199" s="81" t="s">
        <v>654</v>
      </c>
      <c r="D2199" s="82">
        <v>2018</v>
      </c>
      <c r="E2199" s="81" t="s">
        <v>650</v>
      </c>
      <c r="F2199" s="58">
        <v>121</v>
      </c>
      <c r="G2199" s="57">
        <v>0</v>
      </c>
      <c r="H2199" s="58">
        <v>0</v>
      </c>
      <c r="I2199" s="58">
        <v>0</v>
      </c>
      <c r="J2199" s="58">
        <v>68</v>
      </c>
      <c r="K2199" s="57">
        <v>0</v>
      </c>
      <c r="L2199" s="58">
        <v>0</v>
      </c>
      <c r="M2199" s="58">
        <v>0</v>
      </c>
      <c r="N2199" s="58">
        <v>70</v>
      </c>
      <c r="O2199" s="58">
        <v>0</v>
      </c>
      <c r="P2199" s="58">
        <v>154</v>
      </c>
      <c r="Q2199" s="58">
        <v>26</v>
      </c>
    </row>
    <row r="2200" spans="1:17" ht="12.75" x14ac:dyDescent="0.2">
      <c r="A2200" s="81" t="s">
        <v>607</v>
      </c>
      <c r="B2200" s="81" t="s">
        <v>595</v>
      </c>
      <c r="C2200" s="81" t="s">
        <v>654</v>
      </c>
      <c r="D2200" s="82">
        <v>2018</v>
      </c>
      <c r="E2200" s="81" t="s">
        <v>650</v>
      </c>
      <c r="F2200" s="58">
        <v>21</v>
      </c>
      <c r="G2200" s="57">
        <v>4</v>
      </c>
      <c r="H2200" s="58">
        <v>0</v>
      </c>
      <c r="I2200" s="58">
        <v>4</v>
      </c>
      <c r="J2200" s="58">
        <v>15</v>
      </c>
      <c r="K2200" s="57">
        <v>1</v>
      </c>
      <c r="L2200" s="58">
        <v>0</v>
      </c>
      <c r="M2200" s="58">
        <v>1</v>
      </c>
      <c r="N2200" s="58">
        <v>15</v>
      </c>
      <c r="O2200" s="58">
        <v>1</v>
      </c>
      <c r="P2200" s="58">
        <v>13</v>
      </c>
      <c r="Q2200" s="58">
        <v>2</v>
      </c>
    </row>
    <row r="2201" spans="1:17" ht="12.75" x14ac:dyDescent="0.2">
      <c r="A2201" s="81" t="s">
        <v>618</v>
      </c>
      <c r="B2201" s="81" t="s">
        <v>595</v>
      </c>
      <c r="C2201" s="81" t="s">
        <v>654</v>
      </c>
      <c r="D2201" s="82">
        <v>2018</v>
      </c>
      <c r="E2201" s="81" t="s">
        <v>650</v>
      </c>
      <c r="F2201" s="58">
        <v>706</v>
      </c>
      <c r="G2201" s="57">
        <v>0</v>
      </c>
      <c r="H2201" s="58">
        <v>0</v>
      </c>
      <c r="I2201" s="58">
        <v>0</v>
      </c>
      <c r="J2201" s="58">
        <v>429</v>
      </c>
      <c r="K2201" s="57">
        <v>58</v>
      </c>
      <c r="L2201" s="58">
        <v>35</v>
      </c>
      <c r="M2201" s="58">
        <v>23</v>
      </c>
      <c r="N2201" s="58">
        <v>502</v>
      </c>
      <c r="O2201" s="58">
        <v>0</v>
      </c>
      <c r="P2201" s="58">
        <v>1152</v>
      </c>
      <c r="Q2201" s="58">
        <v>348</v>
      </c>
    </row>
    <row r="2202" spans="1:17" ht="12.75" x14ac:dyDescent="0.2">
      <c r="A2202" s="81" t="s">
        <v>641</v>
      </c>
      <c r="B2202" s="81" t="s">
        <v>595</v>
      </c>
      <c r="C2202" s="81" t="s">
        <v>654</v>
      </c>
      <c r="D2202" s="82">
        <v>2018</v>
      </c>
      <c r="E2202" s="81" t="s">
        <v>650</v>
      </c>
      <c r="F2202" s="58">
        <v>358</v>
      </c>
      <c r="G2202" s="57">
        <v>0</v>
      </c>
      <c r="H2202" s="58">
        <v>0</v>
      </c>
      <c r="I2202" s="58">
        <v>0</v>
      </c>
      <c r="J2202" s="58">
        <v>161</v>
      </c>
      <c r="K2202" s="57">
        <v>6</v>
      </c>
      <c r="L2202" s="58">
        <v>0</v>
      </c>
      <c r="M2202" s="58">
        <v>6</v>
      </c>
      <c r="N2202" s="58">
        <v>205</v>
      </c>
      <c r="O2202" s="58">
        <v>0</v>
      </c>
      <c r="P2202" s="58">
        <v>431</v>
      </c>
      <c r="Q2202" s="58">
        <v>0</v>
      </c>
    </row>
    <row r="2203" spans="1:17" ht="12.75" x14ac:dyDescent="0.2">
      <c r="A2203" s="81" t="s">
        <v>643</v>
      </c>
      <c r="B2203" s="81" t="s">
        <v>595</v>
      </c>
      <c r="C2203" s="81" t="s">
        <v>654</v>
      </c>
      <c r="D2203" s="82">
        <v>2018</v>
      </c>
      <c r="E2203" s="81" t="s">
        <v>650</v>
      </c>
      <c r="F2203" s="58">
        <v>195</v>
      </c>
      <c r="G2203" s="57">
        <v>0</v>
      </c>
      <c r="H2203" s="58">
        <v>0</v>
      </c>
      <c r="I2203" s="58">
        <v>0</v>
      </c>
      <c r="J2203" s="58">
        <v>107</v>
      </c>
      <c r="K2203" s="57">
        <v>0</v>
      </c>
      <c r="L2203" s="58">
        <v>0</v>
      </c>
      <c r="M2203" s="58">
        <v>0</v>
      </c>
      <c r="N2203" s="58">
        <v>111</v>
      </c>
      <c r="O2203" s="58">
        <v>0</v>
      </c>
      <c r="P2203" s="58">
        <v>183</v>
      </c>
      <c r="Q2203" s="58">
        <v>32</v>
      </c>
    </row>
    <row r="2204" spans="1:17" ht="12.75" x14ac:dyDescent="0.2">
      <c r="A2204" s="81" t="s">
        <v>595</v>
      </c>
      <c r="B2204" s="81" t="s">
        <v>595</v>
      </c>
      <c r="C2204" s="81" t="s">
        <v>654</v>
      </c>
      <c r="D2204" s="82">
        <v>2018</v>
      </c>
      <c r="E2204" s="81" t="s">
        <v>650</v>
      </c>
      <c r="F2204" s="58">
        <v>859</v>
      </c>
      <c r="G2204" s="57">
        <v>0</v>
      </c>
      <c r="H2204" s="58">
        <v>0</v>
      </c>
      <c r="I2204" s="58">
        <v>0</v>
      </c>
      <c r="J2204" s="58">
        <v>469</v>
      </c>
      <c r="K2204" s="57">
        <v>21</v>
      </c>
      <c r="L2204" s="58">
        <v>0</v>
      </c>
      <c r="M2204" s="58">
        <v>21</v>
      </c>
      <c r="N2204" s="58">
        <v>530</v>
      </c>
      <c r="O2204" s="58">
        <v>0</v>
      </c>
      <c r="P2204" s="58">
        <v>1242</v>
      </c>
      <c r="Q2204" s="58">
        <v>62</v>
      </c>
    </row>
    <row r="2205" spans="1:17" ht="12.75" x14ac:dyDescent="0.2">
      <c r="A2205" s="81" t="s">
        <v>659</v>
      </c>
      <c r="B2205" s="81" t="s">
        <v>595</v>
      </c>
      <c r="C2205" s="81" t="s">
        <v>654</v>
      </c>
      <c r="D2205" s="82">
        <v>2018</v>
      </c>
      <c r="E2205" s="81" t="s">
        <v>650</v>
      </c>
      <c r="F2205" s="58">
        <v>153</v>
      </c>
      <c r="G2205" s="57">
        <v>0</v>
      </c>
      <c r="H2205" s="58">
        <v>0</v>
      </c>
      <c r="I2205" s="58">
        <v>0</v>
      </c>
      <c r="J2205" s="58">
        <v>103</v>
      </c>
      <c r="K2205" s="57">
        <v>21</v>
      </c>
      <c r="L2205" s="58">
        <v>0</v>
      </c>
      <c r="M2205" s="58">
        <v>21</v>
      </c>
      <c r="N2205" s="58">
        <v>102</v>
      </c>
      <c r="O2205" s="58">
        <v>0</v>
      </c>
      <c r="P2205" s="58">
        <v>555</v>
      </c>
      <c r="Q2205" s="58">
        <v>62</v>
      </c>
    </row>
    <row r="2206" spans="1:17" ht="12.75" x14ac:dyDescent="0.2">
      <c r="A2206" s="81" t="s">
        <v>696</v>
      </c>
      <c r="B2206" s="81" t="s">
        <v>595</v>
      </c>
      <c r="C2206" s="81" t="s">
        <v>654</v>
      </c>
      <c r="D2206" s="82">
        <v>2018</v>
      </c>
      <c r="E2206" s="81" t="s">
        <v>650</v>
      </c>
      <c r="F2206" s="58">
        <v>565</v>
      </c>
      <c r="G2206" s="57">
        <v>0</v>
      </c>
      <c r="H2206" s="58">
        <v>0</v>
      </c>
      <c r="I2206" s="58">
        <v>0</v>
      </c>
      <c r="J2206" s="58">
        <v>281</v>
      </c>
      <c r="K2206" s="57">
        <v>0</v>
      </c>
      <c r="L2206" s="58">
        <v>0</v>
      </c>
      <c r="M2206" s="58">
        <v>0</v>
      </c>
      <c r="N2206" s="58">
        <v>313</v>
      </c>
      <c r="O2206" s="58">
        <v>5</v>
      </c>
      <c r="P2206" s="58">
        <v>705</v>
      </c>
      <c r="Q2206" s="58">
        <v>162</v>
      </c>
    </row>
    <row r="2207" spans="1:17" ht="12.75" x14ac:dyDescent="0.2">
      <c r="A2207" s="81" t="s">
        <v>748</v>
      </c>
      <c r="B2207" s="81" t="s">
        <v>595</v>
      </c>
      <c r="C2207" s="81" t="s">
        <v>654</v>
      </c>
      <c r="D2207" s="82">
        <v>2018</v>
      </c>
      <c r="E2207" s="81" t="s">
        <v>650</v>
      </c>
      <c r="F2207" s="58">
        <v>23</v>
      </c>
      <c r="G2207" s="57">
        <v>11</v>
      </c>
      <c r="H2207" s="58">
        <v>0</v>
      </c>
      <c r="I2207" s="58">
        <v>11</v>
      </c>
      <c r="J2207" s="58">
        <v>13</v>
      </c>
      <c r="K2207" s="57">
        <v>2</v>
      </c>
      <c r="L2207" s="58">
        <v>0</v>
      </c>
      <c r="M2207" s="58">
        <v>2</v>
      </c>
      <c r="N2207" s="58">
        <v>15</v>
      </c>
      <c r="O2207" s="58">
        <v>1</v>
      </c>
      <c r="P2207" s="58">
        <v>11</v>
      </c>
      <c r="Q2207" s="58">
        <v>7</v>
      </c>
    </row>
    <row r="2208" spans="1:17" ht="12.75" x14ac:dyDescent="0.2">
      <c r="A2208" s="85" t="s">
        <v>255</v>
      </c>
      <c r="B2208" s="85" t="s">
        <v>602</v>
      </c>
      <c r="C2208" s="85" t="s">
        <v>732</v>
      </c>
      <c r="D2208" s="56">
        <v>2014</v>
      </c>
      <c r="E2208" s="85" t="s">
        <v>650</v>
      </c>
      <c r="F2208" s="57">
        <v>66</v>
      </c>
      <c r="G2208" s="57">
        <v>0</v>
      </c>
      <c r="H2208" s="58">
        <v>0</v>
      </c>
      <c r="I2208" s="57">
        <v>0</v>
      </c>
      <c r="J2208" s="57">
        <v>44</v>
      </c>
      <c r="K2208" s="57">
        <v>0</v>
      </c>
      <c r="L2208" s="57">
        <v>0</v>
      </c>
      <c r="M2208" s="57">
        <v>0</v>
      </c>
      <c r="N2208" s="57">
        <v>41</v>
      </c>
      <c r="O2208" s="57">
        <v>0</v>
      </c>
      <c r="P2208" s="57">
        <v>124</v>
      </c>
      <c r="Q2208" s="58">
        <v>0</v>
      </c>
    </row>
    <row r="2209" spans="1:17" ht="12.75" x14ac:dyDescent="0.2">
      <c r="A2209" s="85" t="s">
        <v>255</v>
      </c>
      <c r="B2209" s="85" t="s">
        <v>602</v>
      </c>
      <c r="C2209" s="85" t="s">
        <v>732</v>
      </c>
      <c r="D2209" s="56">
        <v>2015</v>
      </c>
      <c r="E2209" s="85" t="s">
        <v>650</v>
      </c>
      <c r="F2209" s="57">
        <v>66</v>
      </c>
      <c r="G2209" s="57">
        <v>5</v>
      </c>
      <c r="H2209" s="58">
        <v>5</v>
      </c>
      <c r="I2209" s="57">
        <v>0</v>
      </c>
      <c r="J2209" s="57">
        <v>44</v>
      </c>
      <c r="K2209" s="57">
        <v>4</v>
      </c>
      <c r="L2209" s="57">
        <v>4</v>
      </c>
      <c r="M2209" s="57">
        <v>0</v>
      </c>
      <c r="N2209" s="57">
        <v>41</v>
      </c>
      <c r="O2209" s="57">
        <v>60</v>
      </c>
      <c r="P2209" s="57">
        <v>124</v>
      </c>
      <c r="Q2209" s="58">
        <v>0</v>
      </c>
    </row>
    <row r="2210" spans="1:17" ht="12.75" x14ac:dyDescent="0.2">
      <c r="A2210" s="85" t="s">
        <v>255</v>
      </c>
      <c r="B2210" s="85" t="s">
        <v>602</v>
      </c>
      <c r="C2210" s="85" t="s">
        <v>732</v>
      </c>
      <c r="D2210" s="56">
        <v>2016</v>
      </c>
      <c r="E2210" s="85" t="s">
        <v>650</v>
      </c>
      <c r="F2210" s="57">
        <v>66</v>
      </c>
      <c r="G2210" s="57">
        <v>0</v>
      </c>
      <c r="H2210" s="58">
        <v>0</v>
      </c>
      <c r="I2210" s="57">
        <v>0</v>
      </c>
      <c r="J2210" s="57">
        <v>44</v>
      </c>
      <c r="K2210" s="57">
        <v>0</v>
      </c>
      <c r="L2210" s="57">
        <v>0</v>
      </c>
      <c r="M2210" s="57">
        <v>0</v>
      </c>
      <c r="N2210" s="57">
        <v>41</v>
      </c>
      <c r="O2210" s="57">
        <v>0</v>
      </c>
      <c r="P2210" s="57">
        <v>124</v>
      </c>
      <c r="Q2210" s="58">
        <v>51</v>
      </c>
    </row>
    <row r="2211" spans="1:17" ht="12.75" x14ac:dyDescent="0.2">
      <c r="A2211" s="85" t="s">
        <v>255</v>
      </c>
      <c r="B2211" s="85" t="s">
        <v>602</v>
      </c>
      <c r="C2211" s="85" t="s">
        <v>732</v>
      </c>
      <c r="D2211" s="56">
        <v>2017</v>
      </c>
      <c r="E2211" s="85" t="s">
        <v>650</v>
      </c>
      <c r="F2211" s="57">
        <v>66</v>
      </c>
      <c r="G2211" s="57">
        <v>0</v>
      </c>
      <c r="H2211" s="58">
        <v>0</v>
      </c>
      <c r="I2211" s="57">
        <v>0</v>
      </c>
      <c r="J2211" s="57">
        <v>44</v>
      </c>
      <c r="K2211" s="57">
        <v>0</v>
      </c>
      <c r="L2211" s="57">
        <v>0</v>
      </c>
      <c r="M2211" s="57">
        <v>0</v>
      </c>
      <c r="N2211" s="57">
        <v>41</v>
      </c>
      <c r="O2211" s="57">
        <v>1</v>
      </c>
      <c r="P2211" s="57">
        <v>124</v>
      </c>
      <c r="Q2211" s="58">
        <v>38</v>
      </c>
    </row>
    <row r="2212" spans="1:17" ht="12.75" x14ac:dyDescent="0.2">
      <c r="A2212" s="85" t="s">
        <v>278</v>
      </c>
      <c r="B2212" s="85" t="s">
        <v>602</v>
      </c>
      <c r="C2212" s="85" t="s">
        <v>732</v>
      </c>
      <c r="D2212" s="56">
        <v>2014</v>
      </c>
      <c r="E2212" s="85" t="s">
        <v>650</v>
      </c>
      <c r="F2212" s="57">
        <v>39</v>
      </c>
      <c r="G2212" s="57">
        <v>33</v>
      </c>
      <c r="H2212" s="58">
        <v>33</v>
      </c>
      <c r="I2212" s="57">
        <v>0</v>
      </c>
      <c r="J2212" s="57">
        <v>26</v>
      </c>
      <c r="K2212" s="57">
        <v>9</v>
      </c>
      <c r="L2212" s="57">
        <v>9</v>
      </c>
      <c r="M2212" s="57">
        <v>0</v>
      </c>
      <c r="N2212" s="57">
        <v>34</v>
      </c>
      <c r="O2212" s="57">
        <v>0</v>
      </c>
      <c r="P2212" s="57">
        <v>64</v>
      </c>
      <c r="Q2212" s="58">
        <v>46</v>
      </c>
    </row>
    <row r="2213" spans="1:17" ht="12.75" x14ac:dyDescent="0.2">
      <c r="A2213" s="85" t="s">
        <v>278</v>
      </c>
      <c r="B2213" s="85" t="s">
        <v>602</v>
      </c>
      <c r="C2213" s="85" t="s">
        <v>732</v>
      </c>
      <c r="D2213" s="56">
        <v>2015</v>
      </c>
      <c r="E2213" s="85" t="s">
        <v>650</v>
      </c>
      <c r="F2213" s="57">
        <v>39</v>
      </c>
      <c r="G2213" s="57">
        <v>0</v>
      </c>
      <c r="H2213" s="58">
        <v>0</v>
      </c>
      <c r="I2213" s="57">
        <v>0</v>
      </c>
      <c r="J2213" s="57">
        <v>26</v>
      </c>
      <c r="K2213" s="57">
        <v>0</v>
      </c>
      <c r="L2213" s="57">
        <v>0</v>
      </c>
      <c r="M2213" s="57">
        <v>0</v>
      </c>
      <c r="N2213" s="57">
        <v>34</v>
      </c>
      <c r="O2213" s="57">
        <v>0</v>
      </c>
      <c r="P2213" s="57">
        <v>64</v>
      </c>
      <c r="Q2213" s="58">
        <v>5</v>
      </c>
    </row>
    <row r="2214" spans="1:17" ht="12.75" x14ac:dyDescent="0.2">
      <c r="A2214" s="85" t="s">
        <v>278</v>
      </c>
      <c r="B2214" s="85" t="s">
        <v>602</v>
      </c>
      <c r="C2214" s="85" t="s">
        <v>732</v>
      </c>
      <c r="D2214" s="56">
        <v>2016</v>
      </c>
      <c r="E2214" s="85" t="s">
        <v>650</v>
      </c>
      <c r="F2214" s="57">
        <v>39</v>
      </c>
      <c r="G2214" s="57">
        <v>0</v>
      </c>
      <c r="H2214" s="58">
        <v>0</v>
      </c>
      <c r="I2214" s="57">
        <v>0</v>
      </c>
      <c r="J2214" s="57">
        <v>26</v>
      </c>
      <c r="K2214" s="57">
        <v>0</v>
      </c>
      <c r="L2214" s="57">
        <v>0</v>
      </c>
      <c r="M2214" s="57">
        <v>0</v>
      </c>
      <c r="N2214" s="57">
        <v>34</v>
      </c>
      <c r="O2214" s="57">
        <v>0</v>
      </c>
      <c r="P2214" s="57">
        <v>64</v>
      </c>
      <c r="Q2214" s="58">
        <v>4</v>
      </c>
    </row>
    <row r="2215" spans="1:17" ht="12.75" x14ac:dyDescent="0.2">
      <c r="A2215" s="85" t="s">
        <v>278</v>
      </c>
      <c r="B2215" s="85" t="s">
        <v>602</v>
      </c>
      <c r="C2215" s="85" t="s">
        <v>732</v>
      </c>
      <c r="D2215" s="56">
        <v>2017</v>
      </c>
      <c r="E2215" s="85" t="s">
        <v>650</v>
      </c>
      <c r="F2215" s="57">
        <v>39</v>
      </c>
      <c r="G2215" s="57">
        <v>0</v>
      </c>
      <c r="H2215" s="58">
        <v>0</v>
      </c>
      <c r="I2215" s="57">
        <v>0</v>
      </c>
      <c r="J2215" s="57">
        <v>26</v>
      </c>
      <c r="K2215" s="57">
        <v>3</v>
      </c>
      <c r="L2215" s="57">
        <v>3</v>
      </c>
      <c r="M2215" s="57">
        <v>0</v>
      </c>
      <c r="N2215" s="57">
        <v>34</v>
      </c>
      <c r="O2215" s="57">
        <v>0</v>
      </c>
      <c r="P2215" s="57">
        <v>64</v>
      </c>
      <c r="Q2215" s="58">
        <v>0</v>
      </c>
    </row>
    <row r="2216" spans="1:17" ht="12.75" x14ac:dyDescent="0.2">
      <c r="A2216" s="85" t="s">
        <v>402</v>
      </c>
      <c r="B2216" s="85" t="s">
        <v>602</v>
      </c>
      <c r="C2216" s="85" t="s">
        <v>732</v>
      </c>
      <c r="D2216" s="56">
        <v>2014</v>
      </c>
      <c r="E2216" s="85" t="s">
        <v>650</v>
      </c>
      <c r="F2216" s="57">
        <v>235</v>
      </c>
      <c r="G2216" s="57">
        <v>0</v>
      </c>
      <c r="H2216" s="58">
        <v>0</v>
      </c>
      <c r="I2216" s="57">
        <v>0</v>
      </c>
      <c r="J2216" s="57">
        <v>157</v>
      </c>
      <c r="K2216" s="57">
        <v>0</v>
      </c>
      <c r="L2216" s="57">
        <v>0</v>
      </c>
      <c r="M2216" s="57">
        <v>0</v>
      </c>
      <c r="N2216" s="57">
        <v>174</v>
      </c>
      <c r="O2216" s="57">
        <v>0</v>
      </c>
      <c r="P2216" s="57">
        <v>413</v>
      </c>
      <c r="Q2216" s="58">
        <v>132</v>
      </c>
    </row>
    <row r="2217" spans="1:17" ht="12.75" x14ac:dyDescent="0.2">
      <c r="A2217" s="85" t="s">
        <v>402</v>
      </c>
      <c r="B2217" s="85" t="s">
        <v>602</v>
      </c>
      <c r="C2217" s="85" t="s">
        <v>732</v>
      </c>
      <c r="D2217" s="56">
        <v>2015</v>
      </c>
      <c r="E2217" s="85" t="s">
        <v>650</v>
      </c>
      <c r="F2217" s="57">
        <v>235</v>
      </c>
      <c r="G2217" s="57">
        <v>0</v>
      </c>
      <c r="H2217" s="58">
        <v>0</v>
      </c>
      <c r="I2217" s="57">
        <v>0</v>
      </c>
      <c r="J2217" s="57">
        <v>157</v>
      </c>
      <c r="K2217" s="57">
        <v>0</v>
      </c>
      <c r="L2217" s="57">
        <v>0</v>
      </c>
      <c r="M2217" s="57">
        <v>0</v>
      </c>
      <c r="N2217" s="57">
        <v>174</v>
      </c>
      <c r="O2217" s="57">
        <v>5</v>
      </c>
      <c r="P2217" s="57">
        <v>413</v>
      </c>
      <c r="Q2217" s="58">
        <v>197</v>
      </c>
    </row>
    <row r="2218" spans="1:17" ht="12.75" x14ac:dyDescent="0.2">
      <c r="A2218" s="85" t="s">
        <v>402</v>
      </c>
      <c r="B2218" s="85" t="s">
        <v>602</v>
      </c>
      <c r="C2218" s="85" t="s">
        <v>732</v>
      </c>
      <c r="D2218" s="56">
        <v>2016</v>
      </c>
      <c r="E2218" s="85" t="s">
        <v>650</v>
      </c>
      <c r="F2218" s="57">
        <v>235</v>
      </c>
      <c r="G2218" s="57">
        <v>0</v>
      </c>
      <c r="H2218" s="58">
        <v>0</v>
      </c>
      <c r="I2218" s="57">
        <v>0</v>
      </c>
      <c r="J2218" s="57">
        <v>157</v>
      </c>
      <c r="K2218" s="57">
        <v>0</v>
      </c>
      <c r="L2218" s="57">
        <v>0</v>
      </c>
      <c r="M2218" s="57">
        <v>0</v>
      </c>
      <c r="N2218" s="57">
        <v>174</v>
      </c>
      <c r="O2218" s="57">
        <v>0</v>
      </c>
      <c r="P2218" s="57">
        <v>413</v>
      </c>
      <c r="Q2218" s="58">
        <v>135</v>
      </c>
    </row>
    <row r="2219" spans="1:17" ht="12.75" x14ac:dyDescent="0.2">
      <c r="A2219" s="85" t="s">
        <v>402</v>
      </c>
      <c r="B2219" s="85" t="s">
        <v>602</v>
      </c>
      <c r="C2219" s="85" t="s">
        <v>732</v>
      </c>
      <c r="D2219" s="56">
        <v>2017</v>
      </c>
      <c r="E2219" s="85" t="s">
        <v>650</v>
      </c>
      <c r="F2219" s="57">
        <v>235</v>
      </c>
      <c r="G2219" s="57">
        <v>0</v>
      </c>
      <c r="H2219" s="58">
        <v>0</v>
      </c>
      <c r="I2219" s="57">
        <v>0</v>
      </c>
      <c r="J2219" s="57">
        <v>157</v>
      </c>
      <c r="K2219" s="57">
        <v>0</v>
      </c>
      <c r="L2219" s="57">
        <v>0</v>
      </c>
      <c r="M2219" s="57">
        <v>0</v>
      </c>
      <c r="N2219" s="57">
        <v>174</v>
      </c>
      <c r="O2219" s="57">
        <v>0</v>
      </c>
      <c r="P2219" s="57">
        <v>413</v>
      </c>
      <c r="Q2219" s="58">
        <v>100</v>
      </c>
    </row>
    <row r="2220" spans="1:17" ht="12.75" x14ac:dyDescent="0.2">
      <c r="A2220" s="85" t="s">
        <v>507</v>
      </c>
      <c r="B2220" s="59" t="s">
        <v>602</v>
      </c>
      <c r="C2220" s="59" t="s">
        <v>732</v>
      </c>
      <c r="D2220" s="96">
        <v>2015</v>
      </c>
      <c r="E2220" s="85" t="s">
        <v>650</v>
      </c>
      <c r="F2220" s="57">
        <v>126</v>
      </c>
      <c r="G2220" s="57">
        <v>0</v>
      </c>
      <c r="H2220" s="61">
        <v>0</v>
      </c>
      <c r="I2220" s="60">
        <v>0</v>
      </c>
      <c r="J2220" s="60">
        <v>84</v>
      </c>
      <c r="K2220" s="57">
        <v>0</v>
      </c>
      <c r="L2220" s="60">
        <v>0</v>
      </c>
      <c r="M2220" s="60">
        <v>0</v>
      </c>
      <c r="N2220" s="60">
        <v>95</v>
      </c>
      <c r="O2220" s="57">
        <v>44</v>
      </c>
      <c r="P2220" s="57">
        <v>221</v>
      </c>
      <c r="Q2220" s="61">
        <v>0</v>
      </c>
    </row>
    <row r="2221" spans="1:17" ht="12.75" x14ac:dyDescent="0.2">
      <c r="A2221" s="85" t="s">
        <v>507</v>
      </c>
      <c r="B2221" s="85" t="s">
        <v>602</v>
      </c>
      <c r="C2221" s="85" t="s">
        <v>732</v>
      </c>
      <c r="D2221" s="56">
        <v>2016</v>
      </c>
      <c r="E2221" s="85" t="s">
        <v>650</v>
      </c>
      <c r="F2221" s="57">
        <v>126</v>
      </c>
      <c r="G2221" s="57">
        <v>0</v>
      </c>
      <c r="H2221" s="58">
        <v>0</v>
      </c>
      <c r="I2221" s="57">
        <v>0</v>
      </c>
      <c r="J2221" s="57">
        <v>84</v>
      </c>
      <c r="K2221" s="57">
        <v>0</v>
      </c>
      <c r="L2221" s="57">
        <v>0</v>
      </c>
      <c r="M2221" s="57">
        <v>0</v>
      </c>
      <c r="N2221" s="57">
        <v>95</v>
      </c>
      <c r="O2221" s="57">
        <v>0</v>
      </c>
      <c r="P2221" s="57">
        <v>221</v>
      </c>
      <c r="Q2221" s="58">
        <v>0</v>
      </c>
    </row>
    <row r="2222" spans="1:17" ht="12.75" x14ac:dyDescent="0.2">
      <c r="A2222" s="85" t="s">
        <v>507</v>
      </c>
      <c r="B2222" s="85" t="s">
        <v>602</v>
      </c>
      <c r="C2222" s="85" t="s">
        <v>732</v>
      </c>
      <c r="D2222" s="56">
        <v>2017</v>
      </c>
      <c r="E2222" s="85" t="s">
        <v>650</v>
      </c>
      <c r="F2222" s="57">
        <v>126</v>
      </c>
      <c r="G2222" s="57">
        <v>0</v>
      </c>
      <c r="H2222" s="58">
        <v>0</v>
      </c>
      <c r="I2222" s="57">
        <v>0</v>
      </c>
      <c r="J2222" s="57">
        <v>84</v>
      </c>
      <c r="K2222" s="57">
        <v>0</v>
      </c>
      <c r="L2222" s="57">
        <v>0</v>
      </c>
      <c r="M2222" s="57">
        <v>0</v>
      </c>
      <c r="N2222" s="57">
        <v>95</v>
      </c>
      <c r="O2222" s="57">
        <v>0</v>
      </c>
      <c r="P2222" s="57">
        <v>221</v>
      </c>
      <c r="Q2222" s="58">
        <v>4</v>
      </c>
    </row>
    <row r="2223" spans="1:17" ht="12.75" x14ac:dyDescent="0.2">
      <c r="A2223" s="85" t="s">
        <v>602</v>
      </c>
      <c r="B2223" s="85" t="s">
        <v>602</v>
      </c>
      <c r="C2223" s="85" t="s">
        <v>732</v>
      </c>
      <c r="D2223" s="56">
        <v>2015</v>
      </c>
      <c r="E2223" s="85" t="s">
        <v>650</v>
      </c>
      <c r="F2223" s="57">
        <v>962</v>
      </c>
      <c r="G2223" s="57">
        <v>0</v>
      </c>
      <c r="H2223" s="58">
        <v>0</v>
      </c>
      <c r="I2223" s="57">
        <v>0</v>
      </c>
      <c r="J2223" s="57">
        <v>701</v>
      </c>
      <c r="K2223" s="57">
        <v>0</v>
      </c>
      <c r="L2223" s="57">
        <v>0</v>
      </c>
      <c r="M2223" s="57">
        <v>0</v>
      </c>
      <c r="N2223" s="57">
        <v>820</v>
      </c>
      <c r="O2223" s="57">
        <v>4</v>
      </c>
      <c r="P2223" s="57">
        <v>1617</v>
      </c>
      <c r="Q2223" s="58">
        <v>290</v>
      </c>
    </row>
    <row r="2224" spans="1:17" ht="12.75" x14ac:dyDescent="0.2">
      <c r="A2224" s="85" t="s">
        <v>602</v>
      </c>
      <c r="B2224" s="59" t="s">
        <v>602</v>
      </c>
      <c r="C2224" s="85" t="s">
        <v>732</v>
      </c>
      <c r="D2224" s="56">
        <v>2016</v>
      </c>
      <c r="E2224" s="85" t="s">
        <v>650</v>
      </c>
      <c r="F2224" s="57">
        <v>962</v>
      </c>
      <c r="G2224" s="57">
        <v>61</v>
      </c>
      <c r="H2224" s="58">
        <v>61</v>
      </c>
      <c r="I2224" s="57">
        <v>0</v>
      </c>
      <c r="J2224" s="57">
        <v>701</v>
      </c>
      <c r="K2224" s="57">
        <v>36</v>
      </c>
      <c r="L2224" s="57">
        <v>36</v>
      </c>
      <c r="M2224" s="57">
        <v>0</v>
      </c>
      <c r="N2224" s="57">
        <v>820</v>
      </c>
      <c r="O2224" s="57">
        <v>0</v>
      </c>
      <c r="P2224" s="57">
        <v>1617</v>
      </c>
      <c r="Q2224" s="58">
        <v>159</v>
      </c>
    </row>
    <row r="2225" spans="1:17" ht="12.75" x14ac:dyDescent="0.2">
      <c r="A2225" s="85" t="s">
        <v>602</v>
      </c>
      <c r="B2225" s="85" t="s">
        <v>602</v>
      </c>
      <c r="C2225" s="85" t="s">
        <v>732</v>
      </c>
      <c r="D2225" s="56">
        <v>2017</v>
      </c>
      <c r="E2225" s="85" t="s">
        <v>650</v>
      </c>
      <c r="F2225" s="57">
        <v>962</v>
      </c>
      <c r="G2225" s="57">
        <v>0</v>
      </c>
      <c r="H2225" s="58">
        <v>0</v>
      </c>
      <c r="I2225" s="57">
        <v>0</v>
      </c>
      <c r="J2225" s="57">
        <v>701</v>
      </c>
      <c r="K2225" s="57">
        <v>0</v>
      </c>
      <c r="L2225" s="57">
        <v>0</v>
      </c>
      <c r="M2225" s="57">
        <v>0</v>
      </c>
      <c r="N2225" s="57">
        <v>820</v>
      </c>
      <c r="O2225" s="57">
        <v>0</v>
      </c>
      <c r="P2225" s="57">
        <v>1617</v>
      </c>
      <c r="Q2225" s="58">
        <v>117</v>
      </c>
    </row>
    <row r="2226" spans="1:17" ht="12.75" x14ac:dyDescent="0.2">
      <c r="A2226" s="85" t="s">
        <v>665</v>
      </c>
      <c r="B2226" s="85" t="s">
        <v>602</v>
      </c>
      <c r="C2226" s="85" t="s">
        <v>732</v>
      </c>
      <c r="D2226" s="56">
        <v>2014</v>
      </c>
      <c r="E2226" s="85" t="s">
        <v>650</v>
      </c>
      <c r="F2226" s="57">
        <v>159</v>
      </c>
      <c r="G2226" s="57">
        <v>0</v>
      </c>
      <c r="H2226" s="58">
        <v>0</v>
      </c>
      <c r="I2226" s="57">
        <v>0</v>
      </c>
      <c r="J2226" s="57">
        <v>106</v>
      </c>
      <c r="K2226" s="57">
        <v>0</v>
      </c>
      <c r="L2226" s="57">
        <v>0</v>
      </c>
      <c r="M2226" s="57">
        <v>0</v>
      </c>
      <c r="N2226" s="57">
        <v>112</v>
      </c>
      <c r="O2226" s="57">
        <v>59</v>
      </c>
      <c r="P2226" s="57">
        <v>284</v>
      </c>
      <c r="Q2226" s="58">
        <v>80</v>
      </c>
    </row>
    <row r="2227" spans="1:17" ht="12.75" x14ac:dyDescent="0.2">
      <c r="A2227" s="85" t="s">
        <v>665</v>
      </c>
      <c r="B2227" s="85" t="s">
        <v>602</v>
      </c>
      <c r="C2227" s="85" t="s">
        <v>732</v>
      </c>
      <c r="D2227" s="56">
        <v>2015</v>
      </c>
      <c r="E2227" s="85" t="s">
        <v>650</v>
      </c>
      <c r="F2227" s="57">
        <v>159</v>
      </c>
      <c r="G2227" s="57">
        <v>49</v>
      </c>
      <c r="H2227" s="58">
        <v>49</v>
      </c>
      <c r="I2227" s="57">
        <v>0</v>
      </c>
      <c r="J2227" s="57">
        <v>106</v>
      </c>
      <c r="K2227" s="57">
        <v>41</v>
      </c>
      <c r="L2227" s="57">
        <v>36</v>
      </c>
      <c r="M2227" s="57">
        <v>5</v>
      </c>
      <c r="N2227" s="57">
        <v>112</v>
      </c>
      <c r="O2227" s="57">
        <v>44</v>
      </c>
      <c r="P2227" s="57">
        <v>284</v>
      </c>
      <c r="Q2227" s="58">
        <v>94</v>
      </c>
    </row>
    <row r="2228" spans="1:17" ht="12.75" x14ac:dyDescent="0.2">
      <c r="A2228" s="85" t="s">
        <v>665</v>
      </c>
      <c r="B2228" s="85" t="s">
        <v>602</v>
      </c>
      <c r="C2228" s="85" t="s">
        <v>732</v>
      </c>
      <c r="D2228" s="56">
        <v>2016</v>
      </c>
      <c r="E2228" s="85" t="s">
        <v>650</v>
      </c>
      <c r="F2228" s="57">
        <v>159</v>
      </c>
      <c r="G2228" s="57">
        <v>0</v>
      </c>
      <c r="H2228" s="58">
        <v>0</v>
      </c>
      <c r="I2228" s="57">
        <v>0</v>
      </c>
      <c r="J2228" s="57">
        <v>106</v>
      </c>
      <c r="K2228" s="57">
        <v>7</v>
      </c>
      <c r="L2228" s="57">
        <v>0</v>
      </c>
      <c r="M2228" s="57">
        <v>7</v>
      </c>
      <c r="N2228" s="57">
        <v>112</v>
      </c>
      <c r="O2228" s="57">
        <v>13</v>
      </c>
      <c r="P2228" s="57">
        <v>284</v>
      </c>
      <c r="Q2228" s="58">
        <v>31</v>
      </c>
    </row>
    <row r="2229" spans="1:17" ht="12.75" x14ac:dyDescent="0.2">
      <c r="A2229" s="85" t="s">
        <v>665</v>
      </c>
      <c r="B2229" s="85" t="s">
        <v>602</v>
      </c>
      <c r="C2229" s="85" t="s">
        <v>732</v>
      </c>
      <c r="D2229" s="56">
        <v>2017</v>
      </c>
      <c r="E2229" s="85" t="s">
        <v>650</v>
      </c>
      <c r="F2229" s="57">
        <v>159</v>
      </c>
      <c r="G2229" s="57">
        <v>8</v>
      </c>
      <c r="H2229" s="58">
        <v>8</v>
      </c>
      <c r="I2229" s="57">
        <v>0</v>
      </c>
      <c r="J2229" s="57">
        <v>106</v>
      </c>
      <c r="K2229" s="57">
        <v>1</v>
      </c>
      <c r="L2229" s="57">
        <v>0</v>
      </c>
      <c r="M2229" s="57">
        <v>1</v>
      </c>
      <c r="N2229" s="57">
        <v>112</v>
      </c>
      <c r="O2229" s="57">
        <v>54</v>
      </c>
      <c r="P2229" s="57">
        <v>284</v>
      </c>
      <c r="Q2229" s="58">
        <v>145</v>
      </c>
    </row>
    <row r="2230" spans="1:17" ht="12.75" x14ac:dyDescent="0.2">
      <c r="A2230" s="85" t="s">
        <v>668</v>
      </c>
      <c r="B2230" s="85" t="s">
        <v>602</v>
      </c>
      <c r="C2230" s="85" t="s">
        <v>732</v>
      </c>
      <c r="D2230" s="56">
        <v>2015</v>
      </c>
      <c r="E2230" s="85" t="s">
        <v>650</v>
      </c>
      <c r="F2230" s="57">
        <v>985</v>
      </c>
      <c r="G2230" s="57">
        <v>0</v>
      </c>
      <c r="H2230" s="58">
        <v>0</v>
      </c>
      <c r="I2230" s="57">
        <v>0</v>
      </c>
      <c r="J2230" s="57">
        <v>656</v>
      </c>
      <c r="K2230" s="57">
        <v>0</v>
      </c>
      <c r="L2230" s="57">
        <v>0</v>
      </c>
      <c r="M2230" s="57">
        <v>0</v>
      </c>
      <c r="N2230" s="57">
        <v>730</v>
      </c>
      <c r="O2230" s="57">
        <v>286</v>
      </c>
      <c r="P2230" s="57">
        <v>1731</v>
      </c>
      <c r="Q2230" s="58">
        <v>150</v>
      </c>
    </row>
    <row r="2231" spans="1:17" ht="12.75" x14ac:dyDescent="0.2">
      <c r="A2231" s="85" t="s">
        <v>668</v>
      </c>
      <c r="B2231" s="85" t="s">
        <v>602</v>
      </c>
      <c r="C2231" s="85" t="s">
        <v>732</v>
      </c>
      <c r="D2231" s="56">
        <v>2016</v>
      </c>
      <c r="E2231" s="85" t="s">
        <v>650</v>
      </c>
      <c r="F2231" s="57">
        <v>985</v>
      </c>
      <c r="G2231" s="57">
        <v>27</v>
      </c>
      <c r="H2231" s="58">
        <v>27</v>
      </c>
      <c r="I2231" s="57">
        <v>0</v>
      </c>
      <c r="J2231" s="57">
        <v>656</v>
      </c>
      <c r="K2231" s="57">
        <v>59</v>
      </c>
      <c r="L2231" s="57">
        <v>59</v>
      </c>
      <c r="M2231" s="57">
        <v>0</v>
      </c>
      <c r="N2231" s="57">
        <v>730</v>
      </c>
      <c r="O2231" s="57">
        <v>14</v>
      </c>
      <c r="P2231" s="57">
        <v>1731</v>
      </c>
      <c r="Q2231" s="58">
        <v>191</v>
      </c>
    </row>
    <row r="2232" spans="1:17" ht="12.75" x14ac:dyDescent="0.2">
      <c r="A2232" s="85" t="s">
        <v>668</v>
      </c>
      <c r="B2232" s="85" t="s">
        <v>602</v>
      </c>
      <c r="C2232" s="85" t="s">
        <v>732</v>
      </c>
      <c r="D2232" s="56">
        <v>2017</v>
      </c>
      <c r="E2232" s="85" t="s">
        <v>650</v>
      </c>
      <c r="F2232" s="57">
        <v>985</v>
      </c>
      <c r="G2232" s="57">
        <v>0</v>
      </c>
      <c r="H2232" s="58">
        <v>0</v>
      </c>
      <c r="I2232" s="57">
        <v>0</v>
      </c>
      <c r="J2232" s="57">
        <v>656</v>
      </c>
      <c r="K2232" s="57">
        <v>0</v>
      </c>
      <c r="L2232" s="57">
        <v>0</v>
      </c>
      <c r="M2232" s="57">
        <v>0</v>
      </c>
      <c r="N2232" s="57">
        <v>730</v>
      </c>
      <c r="O2232" s="57">
        <v>391</v>
      </c>
      <c r="P2232" s="57">
        <v>1731</v>
      </c>
      <c r="Q2232" s="58">
        <v>125</v>
      </c>
    </row>
    <row r="2233" spans="1:17" ht="12.75" x14ac:dyDescent="0.2">
      <c r="A2233" s="85" t="s">
        <v>692</v>
      </c>
      <c r="B2233" s="85" t="s">
        <v>602</v>
      </c>
      <c r="C2233" s="85" t="s">
        <v>732</v>
      </c>
      <c r="D2233" s="56">
        <v>2015</v>
      </c>
      <c r="E2233" s="85" t="s">
        <v>650</v>
      </c>
      <c r="F2233" s="57">
        <v>42</v>
      </c>
      <c r="G2233" s="57">
        <v>0</v>
      </c>
      <c r="H2233" s="58">
        <v>0</v>
      </c>
      <c r="I2233" s="57">
        <v>0</v>
      </c>
      <c r="J2233" s="57">
        <v>28</v>
      </c>
      <c r="K2233" s="57">
        <v>0</v>
      </c>
      <c r="L2233" s="57">
        <v>0</v>
      </c>
      <c r="M2233" s="57">
        <v>0</v>
      </c>
      <c r="N2233" s="57">
        <v>30</v>
      </c>
      <c r="O2233" s="57">
        <v>0</v>
      </c>
      <c r="P2233" s="57">
        <v>75</v>
      </c>
      <c r="Q2233" s="58">
        <v>35</v>
      </c>
    </row>
    <row r="2234" spans="1:17" ht="12.75" x14ac:dyDescent="0.2">
      <c r="A2234" s="85" t="s">
        <v>692</v>
      </c>
      <c r="B2234" s="85" t="s">
        <v>602</v>
      </c>
      <c r="C2234" s="85" t="s">
        <v>732</v>
      </c>
      <c r="D2234" s="56">
        <v>2016</v>
      </c>
      <c r="E2234" s="85" t="s">
        <v>650</v>
      </c>
      <c r="F2234" s="57">
        <v>42</v>
      </c>
      <c r="G2234" s="57">
        <v>35</v>
      </c>
      <c r="H2234" s="58">
        <v>35</v>
      </c>
      <c r="I2234" s="57">
        <v>0</v>
      </c>
      <c r="J2234" s="57">
        <v>28</v>
      </c>
      <c r="K2234" s="57">
        <v>10</v>
      </c>
      <c r="L2234" s="57">
        <v>10</v>
      </c>
      <c r="M2234" s="57">
        <v>0</v>
      </c>
      <c r="N2234" s="57">
        <v>30</v>
      </c>
      <c r="O2234" s="57">
        <v>0</v>
      </c>
      <c r="P2234" s="57">
        <v>75</v>
      </c>
      <c r="Q2234" s="58">
        <v>23</v>
      </c>
    </row>
    <row r="2235" spans="1:17" ht="12.75" x14ac:dyDescent="0.2">
      <c r="A2235" s="85" t="s">
        <v>692</v>
      </c>
      <c r="B2235" s="85" t="s">
        <v>602</v>
      </c>
      <c r="C2235" s="85" t="s">
        <v>732</v>
      </c>
      <c r="D2235" s="56">
        <v>2017</v>
      </c>
      <c r="E2235" s="85" t="s">
        <v>650</v>
      </c>
      <c r="F2235" s="57">
        <v>42</v>
      </c>
      <c r="G2235" s="57">
        <v>0</v>
      </c>
      <c r="H2235" s="58">
        <v>0</v>
      </c>
      <c r="I2235" s="57">
        <v>0</v>
      </c>
      <c r="J2235" s="57">
        <v>28</v>
      </c>
      <c r="K2235" s="57">
        <v>0</v>
      </c>
      <c r="L2235" s="57">
        <v>0</v>
      </c>
      <c r="M2235" s="57">
        <v>0</v>
      </c>
      <c r="N2235" s="57">
        <v>30</v>
      </c>
      <c r="O2235" s="57">
        <v>1</v>
      </c>
      <c r="P2235" s="57">
        <v>75</v>
      </c>
      <c r="Q2235" s="58">
        <v>23</v>
      </c>
    </row>
    <row r="2236" spans="1:17" ht="12.75" x14ac:dyDescent="0.2">
      <c r="A2236" s="81" t="s">
        <v>255</v>
      </c>
      <c r="B2236" s="81" t="s">
        <v>602</v>
      </c>
      <c r="C2236" s="81" t="s">
        <v>732</v>
      </c>
      <c r="D2236" s="82">
        <v>2018</v>
      </c>
      <c r="E2236" s="81" t="s">
        <v>650</v>
      </c>
      <c r="F2236" s="58">
        <v>66</v>
      </c>
      <c r="G2236" s="57">
        <v>0</v>
      </c>
      <c r="H2236" s="58">
        <v>0</v>
      </c>
      <c r="I2236" s="58">
        <v>0</v>
      </c>
      <c r="J2236" s="58">
        <v>44</v>
      </c>
      <c r="K2236" s="57">
        <v>0</v>
      </c>
      <c r="L2236" s="58">
        <v>0</v>
      </c>
      <c r="M2236" s="58">
        <v>0</v>
      </c>
      <c r="N2236" s="58">
        <v>41</v>
      </c>
      <c r="O2236" s="58">
        <v>0</v>
      </c>
      <c r="P2236" s="58">
        <v>124</v>
      </c>
      <c r="Q2236" s="58">
        <v>36</v>
      </c>
    </row>
    <row r="2237" spans="1:17" ht="12.75" x14ac:dyDescent="0.2">
      <c r="A2237" s="81" t="s">
        <v>278</v>
      </c>
      <c r="B2237" s="81" t="s">
        <v>602</v>
      </c>
      <c r="C2237" s="81" t="s">
        <v>732</v>
      </c>
      <c r="D2237" s="82">
        <v>2018</v>
      </c>
      <c r="E2237" s="81" t="s">
        <v>650</v>
      </c>
      <c r="F2237" s="58">
        <v>39</v>
      </c>
      <c r="G2237" s="57">
        <v>0</v>
      </c>
      <c r="H2237" s="58">
        <v>0</v>
      </c>
      <c r="I2237" s="58">
        <v>0</v>
      </c>
      <c r="J2237" s="58">
        <v>26</v>
      </c>
      <c r="K2237" s="57">
        <v>0</v>
      </c>
      <c r="L2237" s="58">
        <v>0</v>
      </c>
      <c r="M2237" s="58">
        <v>0</v>
      </c>
      <c r="N2237" s="58">
        <v>34</v>
      </c>
      <c r="O2237" s="58">
        <v>0</v>
      </c>
      <c r="P2237" s="58">
        <v>64</v>
      </c>
      <c r="Q2237" s="58">
        <v>1</v>
      </c>
    </row>
    <row r="2238" spans="1:17" ht="12.75" x14ac:dyDescent="0.2">
      <c r="A2238" s="81" t="s">
        <v>402</v>
      </c>
      <c r="B2238" s="81" t="s">
        <v>602</v>
      </c>
      <c r="C2238" s="81" t="s">
        <v>732</v>
      </c>
      <c r="D2238" s="82">
        <v>2018</v>
      </c>
      <c r="E2238" s="81" t="s">
        <v>650</v>
      </c>
      <c r="F2238" s="58">
        <v>235</v>
      </c>
      <c r="G2238" s="57">
        <v>0</v>
      </c>
      <c r="H2238" s="58">
        <v>0</v>
      </c>
      <c r="I2238" s="58">
        <v>0</v>
      </c>
      <c r="J2238" s="58">
        <v>157</v>
      </c>
      <c r="K2238" s="57">
        <v>69</v>
      </c>
      <c r="L2238" s="58">
        <v>69</v>
      </c>
      <c r="M2238" s="58">
        <v>0</v>
      </c>
      <c r="N2238" s="58">
        <v>174</v>
      </c>
      <c r="O2238" s="58">
        <v>0</v>
      </c>
      <c r="P2238" s="58">
        <v>413</v>
      </c>
      <c r="Q2238" s="58">
        <v>0</v>
      </c>
    </row>
    <row r="2239" spans="1:17" ht="12.75" x14ac:dyDescent="0.2">
      <c r="A2239" s="81" t="s">
        <v>413</v>
      </c>
      <c r="B2239" s="81" t="s">
        <v>602</v>
      </c>
      <c r="C2239" s="81" t="s">
        <v>732</v>
      </c>
      <c r="D2239" s="82">
        <v>2018</v>
      </c>
      <c r="E2239" s="81" t="s">
        <v>650</v>
      </c>
      <c r="F2239" s="58">
        <v>12</v>
      </c>
      <c r="G2239" s="57">
        <v>30</v>
      </c>
      <c r="H2239" s="58">
        <v>30</v>
      </c>
      <c r="I2239" s="58">
        <v>0</v>
      </c>
      <c r="J2239" s="58">
        <v>8</v>
      </c>
      <c r="K2239" s="57">
        <v>7</v>
      </c>
      <c r="L2239" s="58">
        <v>7</v>
      </c>
      <c r="M2239" s="58">
        <v>0</v>
      </c>
      <c r="N2239" s="58">
        <v>13</v>
      </c>
      <c r="O2239" s="58">
        <v>0</v>
      </c>
      <c r="P2239" s="58">
        <v>16</v>
      </c>
      <c r="Q2239" s="58">
        <v>62</v>
      </c>
    </row>
    <row r="2240" spans="1:17" ht="12.75" x14ac:dyDescent="0.2">
      <c r="A2240" s="81" t="s">
        <v>507</v>
      </c>
      <c r="B2240" s="81" t="s">
        <v>602</v>
      </c>
      <c r="C2240" s="81" t="s">
        <v>732</v>
      </c>
      <c r="D2240" s="82">
        <v>2018</v>
      </c>
      <c r="E2240" s="81" t="s">
        <v>650</v>
      </c>
      <c r="F2240" s="58">
        <v>126</v>
      </c>
      <c r="G2240" s="57">
        <v>0</v>
      </c>
      <c r="H2240" s="58">
        <v>0</v>
      </c>
      <c r="I2240" s="58">
        <v>0</v>
      </c>
      <c r="J2240" s="58">
        <v>84</v>
      </c>
      <c r="K2240" s="57">
        <v>0</v>
      </c>
      <c r="L2240" s="58">
        <v>0</v>
      </c>
      <c r="M2240" s="58">
        <v>0</v>
      </c>
      <c r="N2240" s="58">
        <v>95</v>
      </c>
      <c r="O2240" s="58">
        <v>5</v>
      </c>
      <c r="P2240" s="58">
        <v>221</v>
      </c>
      <c r="Q2240" s="58">
        <v>0</v>
      </c>
    </row>
    <row r="2241" spans="1:17" ht="12.75" x14ac:dyDescent="0.2">
      <c r="A2241" s="81" t="s">
        <v>602</v>
      </c>
      <c r="B2241" s="81" t="s">
        <v>602</v>
      </c>
      <c r="C2241" s="81" t="s">
        <v>732</v>
      </c>
      <c r="D2241" s="82">
        <v>2018</v>
      </c>
      <c r="E2241" s="81" t="s">
        <v>650</v>
      </c>
      <c r="F2241" s="58">
        <v>962</v>
      </c>
      <c r="G2241" s="57">
        <v>57</v>
      </c>
      <c r="H2241" s="58">
        <v>57</v>
      </c>
      <c r="I2241" s="58">
        <v>0</v>
      </c>
      <c r="J2241" s="58">
        <v>701</v>
      </c>
      <c r="K2241" s="57">
        <v>48</v>
      </c>
      <c r="L2241" s="58">
        <v>48</v>
      </c>
      <c r="M2241" s="58">
        <v>0</v>
      </c>
      <c r="N2241" s="58">
        <v>820</v>
      </c>
      <c r="O2241" s="58">
        <v>0</v>
      </c>
      <c r="P2241" s="58">
        <v>1617</v>
      </c>
      <c r="Q2241" s="58">
        <v>245</v>
      </c>
    </row>
    <row r="2242" spans="1:17" ht="12.75" x14ac:dyDescent="0.2">
      <c r="A2242" s="81" t="s">
        <v>665</v>
      </c>
      <c r="B2242" s="81" t="s">
        <v>602</v>
      </c>
      <c r="C2242" s="81" t="s">
        <v>732</v>
      </c>
      <c r="D2242" s="82">
        <v>2018</v>
      </c>
      <c r="E2242" s="81" t="s">
        <v>650</v>
      </c>
      <c r="F2242" s="58">
        <v>159</v>
      </c>
      <c r="G2242" s="57">
        <v>1</v>
      </c>
      <c r="H2242" s="58">
        <v>0</v>
      </c>
      <c r="I2242" s="58">
        <v>1</v>
      </c>
      <c r="J2242" s="58">
        <v>106</v>
      </c>
      <c r="K2242" s="57">
        <v>14</v>
      </c>
      <c r="L2242" s="58">
        <v>0</v>
      </c>
      <c r="M2242" s="58">
        <v>14</v>
      </c>
      <c r="N2242" s="58">
        <v>112</v>
      </c>
      <c r="O2242" s="58">
        <v>82</v>
      </c>
      <c r="P2242" s="58">
        <v>284</v>
      </c>
      <c r="Q2242" s="58">
        <v>231</v>
      </c>
    </row>
    <row r="2243" spans="1:17" ht="12.75" x14ac:dyDescent="0.2">
      <c r="A2243" s="81" t="s">
        <v>668</v>
      </c>
      <c r="B2243" s="81" t="s">
        <v>602</v>
      </c>
      <c r="C2243" s="81" t="s">
        <v>732</v>
      </c>
      <c r="D2243" s="82">
        <v>2018</v>
      </c>
      <c r="E2243" s="81" t="s">
        <v>650</v>
      </c>
      <c r="F2243" s="58">
        <v>985</v>
      </c>
      <c r="G2243" s="57">
        <v>0</v>
      </c>
      <c r="H2243" s="58">
        <v>0</v>
      </c>
      <c r="I2243" s="58">
        <v>0</v>
      </c>
      <c r="J2243" s="58">
        <v>656</v>
      </c>
      <c r="K2243" s="57">
        <v>108</v>
      </c>
      <c r="L2243" s="58">
        <v>78</v>
      </c>
      <c r="M2243" s="58">
        <v>30</v>
      </c>
      <c r="N2243" s="58">
        <v>730</v>
      </c>
      <c r="O2243" s="58">
        <v>0</v>
      </c>
      <c r="P2243" s="58">
        <v>1731</v>
      </c>
      <c r="Q2243" s="58">
        <v>52</v>
      </c>
    </row>
    <row r="2244" spans="1:17" ht="12.75" x14ac:dyDescent="0.2">
      <c r="A2244" s="81" t="s">
        <v>692</v>
      </c>
      <c r="B2244" s="81" t="s">
        <v>602</v>
      </c>
      <c r="C2244" s="81" t="s">
        <v>732</v>
      </c>
      <c r="D2244" s="82">
        <v>2018</v>
      </c>
      <c r="E2244" s="81" t="s">
        <v>650</v>
      </c>
      <c r="F2244" s="58">
        <v>42</v>
      </c>
      <c r="G2244" s="85"/>
      <c r="H2244" s="86"/>
      <c r="I2244" s="86"/>
      <c r="J2244" s="58">
        <v>28</v>
      </c>
      <c r="K2244" s="85"/>
      <c r="L2244" s="86"/>
      <c r="M2244" s="86"/>
      <c r="N2244" s="58">
        <v>30</v>
      </c>
      <c r="O2244" s="86"/>
      <c r="P2244" s="58">
        <v>75</v>
      </c>
      <c r="Q2244" s="86"/>
    </row>
    <row r="2245" spans="1:17" ht="12.75" x14ac:dyDescent="0.2">
      <c r="A2245" s="85" t="s">
        <v>271</v>
      </c>
      <c r="B2245" s="85" t="s">
        <v>614</v>
      </c>
      <c r="C2245" s="85" t="s">
        <v>654</v>
      </c>
      <c r="D2245" s="56">
        <v>2015</v>
      </c>
      <c r="E2245" s="85" t="s">
        <v>650</v>
      </c>
      <c r="F2245" s="57">
        <v>253</v>
      </c>
      <c r="G2245" s="57">
        <v>0</v>
      </c>
      <c r="H2245" s="58">
        <v>0</v>
      </c>
      <c r="I2245" s="57">
        <v>0</v>
      </c>
      <c r="J2245" s="57">
        <v>138</v>
      </c>
      <c r="K2245" s="57">
        <v>0</v>
      </c>
      <c r="L2245" s="57">
        <v>0</v>
      </c>
      <c r="M2245" s="57">
        <v>0</v>
      </c>
      <c r="N2245" s="57">
        <v>151</v>
      </c>
      <c r="O2245" s="57">
        <v>0</v>
      </c>
      <c r="P2245" s="57">
        <v>391</v>
      </c>
      <c r="Q2245" s="58">
        <v>52</v>
      </c>
    </row>
    <row r="2246" spans="1:17" ht="12.75" x14ac:dyDescent="0.2">
      <c r="A2246" s="85" t="s">
        <v>271</v>
      </c>
      <c r="B2246" s="85" t="s">
        <v>614</v>
      </c>
      <c r="C2246" s="85" t="s">
        <v>654</v>
      </c>
      <c r="D2246" s="56">
        <v>2016</v>
      </c>
      <c r="E2246" s="85" t="s">
        <v>650</v>
      </c>
      <c r="F2246" s="57">
        <v>253</v>
      </c>
      <c r="G2246" s="57">
        <v>9</v>
      </c>
      <c r="H2246" s="58">
        <v>9</v>
      </c>
      <c r="I2246" s="57">
        <v>0</v>
      </c>
      <c r="J2246" s="57">
        <v>138</v>
      </c>
      <c r="K2246" s="57">
        <v>1</v>
      </c>
      <c r="L2246" s="57">
        <v>1</v>
      </c>
      <c r="M2246" s="57">
        <v>0</v>
      </c>
      <c r="N2246" s="57">
        <v>151</v>
      </c>
      <c r="O2246" s="57">
        <v>9</v>
      </c>
      <c r="P2246" s="57">
        <v>391</v>
      </c>
      <c r="Q2246" s="58">
        <v>214</v>
      </c>
    </row>
    <row r="2247" spans="1:17" ht="12.75" x14ac:dyDescent="0.2">
      <c r="A2247" s="85" t="s">
        <v>271</v>
      </c>
      <c r="B2247" s="85" t="s">
        <v>614</v>
      </c>
      <c r="C2247" s="85" t="s">
        <v>654</v>
      </c>
      <c r="D2247" s="56">
        <v>2017</v>
      </c>
      <c r="E2247" s="85" t="s">
        <v>650</v>
      </c>
      <c r="F2247" s="57">
        <v>253</v>
      </c>
      <c r="G2247" s="57">
        <v>0</v>
      </c>
      <c r="H2247" s="58">
        <v>0</v>
      </c>
      <c r="I2247" s="57">
        <v>0</v>
      </c>
      <c r="J2247" s="57">
        <v>138</v>
      </c>
      <c r="K2247" s="57">
        <v>1</v>
      </c>
      <c r="L2247" s="57">
        <v>1</v>
      </c>
      <c r="M2247" s="57">
        <v>0</v>
      </c>
      <c r="N2247" s="57">
        <v>151</v>
      </c>
      <c r="O2247" s="57">
        <v>4</v>
      </c>
      <c r="P2247" s="57">
        <v>391</v>
      </c>
      <c r="Q2247" s="58">
        <v>59</v>
      </c>
    </row>
    <row r="2248" spans="1:17" ht="12.75" x14ac:dyDescent="0.2">
      <c r="A2248" s="85" t="s">
        <v>328</v>
      </c>
      <c r="B2248" s="85" t="s">
        <v>614</v>
      </c>
      <c r="C2248" s="85" t="s">
        <v>654</v>
      </c>
      <c r="D2248" s="56">
        <v>2015</v>
      </c>
      <c r="E2248" s="85" t="s">
        <v>650</v>
      </c>
      <c r="F2248" s="57">
        <v>356</v>
      </c>
      <c r="G2248" s="57">
        <v>0</v>
      </c>
      <c r="H2248" s="58">
        <v>0</v>
      </c>
      <c r="I2248" s="57">
        <v>0</v>
      </c>
      <c r="J2248" s="57">
        <v>207</v>
      </c>
      <c r="K2248" s="57">
        <v>0</v>
      </c>
      <c r="L2248" s="57">
        <v>0</v>
      </c>
      <c r="M2248" s="57">
        <v>0</v>
      </c>
      <c r="N2248" s="57">
        <v>231</v>
      </c>
      <c r="O2248" s="57">
        <v>14</v>
      </c>
      <c r="P2248" s="57">
        <v>270</v>
      </c>
      <c r="Q2248" s="58">
        <v>164</v>
      </c>
    </row>
    <row r="2249" spans="1:17" ht="12.75" x14ac:dyDescent="0.2">
      <c r="A2249" s="85" t="s">
        <v>328</v>
      </c>
      <c r="B2249" s="85" t="s">
        <v>614</v>
      </c>
      <c r="C2249" s="85" t="s">
        <v>654</v>
      </c>
      <c r="D2249" s="56">
        <v>2016</v>
      </c>
      <c r="E2249" s="85" t="s">
        <v>650</v>
      </c>
      <c r="F2249" s="57">
        <v>356</v>
      </c>
      <c r="G2249" s="57">
        <v>0</v>
      </c>
      <c r="H2249" s="58">
        <v>0</v>
      </c>
      <c r="I2249" s="57">
        <v>0</v>
      </c>
      <c r="J2249" s="57">
        <v>207</v>
      </c>
      <c r="K2249" s="57">
        <v>0</v>
      </c>
      <c r="L2249" s="57">
        <v>0</v>
      </c>
      <c r="M2249" s="57">
        <v>0</v>
      </c>
      <c r="N2249" s="57">
        <v>231</v>
      </c>
      <c r="O2249" s="57">
        <v>18</v>
      </c>
      <c r="P2249" s="57">
        <v>270</v>
      </c>
      <c r="Q2249" s="58">
        <v>9</v>
      </c>
    </row>
    <row r="2250" spans="1:17" ht="12.75" x14ac:dyDescent="0.2">
      <c r="A2250" s="85" t="s">
        <v>328</v>
      </c>
      <c r="B2250" s="85" t="s">
        <v>614</v>
      </c>
      <c r="C2250" s="85" t="s">
        <v>654</v>
      </c>
      <c r="D2250" s="56">
        <v>2017</v>
      </c>
      <c r="E2250" s="85" t="s">
        <v>650</v>
      </c>
      <c r="F2250" s="57">
        <v>356</v>
      </c>
      <c r="G2250" s="57">
        <v>0</v>
      </c>
      <c r="H2250" s="58">
        <v>0</v>
      </c>
      <c r="I2250" s="57">
        <v>0</v>
      </c>
      <c r="J2250" s="57">
        <v>207</v>
      </c>
      <c r="K2250" s="57">
        <v>0</v>
      </c>
      <c r="L2250" s="57">
        <v>0</v>
      </c>
      <c r="M2250" s="57">
        <v>0</v>
      </c>
      <c r="N2250" s="57">
        <v>231</v>
      </c>
      <c r="O2250" s="57">
        <v>12</v>
      </c>
      <c r="P2250" s="57">
        <v>270</v>
      </c>
      <c r="Q2250" s="58">
        <v>16</v>
      </c>
    </row>
    <row r="2251" spans="1:17" ht="12.75" x14ac:dyDescent="0.2">
      <c r="A2251" s="85" t="s">
        <v>398</v>
      </c>
      <c r="B2251" s="85" t="s">
        <v>614</v>
      </c>
      <c r="C2251" s="85" t="s">
        <v>654</v>
      </c>
      <c r="D2251" s="56">
        <v>2015</v>
      </c>
      <c r="E2251" s="85" t="s">
        <v>650</v>
      </c>
      <c r="F2251" s="57">
        <v>236</v>
      </c>
      <c r="G2251" s="57">
        <v>26</v>
      </c>
      <c r="H2251" s="58">
        <v>26</v>
      </c>
      <c r="I2251" s="57">
        <v>0</v>
      </c>
      <c r="J2251" s="57">
        <v>160</v>
      </c>
      <c r="K2251" s="57">
        <v>247</v>
      </c>
      <c r="L2251" s="57">
        <v>247</v>
      </c>
      <c r="M2251" s="57">
        <v>0</v>
      </c>
      <c r="N2251" s="57">
        <v>217</v>
      </c>
      <c r="O2251" s="57">
        <v>14</v>
      </c>
      <c r="P2251" s="57">
        <v>475</v>
      </c>
      <c r="Q2251" s="58">
        <v>406</v>
      </c>
    </row>
    <row r="2252" spans="1:17" ht="12.75" x14ac:dyDescent="0.2">
      <c r="A2252" s="85" t="s">
        <v>398</v>
      </c>
      <c r="B2252" s="85" t="s">
        <v>614</v>
      </c>
      <c r="C2252" s="85" t="s">
        <v>654</v>
      </c>
      <c r="D2252" s="56">
        <v>2016</v>
      </c>
      <c r="E2252" s="85" t="s">
        <v>650</v>
      </c>
      <c r="F2252" s="57">
        <v>236</v>
      </c>
      <c r="G2252" s="57">
        <v>0</v>
      </c>
      <c r="H2252" s="58">
        <v>0</v>
      </c>
      <c r="I2252" s="57">
        <v>0</v>
      </c>
      <c r="J2252" s="57">
        <v>160</v>
      </c>
      <c r="K2252" s="57">
        <v>0</v>
      </c>
      <c r="L2252" s="57">
        <v>0</v>
      </c>
      <c r="M2252" s="57">
        <v>0</v>
      </c>
      <c r="N2252" s="57">
        <v>217</v>
      </c>
      <c r="O2252" s="57">
        <v>0</v>
      </c>
      <c r="P2252" s="57">
        <v>475</v>
      </c>
      <c r="Q2252" s="58">
        <v>321</v>
      </c>
    </row>
    <row r="2253" spans="1:17" ht="12.75" x14ac:dyDescent="0.2">
      <c r="A2253" s="85" t="s">
        <v>398</v>
      </c>
      <c r="B2253" s="85" t="s">
        <v>614</v>
      </c>
      <c r="C2253" s="85" t="s">
        <v>654</v>
      </c>
      <c r="D2253" s="56">
        <v>2017</v>
      </c>
      <c r="E2253" s="85" t="s">
        <v>650</v>
      </c>
      <c r="F2253" s="57">
        <v>236</v>
      </c>
      <c r="G2253" s="57">
        <v>0</v>
      </c>
      <c r="H2253" s="58">
        <v>0</v>
      </c>
      <c r="I2253" s="57">
        <v>0</v>
      </c>
      <c r="J2253" s="57">
        <v>160</v>
      </c>
      <c r="K2253" s="57">
        <v>202</v>
      </c>
      <c r="L2253" s="57">
        <v>202</v>
      </c>
      <c r="M2253" s="57">
        <v>0</v>
      </c>
      <c r="N2253" s="57">
        <v>217</v>
      </c>
      <c r="O2253" s="57">
        <v>0</v>
      </c>
      <c r="P2253" s="57">
        <v>475</v>
      </c>
      <c r="Q2253" s="58">
        <v>243</v>
      </c>
    </row>
    <row r="2254" spans="1:17" ht="12.75" x14ac:dyDescent="0.2">
      <c r="A2254" s="85" t="s">
        <v>518</v>
      </c>
      <c r="B2254" s="85" t="s">
        <v>614</v>
      </c>
      <c r="C2254" s="85" t="s">
        <v>654</v>
      </c>
      <c r="D2254" s="56">
        <v>2015</v>
      </c>
      <c r="E2254" s="85" t="s">
        <v>650</v>
      </c>
      <c r="F2254" s="57">
        <v>169</v>
      </c>
      <c r="G2254" s="57">
        <v>1</v>
      </c>
      <c r="H2254" s="58">
        <v>1</v>
      </c>
      <c r="I2254" s="57">
        <v>0</v>
      </c>
      <c r="J2254" s="57">
        <v>99</v>
      </c>
      <c r="K2254" s="57">
        <v>17</v>
      </c>
      <c r="L2254" s="57">
        <v>17</v>
      </c>
      <c r="M2254" s="57">
        <v>0</v>
      </c>
      <c r="N2254" s="57">
        <v>112</v>
      </c>
      <c r="O2254" s="57">
        <v>1</v>
      </c>
      <c r="P2254" s="57">
        <v>97</v>
      </c>
      <c r="Q2254" s="58">
        <v>267</v>
      </c>
    </row>
    <row r="2255" spans="1:17" ht="12.75" x14ac:dyDescent="0.2">
      <c r="A2255" s="85" t="s">
        <v>518</v>
      </c>
      <c r="B2255" s="85" t="s">
        <v>614</v>
      </c>
      <c r="C2255" s="85" t="s">
        <v>654</v>
      </c>
      <c r="D2255" s="56">
        <v>2016</v>
      </c>
      <c r="E2255" s="85" t="s">
        <v>650</v>
      </c>
      <c r="F2255" s="57">
        <v>169</v>
      </c>
      <c r="G2255" s="57">
        <v>1</v>
      </c>
      <c r="H2255" s="58">
        <v>1</v>
      </c>
      <c r="I2255" s="57">
        <v>0</v>
      </c>
      <c r="J2255" s="57">
        <v>99</v>
      </c>
      <c r="K2255" s="57">
        <v>1</v>
      </c>
      <c r="L2255" s="57">
        <v>1</v>
      </c>
      <c r="M2255" s="57">
        <v>0</v>
      </c>
      <c r="N2255" s="57">
        <v>112</v>
      </c>
      <c r="O2255" s="57">
        <v>0</v>
      </c>
      <c r="P2255" s="57">
        <v>97</v>
      </c>
      <c r="Q2255" s="58">
        <v>52</v>
      </c>
    </row>
    <row r="2256" spans="1:17" ht="12.75" x14ac:dyDescent="0.2">
      <c r="A2256" s="85" t="s">
        <v>518</v>
      </c>
      <c r="B2256" s="85" t="s">
        <v>614</v>
      </c>
      <c r="C2256" s="85" t="s">
        <v>654</v>
      </c>
      <c r="D2256" s="56">
        <v>2017</v>
      </c>
      <c r="E2256" s="85" t="s">
        <v>650</v>
      </c>
      <c r="F2256" s="57">
        <v>169</v>
      </c>
      <c r="G2256" s="57">
        <v>0</v>
      </c>
      <c r="H2256" s="58">
        <v>0</v>
      </c>
      <c r="I2256" s="57">
        <v>0</v>
      </c>
      <c r="J2256" s="57">
        <v>99</v>
      </c>
      <c r="K2256" s="57">
        <v>0</v>
      </c>
      <c r="L2256" s="57">
        <v>0</v>
      </c>
      <c r="M2256" s="57">
        <v>0</v>
      </c>
      <c r="N2256" s="57">
        <v>112</v>
      </c>
      <c r="O2256" s="57">
        <v>0</v>
      </c>
      <c r="P2256" s="57">
        <v>97</v>
      </c>
      <c r="Q2256" s="58">
        <v>49</v>
      </c>
    </row>
    <row r="2257" spans="1:17" ht="12.75" x14ac:dyDescent="0.2">
      <c r="A2257" s="85" t="s">
        <v>521</v>
      </c>
      <c r="B2257" s="85" t="s">
        <v>614</v>
      </c>
      <c r="C2257" s="85" t="s">
        <v>654</v>
      </c>
      <c r="D2257" s="56">
        <v>2017</v>
      </c>
      <c r="E2257" s="85" t="s">
        <v>650</v>
      </c>
      <c r="F2257" s="57">
        <v>46</v>
      </c>
      <c r="G2257" s="57">
        <v>5</v>
      </c>
      <c r="H2257" s="58">
        <v>5</v>
      </c>
      <c r="I2257" s="57">
        <v>0</v>
      </c>
      <c r="J2257" s="57">
        <v>28</v>
      </c>
      <c r="K2257" s="57">
        <v>2</v>
      </c>
      <c r="L2257" s="57">
        <v>2</v>
      </c>
      <c r="M2257" s="57">
        <v>0</v>
      </c>
      <c r="N2257" s="57">
        <v>32</v>
      </c>
      <c r="O2257" s="57">
        <v>2</v>
      </c>
      <c r="P2257" s="57">
        <v>15</v>
      </c>
      <c r="Q2257" s="58">
        <v>4</v>
      </c>
    </row>
    <row r="2258" spans="1:17" ht="12.75" x14ac:dyDescent="0.2">
      <c r="A2258" s="85" t="s">
        <v>524</v>
      </c>
      <c r="B2258" s="85" t="s">
        <v>614</v>
      </c>
      <c r="C2258" s="85" t="s">
        <v>654</v>
      </c>
      <c r="D2258" s="56">
        <v>2014</v>
      </c>
      <c r="E2258" s="85" t="s">
        <v>650</v>
      </c>
      <c r="F2258" s="57">
        <v>201</v>
      </c>
      <c r="G2258" s="57">
        <v>0</v>
      </c>
      <c r="H2258" s="58">
        <v>0</v>
      </c>
      <c r="I2258" s="57">
        <v>0</v>
      </c>
      <c r="J2258" s="57">
        <v>112</v>
      </c>
      <c r="K2258" s="57">
        <v>0</v>
      </c>
      <c r="L2258" s="57">
        <v>0</v>
      </c>
      <c r="M2258" s="57">
        <v>0</v>
      </c>
      <c r="N2258" s="57">
        <v>132</v>
      </c>
      <c r="O2258" s="57">
        <v>0</v>
      </c>
      <c r="P2258" s="57">
        <v>174</v>
      </c>
      <c r="Q2258" s="58">
        <v>9</v>
      </c>
    </row>
    <row r="2259" spans="1:17" ht="12.75" x14ac:dyDescent="0.2">
      <c r="A2259" s="85" t="s">
        <v>524</v>
      </c>
      <c r="B2259" s="85" t="s">
        <v>614</v>
      </c>
      <c r="C2259" s="85" t="s">
        <v>654</v>
      </c>
      <c r="D2259" s="56">
        <v>2015</v>
      </c>
      <c r="E2259" s="85" t="s">
        <v>650</v>
      </c>
      <c r="F2259" s="57">
        <v>201</v>
      </c>
      <c r="G2259" s="57">
        <v>0</v>
      </c>
      <c r="H2259" s="58">
        <v>0</v>
      </c>
      <c r="I2259" s="57">
        <v>0</v>
      </c>
      <c r="J2259" s="57">
        <v>112</v>
      </c>
      <c r="K2259" s="57">
        <v>0</v>
      </c>
      <c r="L2259" s="57">
        <v>0</v>
      </c>
      <c r="M2259" s="57">
        <v>0</v>
      </c>
      <c r="N2259" s="57">
        <v>132</v>
      </c>
      <c r="O2259" s="57">
        <v>2</v>
      </c>
      <c r="P2259" s="57">
        <v>174</v>
      </c>
      <c r="Q2259" s="58">
        <v>13</v>
      </c>
    </row>
    <row r="2260" spans="1:17" ht="12.75" x14ac:dyDescent="0.2">
      <c r="A2260" s="85" t="s">
        <v>524</v>
      </c>
      <c r="B2260" s="85" t="s">
        <v>614</v>
      </c>
      <c r="C2260" s="85" t="s">
        <v>654</v>
      </c>
      <c r="D2260" s="56">
        <v>2016</v>
      </c>
      <c r="E2260" s="85" t="s">
        <v>650</v>
      </c>
      <c r="F2260" s="57">
        <v>201</v>
      </c>
      <c r="G2260" s="57">
        <v>0</v>
      </c>
      <c r="H2260" s="58">
        <v>0</v>
      </c>
      <c r="I2260" s="57">
        <v>0</v>
      </c>
      <c r="J2260" s="57">
        <v>112</v>
      </c>
      <c r="K2260" s="57">
        <v>2</v>
      </c>
      <c r="L2260" s="57">
        <v>2</v>
      </c>
      <c r="M2260" s="57">
        <v>0</v>
      </c>
      <c r="N2260" s="57">
        <v>132</v>
      </c>
      <c r="O2260" s="57">
        <v>3</v>
      </c>
      <c r="P2260" s="57">
        <v>174</v>
      </c>
      <c r="Q2260" s="58">
        <v>38</v>
      </c>
    </row>
    <row r="2261" spans="1:17" ht="12.75" x14ac:dyDescent="0.2">
      <c r="A2261" s="85" t="s">
        <v>524</v>
      </c>
      <c r="B2261" s="85" t="s">
        <v>614</v>
      </c>
      <c r="C2261" s="85" t="s">
        <v>654</v>
      </c>
      <c r="D2261" s="56">
        <v>2017</v>
      </c>
      <c r="E2261" s="85" t="s">
        <v>650</v>
      </c>
      <c r="F2261" s="57">
        <v>201</v>
      </c>
      <c r="G2261" s="57">
        <v>0</v>
      </c>
      <c r="H2261" s="58">
        <v>0</v>
      </c>
      <c r="I2261" s="57">
        <v>0</v>
      </c>
      <c r="J2261" s="57">
        <v>112</v>
      </c>
      <c r="K2261" s="57">
        <v>0</v>
      </c>
      <c r="L2261" s="57">
        <v>0</v>
      </c>
      <c r="M2261" s="57">
        <v>0</v>
      </c>
      <c r="N2261" s="57">
        <v>132</v>
      </c>
      <c r="O2261" s="57">
        <v>4</v>
      </c>
      <c r="P2261" s="57">
        <v>174</v>
      </c>
      <c r="Q2261" s="58">
        <v>9</v>
      </c>
    </row>
    <row r="2262" spans="1:17" ht="12.75" x14ac:dyDescent="0.2">
      <c r="A2262" s="85" t="s">
        <v>546</v>
      </c>
      <c r="B2262" s="85" t="s">
        <v>614</v>
      </c>
      <c r="C2262" s="85" t="s">
        <v>654</v>
      </c>
      <c r="D2262" s="56">
        <v>2014</v>
      </c>
      <c r="E2262" s="85" t="s">
        <v>650</v>
      </c>
      <c r="F2262" s="57">
        <v>1004</v>
      </c>
      <c r="G2262" s="57">
        <v>0</v>
      </c>
      <c r="H2262" s="58">
        <v>0</v>
      </c>
      <c r="I2262" s="57">
        <v>0</v>
      </c>
      <c r="J2262" s="57">
        <v>570</v>
      </c>
      <c r="K2262" s="57">
        <v>0</v>
      </c>
      <c r="L2262" s="57">
        <v>0</v>
      </c>
      <c r="M2262" s="57">
        <v>0</v>
      </c>
      <c r="N2262" s="57">
        <v>565</v>
      </c>
      <c r="O2262" s="57">
        <v>0</v>
      </c>
      <c r="P2262" s="57">
        <v>1151</v>
      </c>
      <c r="Q2262" s="58">
        <v>841</v>
      </c>
    </row>
    <row r="2263" spans="1:17" ht="12.75" x14ac:dyDescent="0.2">
      <c r="A2263" s="85" t="s">
        <v>546</v>
      </c>
      <c r="B2263" s="85" t="s">
        <v>614</v>
      </c>
      <c r="C2263" s="85" t="s">
        <v>654</v>
      </c>
      <c r="D2263" s="56">
        <v>2015</v>
      </c>
      <c r="E2263" s="85" t="s">
        <v>650</v>
      </c>
      <c r="F2263" s="57">
        <v>1004</v>
      </c>
      <c r="G2263" s="57">
        <v>0</v>
      </c>
      <c r="H2263" s="58">
        <v>0</v>
      </c>
      <c r="I2263" s="57">
        <v>0</v>
      </c>
      <c r="J2263" s="57">
        <v>570</v>
      </c>
      <c r="K2263" s="57">
        <v>0</v>
      </c>
      <c r="L2263" s="57">
        <v>0</v>
      </c>
      <c r="M2263" s="57">
        <v>0</v>
      </c>
      <c r="N2263" s="57">
        <v>565</v>
      </c>
      <c r="O2263" s="57">
        <v>0</v>
      </c>
      <c r="P2263" s="57">
        <v>1151</v>
      </c>
      <c r="Q2263" s="58">
        <v>270</v>
      </c>
    </row>
    <row r="2264" spans="1:17" ht="12.75" x14ac:dyDescent="0.2">
      <c r="A2264" s="85" t="s">
        <v>546</v>
      </c>
      <c r="B2264" s="85" t="s">
        <v>614</v>
      </c>
      <c r="C2264" s="85" t="s">
        <v>654</v>
      </c>
      <c r="D2264" s="56">
        <v>2016</v>
      </c>
      <c r="E2264" s="85" t="s">
        <v>650</v>
      </c>
      <c r="F2264" s="57">
        <v>1004</v>
      </c>
      <c r="G2264" s="57">
        <v>0</v>
      </c>
      <c r="H2264" s="58">
        <v>0</v>
      </c>
      <c r="I2264" s="57">
        <v>0</v>
      </c>
      <c r="J2264" s="57">
        <v>570</v>
      </c>
      <c r="K2264" s="57">
        <v>0</v>
      </c>
      <c r="L2264" s="57">
        <v>0</v>
      </c>
      <c r="M2264" s="57">
        <v>0</v>
      </c>
      <c r="N2264" s="57">
        <v>565</v>
      </c>
      <c r="O2264" s="57">
        <v>0</v>
      </c>
      <c r="P2264" s="57">
        <v>1151</v>
      </c>
      <c r="Q2264" s="58">
        <v>82</v>
      </c>
    </row>
    <row r="2265" spans="1:17" ht="12.75" x14ac:dyDescent="0.2">
      <c r="A2265" s="85" t="s">
        <v>546</v>
      </c>
      <c r="B2265" s="85" t="s">
        <v>614</v>
      </c>
      <c r="C2265" s="85" t="s">
        <v>654</v>
      </c>
      <c r="D2265" s="56">
        <v>2017</v>
      </c>
      <c r="E2265" s="85" t="s">
        <v>650</v>
      </c>
      <c r="F2265" s="57">
        <v>1004</v>
      </c>
      <c r="G2265" s="57">
        <v>0</v>
      </c>
      <c r="H2265" s="58">
        <v>0</v>
      </c>
      <c r="I2265" s="57">
        <v>0</v>
      </c>
      <c r="J2265" s="57">
        <v>570</v>
      </c>
      <c r="K2265" s="57">
        <v>0</v>
      </c>
      <c r="L2265" s="57">
        <v>0</v>
      </c>
      <c r="M2265" s="57">
        <v>0</v>
      </c>
      <c r="N2265" s="57">
        <v>565</v>
      </c>
      <c r="O2265" s="57">
        <v>0</v>
      </c>
      <c r="P2265" s="57">
        <v>1151</v>
      </c>
      <c r="Q2265" s="58">
        <v>111</v>
      </c>
    </row>
    <row r="2266" spans="1:17" ht="12.75" x14ac:dyDescent="0.2">
      <c r="A2266" s="85" t="s">
        <v>553</v>
      </c>
      <c r="B2266" s="85" t="s">
        <v>614</v>
      </c>
      <c r="C2266" s="85" t="s">
        <v>654</v>
      </c>
      <c r="D2266" s="56">
        <v>2014</v>
      </c>
      <c r="E2266" s="85" t="s">
        <v>650</v>
      </c>
      <c r="F2266" s="57">
        <v>23</v>
      </c>
      <c r="G2266" s="57">
        <v>0</v>
      </c>
      <c r="H2266" s="58">
        <v>0</v>
      </c>
      <c r="I2266" s="57">
        <v>0</v>
      </c>
      <c r="J2266" s="57">
        <v>13</v>
      </c>
      <c r="K2266" s="57">
        <v>1</v>
      </c>
      <c r="L2266" s="57">
        <v>1</v>
      </c>
      <c r="M2266" s="57">
        <v>0</v>
      </c>
      <c r="N2266" s="57">
        <v>13</v>
      </c>
      <c r="O2266" s="57">
        <v>0</v>
      </c>
      <c r="P2266" s="57">
        <v>12</v>
      </c>
      <c r="Q2266" s="58">
        <v>4</v>
      </c>
    </row>
    <row r="2267" spans="1:17" ht="12.75" x14ac:dyDescent="0.2">
      <c r="A2267" s="85" t="s">
        <v>553</v>
      </c>
      <c r="B2267" s="85" t="s">
        <v>614</v>
      </c>
      <c r="C2267" s="85" t="s">
        <v>654</v>
      </c>
      <c r="D2267" s="56">
        <v>2015</v>
      </c>
      <c r="E2267" s="85" t="s">
        <v>650</v>
      </c>
      <c r="F2267" s="57">
        <v>23</v>
      </c>
      <c r="G2267" s="57">
        <v>4</v>
      </c>
      <c r="H2267" s="58">
        <v>0</v>
      </c>
      <c r="I2267" s="57">
        <v>4</v>
      </c>
      <c r="J2267" s="57">
        <v>13</v>
      </c>
      <c r="K2267" s="57">
        <v>0</v>
      </c>
      <c r="L2267" s="57">
        <v>0</v>
      </c>
      <c r="M2267" s="57">
        <v>0</v>
      </c>
      <c r="N2267" s="57">
        <v>13</v>
      </c>
      <c r="O2267" s="57">
        <v>1</v>
      </c>
      <c r="P2267" s="57">
        <v>12</v>
      </c>
      <c r="Q2267" s="58">
        <v>2</v>
      </c>
    </row>
    <row r="2268" spans="1:17" ht="12.75" x14ac:dyDescent="0.2">
      <c r="A2268" s="85" t="s">
        <v>553</v>
      </c>
      <c r="B2268" s="85" t="s">
        <v>614</v>
      </c>
      <c r="C2268" s="85" t="s">
        <v>654</v>
      </c>
      <c r="D2268" s="56">
        <v>2016</v>
      </c>
      <c r="E2268" s="85" t="s">
        <v>650</v>
      </c>
      <c r="F2268" s="57">
        <v>23</v>
      </c>
      <c r="G2268" s="57">
        <v>5</v>
      </c>
      <c r="H2268" s="58">
        <v>5</v>
      </c>
      <c r="I2268" s="57">
        <v>0</v>
      </c>
      <c r="J2268" s="57">
        <v>13</v>
      </c>
      <c r="K2268" s="57">
        <v>0</v>
      </c>
      <c r="L2268" s="57">
        <v>0</v>
      </c>
      <c r="M2268" s="57">
        <v>0</v>
      </c>
      <c r="N2268" s="57">
        <v>13</v>
      </c>
      <c r="O2268" s="57">
        <v>0</v>
      </c>
      <c r="P2268" s="57">
        <v>12</v>
      </c>
      <c r="Q2268" s="58">
        <v>8</v>
      </c>
    </row>
    <row r="2269" spans="1:17" ht="12.75" x14ac:dyDescent="0.2">
      <c r="A2269" s="85" t="s">
        <v>553</v>
      </c>
      <c r="B2269" s="85" t="s">
        <v>614</v>
      </c>
      <c r="C2269" s="85" t="s">
        <v>654</v>
      </c>
      <c r="D2269" s="56">
        <v>2017</v>
      </c>
      <c r="E2269" s="85" t="s">
        <v>650</v>
      </c>
      <c r="F2269" s="57">
        <v>23</v>
      </c>
      <c r="G2269" s="57">
        <v>12</v>
      </c>
      <c r="H2269" s="58">
        <v>0</v>
      </c>
      <c r="I2269" s="57">
        <v>12</v>
      </c>
      <c r="J2269" s="57">
        <v>13</v>
      </c>
      <c r="K2269" s="57">
        <v>0</v>
      </c>
      <c r="L2269" s="57">
        <v>0</v>
      </c>
      <c r="M2269" s="57">
        <v>0</v>
      </c>
      <c r="N2269" s="57">
        <v>13</v>
      </c>
      <c r="O2269" s="57">
        <v>0</v>
      </c>
      <c r="P2269" s="57">
        <v>12</v>
      </c>
      <c r="Q2269" s="58">
        <v>4</v>
      </c>
    </row>
    <row r="2270" spans="1:17" ht="12.75" x14ac:dyDescent="0.2">
      <c r="A2270" s="85" t="s">
        <v>562</v>
      </c>
      <c r="B2270" s="85" t="s">
        <v>614</v>
      </c>
      <c r="C2270" s="85" t="s">
        <v>654</v>
      </c>
      <c r="D2270" s="56">
        <v>2015</v>
      </c>
      <c r="E2270" s="85" t="s">
        <v>650</v>
      </c>
      <c r="F2270" s="57">
        <v>273</v>
      </c>
      <c r="G2270" s="57">
        <v>12</v>
      </c>
      <c r="H2270" s="58">
        <v>12</v>
      </c>
      <c r="I2270" s="57">
        <v>0</v>
      </c>
      <c r="J2270" s="57">
        <v>154</v>
      </c>
      <c r="K2270" s="57">
        <v>118</v>
      </c>
      <c r="L2270" s="57">
        <v>118</v>
      </c>
      <c r="M2270" s="57">
        <v>0</v>
      </c>
      <c r="N2270" s="57">
        <v>185</v>
      </c>
      <c r="O2270" s="57">
        <v>107</v>
      </c>
      <c r="P2270" s="57">
        <v>316</v>
      </c>
      <c r="Q2270" s="58">
        <v>647</v>
      </c>
    </row>
    <row r="2271" spans="1:17" ht="12.75" x14ac:dyDescent="0.2">
      <c r="A2271" s="85" t="s">
        <v>562</v>
      </c>
      <c r="B2271" s="85" t="s">
        <v>614</v>
      </c>
      <c r="C2271" s="85" t="s">
        <v>654</v>
      </c>
      <c r="D2271" s="56">
        <v>2016</v>
      </c>
      <c r="E2271" s="85" t="s">
        <v>650</v>
      </c>
      <c r="F2271" s="57">
        <v>273</v>
      </c>
      <c r="G2271" s="57">
        <v>29</v>
      </c>
      <c r="H2271" s="58">
        <v>29</v>
      </c>
      <c r="I2271" s="57">
        <v>0</v>
      </c>
      <c r="J2271" s="57">
        <v>154</v>
      </c>
      <c r="K2271" s="57">
        <v>23</v>
      </c>
      <c r="L2271" s="57">
        <v>23</v>
      </c>
      <c r="M2271" s="57">
        <v>0</v>
      </c>
      <c r="N2271" s="57">
        <v>185</v>
      </c>
      <c r="O2271" s="57">
        <v>6</v>
      </c>
      <c r="P2271" s="57">
        <v>316</v>
      </c>
      <c r="Q2271" s="58">
        <v>219</v>
      </c>
    </row>
    <row r="2272" spans="1:17" ht="12.75" x14ac:dyDescent="0.2">
      <c r="A2272" s="85" t="s">
        <v>562</v>
      </c>
      <c r="B2272" s="85" t="s">
        <v>614</v>
      </c>
      <c r="C2272" s="85" t="s">
        <v>654</v>
      </c>
      <c r="D2272" s="56">
        <v>2017</v>
      </c>
      <c r="E2272" s="85" t="s">
        <v>650</v>
      </c>
      <c r="F2272" s="57">
        <v>273</v>
      </c>
      <c r="G2272" s="57">
        <v>0</v>
      </c>
      <c r="H2272" s="58">
        <v>0</v>
      </c>
      <c r="I2272" s="57">
        <v>0</v>
      </c>
      <c r="J2272" s="57">
        <v>154</v>
      </c>
      <c r="K2272" s="57">
        <v>13</v>
      </c>
      <c r="L2272" s="57">
        <v>13</v>
      </c>
      <c r="M2272" s="57">
        <v>0</v>
      </c>
      <c r="N2272" s="57">
        <v>185</v>
      </c>
      <c r="O2272" s="57">
        <v>9</v>
      </c>
      <c r="P2272" s="57">
        <v>316</v>
      </c>
      <c r="Q2272" s="58">
        <v>192</v>
      </c>
    </row>
    <row r="2273" spans="1:17" ht="12.75" x14ac:dyDescent="0.2">
      <c r="A2273" s="85" t="s">
        <v>565</v>
      </c>
      <c r="B2273" s="85" t="s">
        <v>614</v>
      </c>
      <c r="C2273" s="85" t="s">
        <v>654</v>
      </c>
      <c r="D2273" s="56">
        <v>2014</v>
      </c>
      <c r="E2273" s="85" t="s">
        <v>650</v>
      </c>
      <c r="F2273" s="57">
        <v>814</v>
      </c>
      <c r="G2273" s="57">
        <v>26</v>
      </c>
      <c r="H2273" s="58">
        <v>26</v>
      </c>
      <c r="I2273" s="57">
        <v>0</v>
      </c>
      <c r="J2273" s="57">
        <v>492</v>
      </c>
      <c r="K2273" s="57">
        <v>19</v>
      </c>
      <c r="L2273" s="57">
        <v>18</v>
      </c>
      <c r="M2273" s="57">
        <v>1</v>
      </c>
      <c r="N2273" s="57">
        <v>527</v>
      </c>
      <c r="O2273" s="57">
        <v>0</v>
      </c>
      <c r="P2273" s="57">
        <v>1093</v>
      </c>
      <c r="Q2273" s="58">
        <v>598</v>
      </c>
    </row>
    <row r="2274" spans="1:17" ht="12.75" x14ac:dyDescent="0.2">
      <c r="A2274" s="85" t="s">
        <v>565</v>
      </c>
      <c r="B2274" s="85" t="s">
        <v>614</v>
      </c>
      <c r="C2274" s="85" t="s">
        <v>654</v>
      </c>
      <c r="D2274" s="56">
        <v>2015</v>
      </c>
      <c r="E2274" s="85" t="s">
        <v>650</v>
      </c>
      <c r="F2274" s="57">
        <v>814</v>
      </c>
      <c r="G2274" s="57">
        <v>0</v>
      </c>
      <c r="H2274" s="58">
        <v>0</v>
      </c>
      <c r="I2274" s="57">
        <v>0</v>
      </c>
      <c r="J2274" s="57">
        <v>492</v>
      </c>
      <c r="K2274" s="57">
        <v>9</v>
      </c>
      <c r="L2274" s="57">
        <v>9</v>
      </c>
      <c r="M2274" s="57">
        <v>0</v>
      </c>
      <c r="N2274" s="57">
        <v>527</v>
      </c>
      <c r="O2274" s="57">
        <v>0</v>
      </c>
      <c r="P2274" s="57">
        <v>1093</v>
      </c>
      <c r="Q2274" s="58">
        <v>278</v>
      </c>
    </row>
    <row r="2275" spans="1:17" ht="12.75" x14ac:dyDescent="0.2">
      <c r="A2275" s="85" t="s">
        <v>565</v>
      </c>
      <c r="B2275" s="85" t="s">
        <v>614</v>
      </c>
      <c r="C2275" s="85" t="s">
        <v>654</v>
      </c>
      <c r="D2275" s="56">
        <v>2016</v>
      </c>
      <c r="E2275" s="85" t="s">
        <v>650</v>
      </c>
      <c r="F2275" s="57">
        <v>814</v>
      </c>
      <c r="G2275" s="57">
        <v>17</v>
      </c>
      <c r="H2275" s="58">
        <v>17</v>
      </c>
      <c r="I2275" s="57">
        <v>0</v>
      </c>
      <c r="J2275" s="57">
        <v>492</v>
      </c>
      <c r="K2275" s="57">
        <v>109</v>
      </c>
      <c r="L2275" s="57">
        <v>109</v>
      </c>
      <c r="M2275" s="57">
        <v>0</v>
      </c>
      <c r="N2275" s="57">
        <v>527</v>
      </c>
      <c r="O2275" s="57">
        <v>0</v>
      </c>
      <c r="P2275" s="57">
        <v>1093</v>
      </c>
      <c r="Q2275" s="58">
        <v>376</v>
      </c>
    </row>
    <row r="2276" spans="1:17" ht="12.75" x14ac:dyDescent="0.2">
      <c r="A2276" s="85" t="s">
        <v>565</v>
      </c>
      <c r="B2276" s="85" t="s">
        <v>614</v>
      </c>
      <c r="C2276" s="85" t="s">
        <v>654</v>
      </c>
      <c r="D2276" s="56">
        <v>2017</v>
      </c>
      <c r="E2276" s="85" t="s">
        <v>650</v>
      </c>
      <c r="F2276" s="57">
        <v>814</v>
      </c>
      <c r="G2276" s="57">
        <v>98</v>
      </c>
      <c r="H2276" s="58">
        <v>98</v>
      </c>
      <c r="I2276" s="57">
        <v>0</v>
      </c>
      <c r="J2276" s="57">
        <v>492</v>
      </c>
      <c r="K2276" s="57">
        <v>23</v>
      </c>
      <c r="L2276" s="57">
        <v>23</v>
      </c>
      <c r="M2276" s="57">
        <v>0</v>
      </c>
      <c r="N2276" s="57">
        <v>527</v>
      </c>
      <c r="O2276" s="57">
        <v>0</v>
      </c>
      <c r="P2276" s="57">
        <v>1093</v>
      </c>
      <c r="Q2276" s="61">
        <v>1418</v>
      </c>
    </row>
    <row r="2277" spans="1:17" ht="12.75" x14ac:dyDescent="0.2">
      <c r="A2277" s="85" t="s">
        <v>588</v>
      </c>
      <c r="B2277" s="85" t="s">
        <v>614</v>
      </c>
      <c r="C2277" s="85" t="s">
        <v>654</v>
      </c>
      <c r="D2277" s="56">
        <v>2015</v>
      </c>
      <c r="E2277" s="85" t="s">
        <v>650</v>
      </c>
      <c r="F2277" s="57">
        <v>691</v>
      </c>
      <c r="G2277" s="57">
        <v>43</v>
      </c>
      <c r="H2277" s="58">
        <v>43</v>
      </c>
      <c r="I2277" s="57">
        <v>0</v>
      </c>
      <c r="J2277" s="57">
        <v>432</v>
      </c>
      <c r="K2277" s="57">
        <v>58</v>
      </c>
      <c r="L2277" s="57">
        <v>58</v>
      </c>
      <c r="M2277" s="57">
        <v>0</v>
      </c>
      <c r="N2277" s="57">
        <v>278</v>
      </c>
      <c r="O2277" s="57">
        <v>11</v>
      </c>
      <c r="P2277" s="57">
        <v>587</v>
      </c>
      <c r="Q2277" s="58">
        <v>174</v>
      </c>
    </row>
    <row r="2278" spans="1:17" ht="12.75" x14ac:dyDescent="0.2">
      <c r="A2278" s="85" t="s">
        <v>588</v>
      </c>
      <c r="B2278" s="85" t="s">
        <v>614</v>
      </c>
      <c r="C2278" s="85" t="s">
        <v>654</v>
      </c>
      <c r="D2278" s="56">
        <v>2016</v>
      </c>
      <c r="E2278" s="85" t="s">
        <v>650</v>
      </c>
      <c r="F2278" s="57">
        <v>691</v>
      </c>
      <c r="G2278" s="57">
        <v>0</v>
      </c>
      <c r="H2278" s="58">
        <v>0</v>
      </c>
      <c r="I2278" s="57">
        <v>0</v>
      </c>
      <c r="J2278" s="57">
        <v>432</v>
      </c>
      <c r="K2278" s="57">
        <v>0</v>
      </c>
      <c r="L2278" s="57">
        <v>0</v>
      </c>
      <c r="M2278" s="57">
        <v>0</v>
      </c>
      <c r="N2278" s="57">
        <v>278</v>
      </c>
      <c r="O2278" s="57">
        <v>3</v>
      </c>
      <c r="P2278" s="57">
        <v>587</v>
      </c>
      <c r="Q2278" s="58">
        <v>15</v>
      </c>
    </row>
    <row r="2279" spans="1:17" ht="12.75" x14ac:dyDescent="0.2">
      <c r="A2279" s="85" t="s">
        <v>588</v>
      </c>
      <c r="B2279" s="85" t="s">
        <v>614</v>
      </c>
      <c r="C2279" s="85" t="s">
        <v>654</v>
      </c>
      <c r="D2279" s="56">
        <v>2017</v>
      </c>
      <c r="E2279" s="85" t="s">
        <v>650</v>
      </c>
      <c r="F2279" s="57">
        <v>691</v>
      </c>
      <c r="G2279" s="57">
        <v>0</v>
      </c>
      <c r="H2279" s="58">
        <v>0</v>
      </c>
      <c r="I2279" s="57">
        <v>0</v>
      </c>
      <c r="J2279" s="57">
        <v>432</v>
      </c>
      <c r="K2279" s="57">
        <v>0</v>
      </c>
      <c r="L2279" s="57">
        <v>0</v>
      </c>
      <c r="M2279" s="57">
        <v>0</v>
      </c>
      <c r="N2279" s="57">
        <v>278</v>
      </c>
      <c r="O2279" s="57">
        <v>28</v>
      </c>
      <c r="P2279" s="57">
        <v>587</v>
      </c>
      <c r="Q2279" s="58">
        <v>61</v>
      </c>
    </row>
    <row r="2280" spans="1:17" ht="12.75" x14ac:dyDescent="0.2">
      <c r="A2280" s="85" t="s">
        <v>653</v>
      </c>
      <c r="B2280" s="85" t="s">
        <v>614</v>
      </c>
      <c r="C2280" s="85" t="s">
        <v>654</v>
      </c>
      <c r="D2280" s="56">
        <v>2014</v>
      </c>
      <c r="E2280" s="85" t="s">
        <v>650</v>
      </c>
      <c r="F2280" s="57">
        <v>9233</v>
      </c>
      <c r="G2280" s="57">
        <v>275</v>
      </c>
      <c r="H2280" s="58">
        <v>275</v>
      </c>
      <c r="I2280" s="57">
        <v>0</v>
      </c>
      <c r="J2280" s="57">
        <v>5428</v>
      </c>
      <c r="K2280" s="57">
        <v>231</v>
      </c>
      <c r="L2280" s="57">
        <v>231</v>
      </c>
      <c r="M2280" s="57">
        <v>0</v>
      </c>
      <c r="N2280" s="57">
        <v>6188</v>
      </c>
      <c r="O2280" s="57">
        <v>0</v>
      </c>
      <c r="P2280" s="57">
        <v>14231</v>
      </c>
      <c r="Q2280" s="61">
        <v>3946</v>
      </c>
    </row>
    <row r="2281" spans="1:17" ht="12.75" x14ac:dyDescent="0.2">
      <c r="A2281" s="85" t="s">
        <v>653</v>
      </c>
      <c r="B2281" s="85" t="s">
        <v>614</v>
      </c>
      <c r="C2281" s="85" t="s">
        <v>654</v>
      </c>
      <c r="D2281" s="56">
        <v>2015</v>
      </c>
      <c r="E2281" s="85" t="s">
        <v>650</v>
      </c>
      <c r="F2281" s="57">
        <v>9233</v>
      </c>
      <c r="G2281" s="57">
        <v>70</v>
      </c>
      <c r="H2281" s="58">
        <v>70</v>
      </c>
      <c r="I2281" s="57">
        <v>0</v>
      </c>
      <c r="J2281" s="57">
        <v>5428</v>
      </c>
      <c r="K2281" s="57">
        <v>0</v>
      </c>
      <c r="L2281" s="57">
        <v>0</v>
      </c>
      <c r="M2281" s="57">
        <v>0</v>
      </c>
      <c r="N2281" s="57">
        <v>6188</v>
      </c>
      <c r="O2281" s="57">
        <v>0</v>
      </c>
      <c r="P2281" s="57">
        <v>14231</v>
      </c>
      <c r="Q2281" s="61">
        <v>1951</v>
      </c>
    </row>
    <row r="2282" spans="1:17" ht="12.75" x14ac:dyDescent="0.2">
      <c r="A2282" s="85" t="s">
        <v>653</v>
      </c>
      <c r="B2282" s="85" t="s">
        <v>614</v>
      </c>
      <c r="C2282" s="85" t="s">
        <v>654</v>
      </c>
      <c r="D2282" s="56">
        <v>2016</v>
      </c>
      <c r="E2282" s="85" t="s">
        <v>650</v>
      </c>
      <c r="F2282" s="57">
        <v>9233</v>
      </c>
      <c r="G2282" s="57">
        <v>314</v>
      </c>
      <c r="H2282" s="58">
        <v>314</v>
      </c>
      <c r="I2282" s="57">
        <v>0</v>
      </c>
      <c r="J2282" s="57">
        <v>5428</v>
      </c>
      <c r="K2282" s="57">
        <v>0</v>
      </c>
      <c r="L2282" s="57">
        <v>0</v>
      </c>
      <c r="M2282" s="57">
        <v>0</v>
      </c>
      <c r="N2282" s="57">
        <v>6188</v>
      </c>
      <c r="O2282" s="57">
        <v>0</v>
      </c>
      <c r="P2282" s="57">
        <v>14231</v>
      </c>
      <c r="Q2282" s="61">
        <v>1774</v>
      </c>
    </row>
    <row r="2283" spans="1:17" ht="12.75" x14ac:dyDescent="0.2">
      <c r="A2283" s="85" t="s">
        <v>653</v>
      </c>
      <c r="B2283" s="85" t="s">
        <v>614</v>
      </c>
      <c r="C2283" s="85" t="s">
        <v>654</v>
      </c>
      <c r="D2283" s="56">
        <v>2017</v>
      </c>
      <c r="E2283" s="85" t="s">
        <v>650</v>
      </c>
      <c r="F2283" s="57">
        <v>9233</v>
      </c>
      <c r="G2283" s="57">
        <v>190</v>
      </c>
      <c r="H2283" s="58">
        <v>190</v>
      </c>
      <c r="I2283" s="57">
        <v>0</v>
      </c>
      <c r="J2283" s="57">
        <v>5428</v>
      </c>
      <c r="K2283" s="57">
        <v>0</v>
      </c>
      <c r="L2283" s="57">
        <v>0</v>
      </c>
      <c r="M2283" s="57">
        <v>0</v>
      </c>
      <c r="N2283" s="57">
        <v>6188</v>
      </c>
      <c r="O2283" s="57">
        <v>285</v>
      </c>
      <c r="P2283" s="57">
        <v>14231</v>
      </c>
      <c r="Q2283" s="61">
        <v>2622</v>
      </c>
    </row>
    <row r="2284" spans="1:17" ht="12.75" x14ac:dyDescent="0.2">
      <c r="A2284" s="85" t="s">
        <v>614</v>
      </c>
      <c r="B2284" s="85" t="s">
        <v>614</v>
      </c>
      <c r="C2284" s="85" t="s">
        <v>654</v>
      </c>
      <c r="D2284" s="56">
        <v>2015</v>
      </c>
      <c r="E2284" s="85" t="s">
        <v>650</v>
      </c>
      <c r="F2284" s="57">
        <v>1050</v>
      </c>
      <c r="G2284" s="57">
        <v>0</v>
      </c>
      <c r="H2284" s="58">
        <v>0</v>
      </c>
      <c r="I2284" s="57">
        <v>0</v>
      </c>
      <c r="J2284" s="57">
        <v>695</v>
      </c>
      <c r="K2284" s="57">
        <v>0</v>
      </c>
      <c r="L2284" s="57">
        <v>0</v>
      </c>
      <c r="M2284" s="57">
        <v>0</v>
      </c>
      <c r="N2284" s="57">
        <v>755</v>
      </c>
      <c r="O2284" s="57">
        <v>19</v>
      </c>
      <c r="P2284" s="57">
        <v>1593</v>
      </c>
      <c r="Q2284" s="58">
        <v>212</v>
      </c>
    </row>
    <row r="2285" spans="1:17" ht="12.75" x14ac:dyDescent="0.2">
      <c r="A2285" s="85" t="s">
        <v>614</v>
      </c>
      <c r="B2285" s="85" t="s">
        <v>614</v>
      </c>
      <c r="C2285" s="85" t="s">
        <v>654</v>
      </c>
      <c r="D2285" s="56">
        <v>2016</v>
      </c>
      <c r="E2285" s="85" t="s">
        <v>650</v>
      </c>
      <c r="F2285" s="57">
        <v>1050</v>
      </c>
      <c r="G2285" s="57">
        <v>1</v>
      </c>
      <c r="H2285" s="58">
        <v>1</v>
      </c>
      <c r="I2285" s="57">
        <v>0</v>
      </c>
      <c r="J2285" s="57">
        <v>695</v>
      </c>
      <c r="K2285" s="57">
        <v>1</v>
      </c>
      <c r="L2285" s="57">
        <v>1</v>
      </c>
      <c r="M2285" s="57">
        <v>0</v>
      </c>
      <c r="N2285" s="57">
        <v>755</v>
      </c>
      <c r="O2285" s="57">
        <v>16</v>
      </c>
      <c r="P2285" s="57">
        <v>1593</v>
      </c>
      <c r="Q2285" s="58">
        <v>399</v>
      </c>
    </row>
    <row r="2286" spans="1:17" ht="12.75" x14ac:dyDescent="0.2">
      <c r="A2286" s="85" t="s">
        <v>614</v>
      </c>
      <c r="B2286" s="85" t="s">
        <v>614</v>
      </c>
      <c r="C2286" s="85" t="s">
        <v>654</v>
      </c>
      <c r="D2286" s="56">
        <v>2017</v>
      </c>
      <c r="E2286" s="85" t="s">
        <v>650</v>
      </c>
      <c r="F2286" s="57">
        <v>1050</v>
      </c>
      <c r="G2286" s="57">
        <v>0</v>
      </c>
      <c r="H2286" s="58">
        <v>0</v>
      </c>
      <c r="I2286" s="57">
        <v>0</v>
      </c>
      <c r="J2286" s="57">
        <v>695</v>
      </c>
      <c r="K2286" s="57">
        <v>0</v>
      </c>
      <c r="L2286" s="57">
        <v>0</v>
      </c>
      <c r="M2286" s="57">
        <v>0</v>
      </c>
      <c r="N2286" s="57">
        <v>755</v>
      </c>
      <c r="O2286" s="57">
        <v>6</v>
      </c>
      <c r="P2286" s="57">
        <v>1593</v>
      </c>
      <c r="Q2286" s="61">
        <v>1609</v>
      </c>
    </row>
    <row r="2287" spans="1:17" ht="12.75" x14ac:dyDescent="0.2">
      <c r="A2287" s="85" t="s">
        <v>666</v>
      </c>
      <c r="B2287" s="85" t="s">
        <v>614</v>
      </c>
      <c r="C2287" s="85" t="s">
        <v>654</v>
      </c>
      <c r="D2287" s="56">
        <v>2014</v>
      </c>
      <c r="E2287" s="85" t="s">
        <v>650</v>
      </c>
      <c r="F2287" s="57">
        <v>22</v>
      </c>
      <c r="G2287" s="57">
        <v>13</v>
      </c>
      <c r="H2287" s="58">
        <v>13</v>
      </c>
      <c r="I2287" s="57">
        <v>0</v>
      </c>
      <c r="J2287" s="57">
        <v>13</v>
      </c>
      <c r="K2287" s="57">
        <v>0</v>
      </c>
      <c r="L2287" s="57">
        <v>0</v>
      </c>
      <c r="M2287" s="57">
        <v>0</v>
      </c>
      <c r="N2287" s="57">
        <v>214</v>
      </c>
      <c r="O2287" s="57">
        <v>0</v>
      </c>
      <c r="P2287" s="57">
        <v>28</v>
      </c>
      <c r="Q2287" s="58">
        <v>58</v>
      </c>
    </row>
    <row r="2288" spans="1:17" ht="12.75" x14ac:dyDescent="0.2">
      <c r="A2288" s="85" t="s">
        <v>666</v>
      </c>
      <c r="B2288" s="85" t="s">
        <v>614</v>
      </c>
      <c r="C2288" s="85" t="s">
        <v>654</v>
      </c>
      <c r="D2288" s="56">
        <v>2015</v>
      </c>
      <c r="E2288" s="85" t="s">
        <v>650</v>
      </c>
      <c r="F2288" s="57">
        <v>22</v>
      </c>
      <c r="G2288" s="57">
        <v>5</v>
      </c>
      <c r="H2288" s="58">
        <v>5</v>
      </c>
      <c r="I2288" s="57">
        <v>0</v>
      </c>
      <c r="J2288" s="57">
        <v>13</v>
      </c>
      <c r="K2288" s="57">
        <v>0</v>
      </c>
      <c r="L2288" s="57">
        <v>0</v>
      </c>
      <c r="M2288" s="57">
        <v>0</v>
      </c>
      <c r="N2288" s="57">
        <v>214</v>
      </c>
      <c r="O2288" s="57">
        <v>0</v>
      </c>
      <c r="P2288" s="57">
        <v>28</v>
      </c>
      <c r="Q2288" s="58">
        <v>60</v>
      </c>
    </row>
    <row r="2289" spans="1:17" ht="12.75" x14ac:dyDescent="0.2">
      <c r="A2289" s="85" t="s">
        <v>666</v>
      </c>
      <c r="B2289" s="85" t="s">
        <v>614</v>
      </c>
      <c r="C2289" s="85" t="s">
        <v>654</v>
      </c>
      <c r="D2289" s="56">
        <v>2016</v>
      </c>
      <c r="E2289" s="85" t="s">
        <v>650</v>
      </c>
      <c r="F2289" s="57">
        <v>22</v>
      </c>
      <c r="G2289" s="57">
        <v>11</v>
      </c>
      <c r="H2289" s="58">
        <v>11</v>
      </c>
      <c r="I2289" s="57">
        <v>0</v>
      </c>
      <c r="J2289" s="57">
        <v>13</v>
      </c>
      <c r="K2289" s="57">
        <v>0</v>
      </c>
      <c r="L2289" s="57">
        <v>0</v>
      </c>
      <c r="M2289" s="57">
        <v>0</v>
      </c>
      <c r="N2289" s="57">
        <v>214</v>
      </c>
      <c r="O2289" s="57">
        <v>0</v>
      </c>
      <c r="P2289" s="57">
        <v>28</v>
      </c>
      <c r="Q2289" s="58">
        <v>66</v>
      </c>
    </row>
    <row r="2290" spans="1:17" ht="12.75" x14ac:dyDescent="0.2">
      <c r="A2290" s="85" t="s">
        <v>666</v>
      </c>
      <c r="B2290" s="85" t="s">
        <v>614</v>
      </c>
      <c r="C2290" s="85" t="s">
        <v>654</v>
      </c>
      <c r="D2290" s="56">
        <v>2017</v>
      </c>
      <c r="E2290" s="85" t="s">
        <v>650</v>
      </c>
      <c r="F2290" s="57">
        <v>22</v>
      </c>
      <c r="G2290" s="57">
        <v>13</v>
      </c>
      <c r="H2290" s="58">
        <v>0</v>
      </c>
      <c r="I2290" s="57">
        <v>13</v>
      </c>
      <c r="J2290" s="57">
        <v>13</v>
      </c>
      <c r="K2290" s="57">
        <v>0</v>
      </c>
      <c r="L2290" s="57">
        <v>0</v>
      </c>
      <c r="M2290" s="57">
        <v>0</v>
      </c>
      <c r="N2290" s="57">
        <v>214</v>
      </c>
      <c r="O2290" s="57">
        <v>0</v>
      </c>
      <c r="P2290" s="57">
        <v>28</v>
      </c>
      <c r="Q2290" s="58">
        <v>43</v>
      </c>
    </row>
    <row r="2291" spans="1:17" ht="12.75" x14ac:dyDescent="0.2">
      <c r="A2291" s="85" t="s">
        <v>673</v>
      </c>
      <c r="B2291" s="85" t="s">
        <v>614</v>
      </c>
      <c r="C2291" s="85" t="s">
        <v>654</v>
      </c>
      <c r="D2291" s="56">
        <v>2015</v>
      </c>
      <c r="E2291" s="85" t="s">
        <v>650</v>
      </c>
      <c r="F2291" s="57">
        <v>147</v>
      </c>
      <c r="G2291" s="57">
        <v>0</v>
      </c>
      <c r="H2291" s="58">
        <v>0</v>
      </c>
      <c r="I2291" s="57">
        <v>0</v>
      </c>
      <c r="J2291" s="57">
        <v>95</v>
      </c>
      <c r="K2291" s="57">
        <v>7</v>
      </c>
      <c r="L2291" s="57">
        <v>7</v>
      </c>
      <c r="M2291" s="57">
        <v>0</v>
      </c>
      <c r="N2291" s="57">
        <v>104</v>
      </c>
      <c r="O2291" s="57">
        <v>1</v>
      </c>
      <c r="P2291" s="57">
        <v>93</v>
      </c>
      <c r="Q2291" s="58">
        <v>6</v>
      </c>
    </row>
    <row r="2292" spans="1:17" ht="12.75" x14ac:dyDescent="0.2">
      <c r="A2292" s="85" t="s">
        <v>673</v>
      </c>
      <c r="B2292" s="85" t="s">
        <v>614</v>
      </c>
      <c r="C2292" s="85" t="s">
        <v>654</v>
      </c>
      <c r="D2292" s="56">
        <v>2016</v>
      </c>
      <c r="E2292" s="85" t="s">
        <v>650</v>
      </c>
      <c r="F2292" s="57">
        <v>147</v>
      </c>
      <c r="G2292" s="57">
        <v>0</v>
      </c>
      <c r="H2292" s="58">
        <v>0</v>
      </c>
      <c r="I2292" s="57">
        <v>0</v>
      </c>
      <c r="J2292" s="57">
        <v>95</v>
      </c>
      <c r="K2292" s="57">
        <v>11</v>
      </c>
      <c r="L2292" s="57">
        <v>11</v>
      </c>
      <c r="M2292" s="57">
        <v>0</v>
      </c>
      <c r="N2292" s="57">
        <v>104</v>
      </c>
      <c r="O2292" s="57">
        <v>1</v>
      </c>
      <c r="P2292" s="57">
        <v>93</v>
      </c>
      <c r="Q2292" s="58">
        <v>6</v>
      </c>
    </row>
    <row r="2293" spans="1:17" ht="12.75" x14ac:dyDescent="0.2">
      <c r="A2293" s="85" t="s">
        <v>673</v>
      </c>
      <c r="B2293" s="85" t="s">
        <v>614</v>
      </c>
      <c r="C2293" s="85" t="s">
        <v>654</v>
      </c>
      <c r="D2293" s="56">
        <v>2017</v>
      </c>
      <c r="E2293" s="85" t="s">
        <v>650</v>
      </c>
      <c r="F2293" s="57">
        <v>147</v>
      </c>
      <c r="G2293" s="57">
        <v>0</v>
      </c>
      <c r="H2293" s="58">
        <v>0</v>
      </c>
      <c r="I2293" s="57">
        <v>0</v>
      </c>
      <c r="J2293" s="57">
        <v>95</v>
      </c>
      <c r="K2293" s="57">
        <v>14</v>
      </c>
      <c r="L2293" s="57">
        <v>14</v>
      </c>
      <c r="M2293" s="57">
        <v>0</v>
      </c>
      <c r="N2293" s="57">
        <v>104</v>
      </c>
      <c r="O2293" s="57">
        <v>4</v>
      </c>
      <c r="P2293" s="57">
        <v>93</v>
      </c>
      <c r="Q2293" s="58">
        <v>7</v>
      </c>
    </row>
    <row r="2294" spans="1:17" ht="12.75" x14ac:dyDescent="0.2">
      <c r="A2294" s="81" t="s">
        <v>702</v>
      </c>
      <c r="B2294" s="81" t="s">
        <v>614</v>
      </c>
      <c r="C2294" s="81" t="s">
        <v>654</v>
      </c>
      <c r="D2294" s="82">
        <v>2015</v>
      </c>
      <c r="E2294" s="81" t="s">
        <v>650</v>
      </c>
      <c r="F2294" s="58">
        <v>1640</v>
      </c>
      <c r="G2294" s="57">
        <v>43</v>
      </c>
      <c r="H2294" s="58">
        <v>43</v>
      </c>
      <c r="I2294" s="58">
        <v>0</v>
      </c>
      <c r="J2294" s="57">
        <v>906</v>
      </c>
      <c r="K2294" s="57">
        <v>0</v>
      </c>
      <c r="L2294" s="58">
        <v>0</v>
      </c>
      <c r="M2294" s="58">
        <v>0</v>
      </c>
      <c r="N2294" s="58">
        <v>932</v>
      </c>
      <c r="O2294" s="58">
        <v>26</v>
      </c>
      <c r="P2294" s="58">
        <v>1974</v>
      </c>
      <c r="Q2294" s="58">
        <v>796</v>
      </c>
    </row>
    <row r="2295" spans="1:17" ht="12.75" x14ac:dyDescent="0.2">
      <c r="A2295" s="81" t="s">
        <v>702</v>
      </c>
      <c r="B2295" s="81" t="s">
        <v>614</v>
      </c>
      <c r="C2295" s="81" t="s">
        <v>654</v>
      </c>
      <c r="D2295" s="82">
        <v>2016</v>
      </c>
      <c r="E2295" s="81" t="s">
        <v>650</v>
      </c>
      <c r="F2295" s="58">
        <v>1640</v>
      </c>
      <c r="G2295" s="57">
        <v>0</v>
      </c>
      <c r="H2295" s="58">
        <v>0</v>
      </c>
      <c r="I2295" s="58">
        <v>0</v>
      </c>
      <c r="J2295" s="57">
        <v>906</v>
      </c>
      <c r="K2295" s="57">
        <v>1</v>
      </c>
      <c r="L2295" s="58">
        <v>1</v>
      </c>
      <c r="M2295" s="58">
        <v>0</v>
      </c>
      <c r="N2295" s="58">
        <v>932</v>
      </c>
      <c r="O2295" s="58">
        <v>32</v>
      </c>
      <c r="P2295" s="58">
        <v>1974</v>
      </c>
      <c r="Q2295" s="58">
        <v>222</v>
      </c>
    </row>
    <row r="2296" spans="1:17" ht="12.75" x14ac:dyDescent="0.2">
      <c r="A2296" s="81" t="s">
        <v>702</v>
      </c>
      <c r="B2296" s="81" t="s">
        <v>614</v>
      </c>
      <c r="C2296" s="81" t="s">
        <v>654</v>
      </c>
      <c r="D2296" s="82">
        <v>2017</v>
      </c>
      <c r="E2296" s="81" t="s">
        <v>650</v>
      </c>
      <c r="F2296" s="58">
        <v>1640</v>
      </c>
      <c r="G2296" s="57">
        <v>46</v>
      </c>
      <c r="H2296" s="58">
        <v>46</v>
      </c>
      <c r="I2296" s="58">
        <v>0</v>
      </c>
      <c r="J2296" s="57">
        <v>906</v>
      </c>
      <c r="K2296" s="57">
        <v>20</v>
      </c>
      <c r="L2296" s="58">
        <v>20</v>
      </c>
      <c r="M2296" s="58">
        <v>0</v>
      </c>
      <c r="N2296" s="58">
        <v>932</v>
      </c>
      <c r="O2296" s="58">
        <v>47</v>
      </c>
      <c r="P2296" s="58">
        <v>1974</v>
      </c>
      <c r="Q2296" s="58">
        <v>381</v>
      </c>
    </row>
    <row r="2297" spans="1:17" ht="12.75" x14ac:dyDescent="0.2">
      <c r="A2297" s="81" t="s">
        <v>271</v>
      </c>
      <c r="B2297" s="81" t="s">
        <v>614</v>
      </c>
      <c r="C2297" s="81" t="s">
        <v>654</v>
      </c>
      <c r="D2297" s="82">
        <v>2018</v>
      </c>
      <c r="E2297" s="81" t="s">
        <v>650</v>
      </c>
      <c r="F2297" s="58">
        <v>253</v>
      </c>
      <c r="G2297" s="57">
        <v>2</v>
      </c>
      <c r="H2297" s="58">
        <v>2</v>
      </c>
      <c r="I2297" s="58">
        <v>0</v>
      </c>
      <c r="J2297" s="58">
        <v>138</v>
      </c>
      <c r="K2297" s="57">
        <v>2</v>
      </c>
      <c r="L2297" s="58">
        <v>2</v>
      </c>
      <c r="M2297" s="58">
        <v>0</v>
      </c>
      <c r="N2297" s="58">
        <v>151</v>
      </c>
      <c r="O2297" s="58">
        <v>3</v>
      </c>
      <c r="P2297" s="58">
        <v>391</v>
      </c>
      <c r="Q2297" s="58">
        <v>46</v>
      </c>
    </row>
    <row r="2298" spans="1:17" ht="12.75" x14ac:dyDescent="0.2">
      <c r="A2298" s="81" t="s">
        <v>328</v>
      </c>
      <c r="B2298" s="81" t="s">
        <v>614</v>
      </c>
      <c r="C2298" s="81" t="s">
        <v>654</v>
      </c>
      <c r="D2298" s="82">
        <v>2018</v>
      </c>
      <c r="E2298" s="81" t="s">
        <v>650</v>
      </c>
      <c r="F2298" s="58">
        <v>356</v>
      </c>
      <c r="G2298" s="57">
        <v>19</v>
      </c>
      <c r="H2298" s="58">
        <v>18</v>
      </c>
      <c r="I2298" s="58">
        <v>1</v>
      </c>
      <c r="J2298" s="58">
        <v>207</v>
      </c>
      <c r="K2298" s="57">
        <v>0</v>
      </c>
      <c r="L2298" s="58">
        <v>0</v>
      </c>
      <c r="M2298" s="58">
        <v>0</v>
      </c>
      <c r="N2298" s="58">
        <v>231</v>
      </c>
      <c r="O2298" s="58">
        <v>15</v>
      </c>
      <c r="P2298" s="58">
        <v>270</v>
      </c>
      <c r="Q2298" s="58">
        <v>2</v>
      </c>
    </row>
    <row r="2299" spans="1:17" ht="12.75" x14ac:dyDescent="0.2">
      <c r="A2299" s="81" t="s">
        <v>398</v>
      </c>
      <c r="B2299" s="81" t="s">
        <v>614</v>
      </c>
      <c r="C2299" s="81" t="s">
        <v>654</v>
      </c>
      <c r="D2299" s="82">
        <v>2018</v>
      </c>
      <c r="E2299" s="81" t="s">
        <v>650</v>
      </c>
      <c r="F2299" s="58">
        <v>236</v>
      </c>
      <c r="G2299" s="57">
        <v>37</v>
      </c>
      <c r="H2299" s="58">
        <v>37</v>
      </c>
      <c r="I2299" s="58">
        <v>0</v>
      </c>
      <c r="J2299" s="58">
        <v>160</v>
      </c>
      <c r="K2299" s="57">
        <v>38</v>
      </c>
      <c r="L2299" s="58">
        <v>38</v>
      </c>
      <c r="M2299" s="58">
        <v>0</v>
      </c>
      <c r="N2299" s="58">
        <v>217</v>
      </c>
      <c r="O2299" s="58">
        <v>0</v>
      </c>
      <c r="P2299" s="58">
        <v>475</v>
      </c>
      <c r="Q2299" s="58">
        <v>1</v>
      </c>
    </row>
    <row r="2300" spans="1:17" ht="12.75" x14ac:dyDescent="0.2">
      <c r="A2300" s="81" t="s">
        <v>518</v>
      </c>
      <c r="B2300" s="81" t="s">
        <v>614</v>
      </c>
      <c r="C2300" s="81" t="s">
        <v>654</v>
      </c>
      <c r="D2300" s="82">
        <v>2018</v>
      </c>
      <c r="E2300" s="81" t="s">
        <v>650</v>
      </c>
      <c r="F2300" s="58">
        <v>169</v>
      </c>
      <c r="G2300" s="57">
        <v>0</v>
      </c>
      <c r="H2300" s="58">
        <v>0</v>
      </c>
      <c r="I2300" s="58">
        <v>0</v>
      </c>
      <c r="J2300" s="58">
        <v>99</v>
      </c>
      <c r="K2300" s="57">
        <v>10</v>
      </c>
      <c r="L2300" s="58">
        <v>2</v>
      </c>
      <c r="M2300" s="58">
        <v>8</v>
      </c>
      <c r="N2300" s="58">
        <v>112</v>
      </c>
      <c r="O2300" s="58">
        <v>1</v>
      </c>
      <c r="P2300" s="58">
        <v>97</v>
      </c>
      <c r="Q2300" s="58">
        <v>60</v>
      </c>
    </row>
    <row r="2301" spans="1:17" ht="12.75" x14ac:dyDescent="0.2">
      <c r="A2301" s="81" t="s">
        <v>521</v>
      </c>
      <c r="B2301" s="81" t="s">
        <v>614</v>
      </c>
      <c r="C2301" s="81" t="s">
        <v>654</v>
      </c>
      <c r="D2301" s="82">
        <v>2018</v>
      </c>
      <c r="E2301" s="81" t="s">
        <v>650</v>
      </c>
      <c r="F2301" s="58">
        <v>46</v>
      </c>
      <c r="G2301" s="57">
        <v>3</v>
      </c>
      <c r="H2301" s="58">
        <v>0</v>
      </c>
      <c r="I2301" s="58">
        <v>3</v>
      </c>
      <c r="J2301" s="58">
        <v>28</v>
      </c>
      <c r="K2301" s="57">
        <v>1</v>
      </c>
      <c r="L2301" s="58">
        <v>0</v>
      </c>
      <c r="M2301" s="58">
        <v>1</v>
      </c>
      <c r="N2301" s="58">
        <v>32</v>
      </c>
      <c r="O2301" s="58">
        <v>1</v>
      </c>
      <c r="P2301" s="58">
        <v>15</v>
      </c>
      <c r="Q2301" s="58">
        <v>23</v>
      </c>
    </row>
    <row r="2302" spans="1:17" ht="12.75" x14ac:dyDescent="0.2">
      <c r="A2302" s="81" t="s">
        <v>524</v>
      </c>
      <c r="B2302" s="81" t="s">
        <v>614</v>
      </c>
      <c r="C2302" s="81" t="s">
        <v>654</v>
      </c>
      <c r="D2302" s="82">
        <v>2018</v>
      </c>
      <c r="E2302" s="81" t="s">
        <v>650</v>
      </c>
      <c r="F2302" s="58">
        <v>201</v>
      </c>
      <c r="G2302" s="57">
        <v>0</v>
      </c>
      <c r="H2302" s="58">
        <v>0</v>
      </c>
      <c r="I2302" s="58">
        <v>0</v>
      </c>
      <c r="J2302" s="58">
        <v>112</v>
      </c>
      <c r="K2302" s="57">
        <v>0</v>
      </c>
      <c r="L2302" s="58">
        <v>0</v>
      </c>
      <c r="M2302" s="58">
        <v>0</v>
      </c>
      <c r="N2302" s="58">
        <v>132</v>
      </c>
      <c r="O2302" s="58">
        <v>16</v>
      </c>
      <c r="P2302" s="58">
        <v>174</v>
      </c>
      <c r="Q2302" s="58">
        <v>7</v>
      </c>
    </row>
    <row r="2303" spans="1:17" ht="12.75" x14ac:dyDescent="0.2">
      <c r="A2303" s="81" t="s">
        <v>546</v>
      </c>
      <c r="B2303" s="81" t="s">
        <v>614</v>
      </c>
      <c r="C2303" s="81" t="s">
        <v>654</v>
      </c>
      <c r="D2303" s="82">
        <v>2018</v>
      </c>
      <c r="E2303" s="81" t="s">
        <v>650</v>
      </c>
      <c r="F2303" s="58">
        <v>1004</v>
      </c>
      <c r="G2303" s="57">
        <v>10</v>
      </c>
      <c r="H2303" s="58">
        <v>10</v>
      </c>
      <c r="I2303" s="58">
        <v>0</v>
      </c>
      <c r="J2303" s="58">
        <v>570</v>
      </c>
      <c r="K2303" s="57">
        <v>0</v>
      </c>
      <c r="L2303" s="58">
        <v>0</v>
      </c>
      <c r="M2303" s="58">
        <v>0</v>
      </c>
      <c r="N2303" s="58">
        <v>565</v>
      </c>
      <c r="O2303" s="58">
        <v>0</v>
      </c>
      <c r="P2303" s="58">
        <v>1151</v>
      </c>
      <c r="Q2303" s="58">
        <v>1776</v>
      </c>
    </row>
    <row r="2304" spans="1:17" ht="12.75" x14ac:dyDescent="0.2">
      <c r="A2304" s="81" t="s">
        <v>553</v>
      </c>
      <c r="B2304" s="81" t="s">
        <v>614</v>
      </c>
      <c r="C2304" s="81" t="s">
        <v>654</v>
      </c>
      <c r="D2304" s="82">
        <v>2018</v>
      </c>
      <c r="E2304" s="81" t="s">
        <v>650</v>
      </c>
      <c r="F2304" s="58">
        <v>23</v>
      </c>
      <c r="G2304" s="57">
        <v>8</v>
      </c>
      <c r="H2304" s="58">
        <v>0</v>
      </c>
      <c r="I2304" s="58">
        <v>8</v>
      </c>
      <c r="J2304" s="58">
        <v>13</v>
      </c>
      <c r="K2304" s="57">
        <v>0</v>
      </c>
      <c r="L2304" s="58">
        <v>0</v>
      </c>
      <c r="M2304" s="58">
        <v>0</v>
      </c>
      <c r="N2304" s="58">
        <v>13</v>
      </c>
      <c r="O2304" s="58">
        <v>0</v>
      </c>
      <c r="P2304" s="58">
        <v>12</v>
      </c>
      <c r="Q2304" s="58">
        <v>0</v>
      </c>
    </row>
    <row r="2305" spans="1:17" ht="12.75" x14ac:dyDescent="0.2">
      <c r="A2305" s="81" t="s">
        <v>562</v>
      </c>
      <c r="B2305" s="81" t="s">
        <v>614</v>
      </c>
      <c r="C2305" s="81" t="s">
        <v>654</v>
      </c>
      <c r="D2305" s="82">
        <v>2018</v>
      </c>
      <c r="E2305" s="81" t="s">
        <v>650</v>
      </c>
      <c r="F2305" s="58">
        <v>273</v>
      </c>
      <c r="G2305" s="57">
        <v>39</v>
      </c>
      <c r="H2305" s="58">
        <v>39</v>
      </c>
      <c r="I2305" s="58">
        <v>0</v>
      </c>
      <c r="J2305" s="58">
        <v>154</v>
      </c>
      <c r="K2305" s="57">
        <v>24</v>
      </c>
      <c r="L2305" s="58">
        <v>24</v>
      </c>
      <c r="M2305" s="58">
        <v>0</v>
      </c>
      <c r="N2305" s="58">
        <v>185</v>
      </c>
      <c r="O2305" s="58">
        <v>263</v>
      </c>
      <c r="P2305" s="58">
        <v>316</v>
      </c>
      <c r="Q2305" s="58">
        <v>193</v>
      </c>
    </row>
    <row r="2306" spans="1:17" ht="12.75" x14ac:dyDescent="0.2">
      <c r="A2306" s="81" t="s">
        <v>565</v>
      </c>
      <c r="B2306" s="81" t="s">
        <v>614</v>
      </c>
      <c r="C2306" s="81" t="s">
        <v>654</v>
      </c>
      <c r="D2306" s="82">
        <v>2018</v>
      </c>
      <c r="E2306" s="81" t="s">
        <v>650</v>
      </c>
      <c r="F2306" s="58">
        <v>814</v>
      </c>
      <c r="G2306" s="57">
        <v>0</v>
      </c>
      <c r="H2306" s="58">
        <v>0</v>
      </c>
      <c r="I2306" s="58">
        <v>0</v>
      </c>
      <c r="J2306" s="58">
        <v>492</v>
      </c>
      <c r="K2306" s="57">
        <v>10</v>
      </c>
      <c r="L2306" s="58">
        <v>10</v>
      </c>
      <c r="M2306" s="58">
        <v>0</v>
      </c>
      <c r="N2306" s="58">
        <v>527</v>
      </c>
      <c r="O2306" s="58">
        <v>0</v>
      </c>
      <c r="P2306" s="58">
        <v>1093</v>
      </c>
      <c r="Q2306" s="58">
        <v>320</v>
      </c>
    </row>
    <row r="2307" spans="1:17" ht="12.75" x14ac:dyDescent="0.2">
      <c r="A2307" s="81" t="s">
        <v>588</v>
      </c>
      <c r="B2307" s="81" t="s">
        <v>614</v>
      </c>
      <c r="C2307" s="81" t="s">
        <v>654</v>
      </c>
      <c r="D2307" s="82">
        <v>2018</v>
      </c>
      <c r="E2307" s="81" t="s">
        <v>650</v>
      </c>
      <c r="F2307" s="58">
        <v>691</v>
      </c>
      <c r="G2307" s="57">
        <v>0</v>
      </c>
      <c r="H2307" s="58">
        <v>0</v>
      </c>
      <c r="I2307" s="58">
        <v>0</v>
      </c>
      <c r="J2307" s="58">
        <v>432</v>
      </c>
      <c r="K2307" s="57">
        <v>0</v>
      </c>
      <c r="L2307" s="58">
        <v>0</v>
      </c>
      <c r="M2307" s="58">
        <v>0</v>
      </c>
      <c r="N2307" s="58">
        <v>278</v>
      </c>
      <c r="O2307" s="58">
        <v>0</v>
      </c>
      <c r="P2307" s="58">
        <v>587</v>
      </c>
      <c r="Q2307" s="58">
        <v>54</v>
      </c>
    </row>
    <row r="2308" spans="1:17" ht="12.75" x14ac:dyDescent="0.2">
      <c r="A2308" s="81" t="s">
        <v>653</v>
      </c>
      <c r="B2308" s="81" t="s">
        <v>614</v>
      </c>
      <c r="C2308" s="81" t="s">
        <v>654</v>
      </c>
      <c r="D2308" s="82">
        <v>2018</v>
      </c>
      <c r="E2308" s="81" t="s">
        <v>650</v>
      </c>
      <c r="F2308" s="58">
        <v>9233</v>
      </c>
      <c r="G2308" s="57">
        <v>146</v>
      </c>
      <c r="H2308" s="58">
        <v>146</v>
      </c>
      <c r="I2308" s="58">
        <v>0</v>
      </c>
      <c r="J2308" s="58">
        <v>5428</v>
      </c>
      <c r="K2308" s="57">
        <v>0</v>
      </c>
      <c r="L2308" s="58">
        <v>0</v>
      </c>
      <c r="M2308" s="58">
        <v>0</v>
      </c>
      <c r="N2308" s="58">
        <v>6188</v>
      </c>
      <c r="O2308" s="58">
        <v>1300</v>
      </c>
      <c r="P2308" s="58">
        <v>14231</v>
      </c>
      <c r="Q2308" s="58">
        <v>1527</v>
      </c>
    </row>
    <row r="2309" spans="1:17" ht="12.75" x14ac:dyDescent="0.2">
      <c r="A2309" s="81" t="s">
        <v>614</v>
      </c>
      <c r="B2309" s="81" t="s">
        <v>614</v>
      </c>
      <c r="C2309" s="81" t="s">
        <v>654</v>
      </c>
      <c r="D2309" s="82">
        <v>2018</v>
      </c>
      <c r="E2309" s="81" t="s">
        <v>650</v>
      </c>
      <c r="F2309" s="58">
        <v>1050</v>
      </c>
      <c r="G2309" s="57">
        <v>0</v>
      </c>
      <c r="H2309" s="58">
        <v>0</v>
      </c>
      <c r="I2309" s="58">
        <v>0</v>
      </c>
      <c r="J2309" s="58">
        <v>695</v>
      </c>
      <c r="K2309" s="57">
        <v>0</v>
      </c>
      <c r="L2309" s="58">
        <v>0</v>
      </c>
      <c r="M2309" s="58">
        <v>0</v>
      </c>
      <c r="N2309" s="58">
        <v>755</v>
      </c>
      <c r="O2309" s="58">
        <v>5</v>
      </c>
      <c r="P2309" s="58">
        <v>1593</v>
      </c>
      <c r="Q2309" s="58">
        <v>1162</v>
      </c>
    </row>
    <row r="2310" spans="1:17" ht="12.75" x14ac:dyDescent="0.2">
      <c r="A2310" s="81" t="s">
        <v>666</v>
      </c>
      <c r="B2310" s="81" t="s">
        <v>614</v>
      </c>
      <c r="C2310" s="81" t="s">
        <v>654</v>
      </c>
      <c r="D2310" s="82">
        <v>2018</v>
      </c>
      <c r="E2310" s="81" t="s">
        <v>650</v>
      </c>
      <c r="F2310" s="58">
        <v>22</v>
      </c>
      <c r="G2310" s="57">
        <v>22</v>
      </c>
      <c r="H2310" s="58">
        <v>0</v>
      </c>
      <c r="I2310" s="58">
        <v>22</v>
      </c>
      <c r="J2310" s="58">
        <v>13</v>
      </c>
      <c r="K2310" s="57">
        <v>0</v>
      </c>
      <c r="L2310" s="58">
        <v>0</v>
      </c>
      <c r="M2310" s="58">
        <v>0</v>
      </c>
      <c r="N2310" s="58">
        <v>214</v>
      </c>
      <c r="O2310" s="58">
        <v>65</v>
      </c>
      <c r="P2310" s="58">
        <v>28</v>
      </c>
      <c r="Q2310" s="58">
        <v>0</v>
      </c>
    </row>
    <row r="2311" spans="1:17" ht="12.75" x14ac:dyDescent="0.2">
      <c r="A2311" s="81" t="s">
        <v>673</v>
      </c>
      <c r="B2311" s="81" t="s">
        <v>614</v>
      </c>
      <c r="C2311" s="81" t="s">
        <v>654</v>
      </c>
      <c r="D2311" s="82">
        <v>2018</v>
      </c>
      <c r="E2311" s="81" t="s">
        <v>650</v>
      </c>
      <c r="F2311" s="58">
        <v>147</v>
      </c>
      <c r="G2311" s="85"/>
      <c r="H2311" s="86"/>
      <c r="I2311" s="86"/>
      <c r="J2311" s="58">
        <v>95</v>
      </c>
      <c r="K2311" s="85"/>
      <c r="L2311" s="86"/>
      <c r="M2311" s="86"/>
      <c r="N2311" s="58">
        <v>104</v>
      </c>
      <c r="O2311" s="86"/>
      <c r="P2311" s="58">
        <v>93</v>
      </c>
      <c r="Q2311" s="86"/>
    </row>
    <row r="2312" spans="1:17" ht="12.75" x14ac:dyDescent="0.2">
      <c r="A2312" s="81" t="s">
        <v>702</v>
      </c>
      <c r="B2312" s="81" t="s">
        <v>614</v>
      </c>
      <c r="C2312" s="81" t="s">
        <v>654</v>
      </c>
      <c r="D2312" s="82">
        <v>2018</v>
      </c>
      <c r="E2312" s="81" t="s">
        <v>650</v>
      </c>
      <c r="F2312" s="58">
        <v>1640</v>
      </c>
      <c r="G2312" s="57">
        <v>0</v>
      </c>
      <c r="H2312" s="58">
        <v>0</v>
      </c>
      <c r="I2312" s="58">
        <v>0</v>
      </c>
      <c r="J2312" s="58">
        <v>906</v>
      </c>
      <c r="K2312" s="57">
        <v>0</v>
      </c>
      <c r="L2312" s="58">
        <v>0</v>
      </c>
      <c r="M2312" s="58">
        <v>0</v>
      </c>
      <c r="N2312" s="58">
        <v>932</v>
      </c>
      <c r="O2312" s="58">
        <v>62</v>
      </c>
      <c r="P2312" s="58">
        <v>1974</v>
      </c>
      <c r="Q2312" s="58">
        <v>207</v>
      </c>
    </row>
    <row r="2313" spans="1:17" ht="12.75" x14ac:dyDescent="0.2">
      <c r="A2313" s="85" t="s">
        <v>274</v>
      </c>
      <c r="B2313" s="85" t="s">
        <v>621</v>
      </c>
      <c r="C2313" s="85" t="s">
        <v>531</v>
      </c>
      <c r="D2313" s="56">
        <v>2015</v>
      </c>
      <c r="E2313" s="85" t="s">
        <v>650</v>
      </c>
      <c r="F2313" s="57">
        <v>34</v>
      </c>
      <c r="G2313" s="57">
        <v>0</v>
      </c>
      <c r="H2313" s="58">
        <v>0</v>
      </c>
      <c r="I2313" s="57">
        <v>0</v>
      </c>
      <c r="J2313" s="57">
        <v>23</v>
      </c>
      <c r="K2313" s="57">
        <v>0</v>
      </c>
      <c r="L2313" s="57">
        <v>0</v>
      </c>
      <c r="M2313" s="57">
        <v>0</v>
      </c>
      <c r="N2313" s="57">
        <v>26</v>
      </c>
      <c r="O2313" s="57">
        <v>0</v>
      </c>
      <c r="P2313" s="57">
        <v>60</v>
      </c>
      <c r="Q2313" s="58">
        <v>2</v>
      </c>
    </row>
    <row r="2314" spans="1:17" ht="12.75" x14ac:dyDescent="0.2">
      <c r="A2314" s="85" t="s">
        <v>274</v>
      </c>
      <c r="B2314" s="85" t="s">
        <v>621</v>
      </c>
      <c r="C2314" s="85" t="s">
        <v>531</v>
      </c>
      <c r="D2314" s="56">
        <v>2016</v>
      </c>
      <c r="E2314" s="85" t="s">
        <v>650</v>
      </c>
      <c r="F2314" s="57">
        <v>34</v>
      </c>
      <c r="G2314" s="57">
        <v>0</v>
      </c>
      <c r="H2314" s="58">
        <v>0</v>
      </c>
      <c r="I2314" s="57">
        <v>0</v>
      </c>
      <c r="J2314" s="57">
        <v>23</v>
      </c>
      <c r="K2314" s="57">
        <v>0</v>
      </c>
      <c r="L2314" s="57">
        <v>0</v>
      </c>
      <c r="M2314" s="57">
        <v>0</v>
      </c>
      <c r="N2314" s="57">
        <v>26</v>
      </c>
      <c r="O2314" s="57">
        <v>0</v>
      </c>
      <c r="P2314" s="57">
        <v>60</v>
      </c>
      <c r="Q2314" s="58">
        <v>1</v>
      </c>
    </row>
    <row r="2315" spans="1:17" ht="12.75" x14ac:dyDescent="0.2">
      <c r="A2315" s="85" t="s">
        <v>274</v>
      </c>
      <c r="B2315" s="85" t="s">
        <v>621</v>
      </c>
      <c r="C2315" s="85" t="s">
        <v>531</v>
      </c>
      <c r="D2315" s="56">
        <v>2017</v>
      </c>
      <c r="E2315" s="85" t="s">
        <v>650</v>
      </c>
      <c r="F2315" s="57">
        <v>34</v>
      </c>
      <c r="G2315" s="57">
        <v>0</v>
      </c>
      <c r="H2315" s="58">
        <v>0</v>
      </c>
      <c r="I2315" s="57">
        <v>0</v>
      </c>
      <c r="J2315" s="57">
        <v>23</v>
      </c>
      <c r="K2315" s="57">
        <v>0</v>
      </c>
      <c r="L2315" s="57">
        <v>0</v>
      </c>
      <c r="M2315" s="57">
        <v>0</v>
      </c>
      <c r="N2315" s="57">
        <v>26</v>
      </c>
      <c r="O2315" s="57">
        <v>1</v>
      </c>
      <c r="P2315" s="57">
        <v>60</v>
      </c>
      <c r="Q2315" s="58">
        <v>20</v>
      </c>
    </row>
    <row r="2316" spans="1:17" ht="12.75" x14ac:dyDescent="0.2">
      <c r="A2316" s="85" t="s">
        <v>621</v>
      </c>
      <c r="B2316" s="85" t="s">
        <v>621</v>
      </c>
      <c r="C2316" s="85" t="s">
        <v>531</v>
      </c>
      <c r="D2316" s="56">
        <v>2015</v>
      </c>
      <c r="E2316" s="85" t="s">
        <v>650</v>
      </c>
      <c r="F2316" s="57">
        <v>180</v>
      </c>
      <c r="G2316" s="57">
        <v>5</v>
      </c>
      <c r="H2316" s="58">
        <v>5</v>
      </c>
      <c r="I2316" s="57">
        <v>0</v>
      </c>
      <c r="J2316" s="57">
        <v>118</v>
      </c>
      <c r="K2316" s="57">
        <v>7</v>
      </c>
      <c r="L2316" s="57">
        <v>7</v>
      </c>
      <c r="M2316" s="57">
        <v>0</v>
      </c>
      <c r="N2316" s="57">
        <v>136</v>
      </c>
      <c r="O2316" s="57">
        <v>39</v>
      </c>
      <c r="P2316" s="57">
        <v>313</v>
      </c>
      <c r="Q2316" s="58">
        <v>94</v>
      </c>
    </row>
    <row r="2317" spans="1:17" ht="12.75" x14ac:dyDescent="0.2">
      <c r="A2317" s="85" t="s">
        <v>621</v>
      </c>
      <c r="B2317" s="85" t="s">
        <v>621</v>
      </c>
      <c r="C2317" s="85" t="s">
        <v>531</v>
      </c>
      <c r="D2317" s="56">
        <v>2016</v>
      </c>
      <c r="E2317" s="85" t="s">
        <v>650</v>
      </c>
      <c r="F2317" s="57">
        <v>180</v>
      </c>
      <c r="G2317" s="57">
        <v>1</v>
      </c>
      <c r="H2317" s="58">
        <v>1</v>
      </c>
      <c r="I2317" s="57">
        <v>0</v>
      </c>
      <c r="J2317" s="57">
        <v>118</v>
      </c>
      <c r="K2317" s="57">
        <v>15</v>
      </c>
      <c r="L2317" s="57">
        <v>15</v>
      </c>
      <c r="M2317" s="57">
        <v>0</v>
      </c>
      <c r="N2317" s="57">
        <v>136</v>
      </c>
      <c r="O2317" s="57">
        <v>112</v>
      </c>
      <c r="P2317" s="57">
        <v>313</v>
      </c>
      <c r="Q2317" s="58">
        <v>44</v>
      </c>
    </row>
    <row r="2318" spans="1:17" ht="12.75" x14ac:dyDescent="0.2">
      <c r="A2318" s="85" t="s">
        <v>621</v>
      </c>
      <c r="B2318" s="85" t="s">
        <v>621</v>
      </c>
      <c r="C2318" s="85" t="s">
        <v>531</v>
      </c>
      <c r="D2318" s="56">
        <v>2017</v>
      </c>
      <c r="E2318" s="85" t="s">
        <v>650</v>
      </c>
      <c r="F2318" s="57">
        <v>180</v>
      </c>
      <c r="G2318" s="57">
        <v>0</v>
      </c>
      <c r="H2318" s="58">
        <v>0</v>
      </c>
      <c r="I2318" s="57">
        <v>0</v>
      </c>
      <c r="J2318" s="57">
        <v>118</v>
      </c>
      <c r="K2318" s="57">
        <v>13</v>
      </c>
      <c r="L2318" s="57">
        <v>13</v>
      </c>
      <c r="M2318" s="57">
        <v>0</v>
      </c>
      <c r="N2318" s="57">
        <v>136</v>
      </c>
      <c r="O2318" s="57">
        <v>41</v>
      </c>
      <c r="P2318" s="57">
        <v>313</v>
      </c>
      <c r="Q2318" s="58">
        <v>109</v>
      </c>
    </row>
    <row r="2319" spans="1:17" ht="12.75" x14ac:dyDescent="0.2">
      <c r="A2319" s="85" t="s">
        <v>667</v>
      </c>
      <c r="B2319" s="85" t="s">
        <v>621</v>
      </c>
      <c r="C2319" s="85" t="s">
        <v>531</v>
      </c>
      <c r="D2319" s="56">
        <v>2015</v>
      </c>
      <c r="E2319" s="85" t="s">
        <v>650</v>
      </c>
      <c r="F2319" s="57">
        <v>317</v>
      </c>
      <c r="G2319" s="57">
        <v>1</v>
      </c>
      <c r="H2319" s="58">
        <v>1</v>
      </c>
      <c r="I2319" s="57">
        <v>0</v>
      </c>
      <c r="J2319" s="57">
        <v>207</v>
      </c>
      <c r="K2319" s="57">
        <v>2</v>
      </c>
      <c r="L2319" s="57">
        <v>2</v>
      </c>
      <c r="M2319" s="57">
        <v>0</v>
      </c>
      <c r="N2319" s="57">
        <v>239</v>
      </c>
      <c r="O2319" s="57">
        <v>84</v>
      </c>
      <c r="P2319" s="57">
        <v>551</v>
      </c>
      <c r="Q2319" s="58">
        <v>33</v>
      </c>
    </row>
    <row r="2320" spans="1:17" ht="12.75" x14ac:dyDescent="0.2">
      <c r="A2320" s="85" t="s">
        <v>667</v>
      </c>
      <c r="B2320" s="85" t="s">
        <v>621</v>
      </c>
      <c r="C2320" s="85" t="s">
        <v>531</v>
      </c>
      <c r="D2320" s="56">
        <v>2016</v>
      </c>
      <c r="E2320" s="85" t="s">
        <v>650</v>
      </c>
      <c r="F2320" s="57">
        <v>317</v>
      </c>
      <c r="G2320" s="57">
        <v>42</v>
      </c>
      <c r="H2320" s="58">
        <v>42</v>
      </c>
      <c r="I2320" s="57">
        <v>0</v>
      </c>
      <c r="J2320" s="57">
        <v>207</v>
      </c>
      <c r="K2320" s="57">
        <v>23</v>
      </c>
      <c r="L2320" s="57">
        <v>23</v>
      </c>
      <c r="M2320" s="57">
        <v>0</v>
      </c>
      <c r="N2320" s="57">
        <v>239</v>
      </c>
      <c r="O2320" s="57">
        <v>35</v>
      </c>
      <c r="P2320" s="57">
        <v>551</v>
      </c>
      <c r="Q2320" s="58">
        <v>17</v>
      </c>
    </row>
    <row r="2321" spans="1:17" ht="12.75" x14ac:dyDescent="0.2">
      <c r="A2321" s="85" t="s">
        <v>667</v>
      </c>
      <c r="B2321" s="85" t="s">
        <v>621</v>
      </c>
      <c r="C2321" s="85" t="s">
        <v>531</v>
      </c>
      <c r="D2321" s="56">
        <v>2017</v>
      </c>
      <c r="E2321" s="85" t="s">
        <v>650</v>
      </c>
      <c r="F2321" s="57">
        <v>317</v>
      </c>
      <c r="G2321" s="57">
        <v>0</v>
      </c>
      <c r="H2321" s="58">
        <v>0</v>
      </c>
      <c r="I2321" s="57">
        <v>0</v>
      </c>
      <c r="J2321" s="57">
        <v>207</v>
      </c>
      <c r="K2321" s="57">
        <v>0</v>
      </c>
      <c r="L2321" s="57">
        <v>0</v>
      </c>
      <c r="M2321" s="57">
        <v>0</v>
      </c>
      <c r="N2321" s="57">
        <v>239</v>
      </c>
      <c r="O2321" s="57">
        <v>66</v>
      </c>
      <c r="P2321" s="57">
        <v>551</v>
      </c>
      <c r="Q2321" s="58">
        <v>38</v>
      </c>
    </row>
    <row r="2322" spans="1:17" ht="12.75" x14ac:dyDescent="0.2">
      <c r="A2322" s="85" t="s">
        <v>675</v>
      </c>
      <c r="B2322" s="85" t="s">
        <v>621</v>
      </c>
      <c r="C2322" s="85" t="s">
        <v>531</v>
      </c>
      <c r="D2322" s="56">
        <v>2015</v>
      </c>
      <c r="E2322" s="85" t="s">
        <v>650</v>
      </c>
      <c r="F2322" s="57">
        <v>34</v>
      </c>
      <c r="G2322" s="57">
        <v>0</v>
      </c>
      <c r="H2322" s="58">
        <v>0</v>
      </c>
      <c r="I2322" s="57">
        <v>0</v>
      </c>
      <c r="J2322" s="57">
        <v>22</v>
      </c>
      <c r="K2322" s="57">
        <v>0</v>
      </c>
      <c r="L2322" s="57">
        <v>0</v>
      </c>
      <c r="M2322" s="57">
        <v>0</v>
      </c>
      <c r="N2322" s="57">
        <v>26</v>
      </c>
      <c r="O2322" s="57">
        <v>0</v>
      </c>
      <c r="P2322" s="57">
        <v>58</v>
      </c>
      <c r="Q2322" s="58">
        <v>5</v>
      </c>
    </row>
    <row r="2323" spans="1:17" ht="12.75" x14ac:dyDescent="0.2">
      <c r="A2323" s="85" t="s">
        <v>675</v>
      </c>
      <c r="B2323" s="85" t="s">
        <v>621</v>
      </c>
      <c r="C2323" s="85" t="s">
        <v>531</v>
      </c>
      <c r="D2323" s="56">
        <v>2016</v>
      </c>
      <c r="E2323" s="85" t="s">
        <v>650</v>
      </c>
      <c r="F2323" s="57">
        <v>34</v>
      </c>
      <c r="G2323" s="57">
        <v>0</v>
      </c>
      <c r="H2323" s="58">
        <v>0</v>
      </c>
      <c r="I2323" s="57">
        <v>0</v>
      </c>
      <c r="J2323" s="57">
        <v>22</v>
      </c>
      <c r="K2323" s="57">
        <v>0</v>
      </c>
      <c r="L2323" s="57">
        <v>0</v>
      </c>
      <c r="M2323" s="57">
        <v>0</v>
      </c>
      <c r="N2323" s="57">
        <v>26</v>
      </c>
      <c r="O2323" s="57">
        <v>0</v>
      </c>
      <c r="P2323" s="57">
        <v>58</v>
      </c>
      <c r="Q2323" s="58">
        <v>9</v>
      </c>
    </row>
    <row r="2324" spans="1:17" ht="12.75" x14ac:dyDescent="0.2">
      <c r="A2324" s="85" t="s">
        <v>675</v>
      </c>
      <c r="B2324" s="85" t="s">
        <v>621</v>
      </c>
      <c r="C2324" s="85" t="s">
        <v>531</v>
      </c>
      <c r="D2324" s="56">
        <v>2017</v>
      </c>
      <c r="E2324" s="85" t="s">
        <v>650</v>
      </c>
      <c r="F2324" s="57">
        <v>34</v>
      </c>
      <c r="G2324" s="57">
        <v>0</v>
      </c>
      <c r="H2324" s="58">
        <v>0</v>
      </c>
      <c r="I2324" s="57">
        <v>0</v>
      </c>
      <c r="J2324" s="57">
        <v>22</v>
      </c>
      <c r="K2324" s="57">
        <v>3</v>
      </c>
      <c r="L2324" s="57">
        <v>3</v>
      </c>
      <c r="M2324" s="57">
        <v>0</v>
      </c>
      <c r="N2324" s="57">
        <v>26</v>
      </c>
      <c r="O2324" s="57">
        <v>4</v>
      </c>
      <c r="P2324" s="57">
        <v>58</v>
      </c>
      <c r="Q2324" s="58">
        <v>38</v>
      </c>
    </row>
    <row r="2325" spans="1:17" ht="12.75" x14ac:dyDescent="0.2">
      <c r="A2325" s="81" t="s">
        <v>735</v>
      </c>
      <c r="B2325" s="81" t="s">
        <v>621</v>
      </c>
      <c r="C2325" s="81" t="s">
        <v>531</v>
      </c>
      <c r="D2325" s="82">
        <v>2016</v>
      </c>
      <c r="E2325" s="81" t="s">
        <v>650</v>
      </c>
      <c r="F2325" s="58">
        <v>169</v>
      </c>
      <c r="G2325" s="57">
        <v>20</v>
      </c>
      <c r="H2325" s="58">
        <v>20</v>
      </c>
      <c r="I2325" s="58">
        <v>0</v>
      </c>
      <c r="J2325" s="58">
        <v>110</v>
      </c>
      <c r="K2325" s="57">
        <v>2</v>
      </c>
      <c r="L2325" s="58">
        <v>2</v>
      </c>
      <c r="M2325" s="58">
        <v>0</v>
      </c>
      <c r="N2325" s="58">
        <v>128</v>
      </c>
      <c r="O2325" s="58">
        <v>4</v>
      </c>
      <c r="P2325" s="58">
        <v>293</v>
      </c>
      <c r="Q2325" s="58">
        <v>27</v>
      </c>
    </row>
    <row r="2326" spans="1:17" ht="12.75" x14ac:dyDescent="0.2">
      <c r="A2326" s="81" t="s">
        <v>735</v>
      </c>
      <c r="B2326" s="81" t="s">
        <v>621</v>
      </c>
      <c r="C2326" s="81" t="s">
        <v>531</v>
      </c>
      <c r="D2326" s="82">
        <v>2017</v>
      </c>
      <c r="E2326" s="81" t="s">
        <v>650</v>
      </c>
      <c r="F2326" s="58">
        <v>169</v>
      </c>
      <c r="G2326" s="57">
        <v>1</v>
      </c>
      <c r="H2326" s="58">
        <v>1</v>
      </c>
      <c r="I2326" s="58">
        <v>0</v>
      </c>
      <c r="J2326" s="58">
        <v>110</v>
      </c>
      <c r="K2326" s="57">
        <v>3</v>
      </c>
      <c r="L2326" s="58">
        <v>3</v>
      </c>
      <c r="M2326" s="58">
        <v>0</v>
      </c>
      <c r="N2326" s="58">
        <v>128</v>
      </c>
      <c r="O2326" s="58">
        <v>7</v>
      </c>
      <c r="P2326" s="58">
        <v>293</v>
      </c>
      <c r="Q2326" s="58">
        <v>103</v>
      </c>
    </row>
    <row r="2327" spans="1:17" ht="12.75" x14ac:dyDescent="0.2">
      <c r="A2327" s="81" t="s">
        <v>274</v>
      </c>
      <c r="B2327" s="81" t="s">
        <v>621</v>
      </c>
      <c r="C2327" s="81" t="s">
        <v>531</v>
      </c>
      <c r="D2327" s="82">
        <v>2018</v>
      </c>
      <c r="E2327" s="81" t="s">
        <v>650</v>
      </c>
      <c r="F2327" s="58">
        <v>34</v>
      </c>
      <c r="G2327" s="57">
        <v>0</v>
      </c>
      <c r="H2327" s="58">
        <v>0</v>
      </c>
      <c r="I2327" s="58">
        <v>0</v>
      </c>
      <c r="J2327" s="58">
        <v>23</v>
      </c>
      <c r="K2327" s="57">
        <v>0</v>
      </c>
      <c r="L2327" s="58">
        <v>0</v>
      </c>
      <c r="M2327" s="58">
        <v>0</v>
      </c>
      <c r="N2327" s="58">
        <v>26</v>
      </c>
      <c r="O2327" s="58">
        <v>0</v>
      </c>
      <c r="P2327" s="58">
        <v>60</v>
      </c>
      <c r="Q2327" s="58">
        <v>0</v>
      </c>
    </row>
    <row r="2328" spans="1:17" ht="12.75" x14ac:dyDescent="0.2">
      <c r="A2328" s="81" t="s">
        <v>621</v>
      </c>
      <c r="B2328" s="81" t="s">
        <v>621</v>
      </c>
      <c r="C2328" s="81" t="s">
        <v>531</v>
      </c>
      <c r="D2328" s="82">
        <v>2018</v>
      </c>
      <c r="E2328" s="81" t="s">
        <v>650</v>
      </c>
      <c r="F2328" s="58">
        <v>180</v>
      </c>
      <c r="G2328" s="57">
        <v>6</v>
      </c>
      <c r="H2328" s="58">
        <v>6</v>
      </c>
      <c r="I2328" s="58">
        <v>0</v>
      </c>
      <c r="J2328" s="58">
        <v>118</v>
      </c>
      <c r="K2328" s="57">
        <v>53</v>
      </c>
      <c r="L2328" s="58">
        <v>47</v>
      </c>
      <c r="M2328" s="58">
        <v>6</v>
      </c>
      <c r="N2328" s="58">
        <v>136</v>
      </c>
      <c r="O2328" s="58">
        <v>1</v>
      </c>
      <c r="P2328" s="58">
        <v>313</v>
      </c>
      <c r="Q2328" s="58">
        <v>90</v>
      </c>
    </row>
    <row r="2329" spans="1:17" ht="12.75" x14ac:dyDescent="0.2">
      <c r="A2329" s="81" t="s">
        <v>667</v>
      </c>
      <c r="B2329" s="81" t="s">
        <v>621</v>
      </c>
      <c r="C2329" s="81" t="s">
        <v>531</v>
      </c>
      <c r="D2329" s="82">
        <v>2018</v>
      </c>
      <c r="E2329" s="81" t="s">
        <v>650</v>
      </c>
      <c r="F2329" s="58">
        <v>317</v>
      </c>
      <c r="G2329" s="57">
        <v>0</v>
      </c>
      <c r="H2329" s="58">
        <v>0</v>
      </c>
      <c r="I2329" s="58">
        <v>0</v>
      </c>
      <c r="J2329" s="58">
        <v>207</v>
      </c>
      <c r="K2329" s="57">
        <v>15</v>
      </c>
      <c r="L2329" s="58">
        <v>0</v>
      </c>
      <c r="M2329" s="58">
        <v>15</v>
      </c>
      <c r="N2329" s="58">
        <v>239</v>
      </c>
      <c r="O2329" s="58">
        <v>26</v>
      </c>
      <c r="P2329" s="58">
        <v>551</v>
      </c>
      <c r="Q2329" s="58">
        <v>44</v>
      </c>
    </row>
    <row r="2330" spans="1:17" ht="12.75" x14ac:dyDescent="0.2">
      <c r="A2330" s="81" t="s">
        <v>675</v>
      </c>
      <c r="B2330" s="81" t="s">
        <v>621</v>
      </c>
      <c r="C2330" s="81" t="s">
        <v>531</v>
      </c>
      <c r="D2330" s="82">
        <v>2018</v>
      </c>
      <c r="E2330" s="81" t="s">
        <v>650</v>
      </c>
      <c r="F2330" s="58">
        <v>34</v>
      </c>
      <c r="G2330" s="57">
        <v>0</v>
      </c>
      <c r="H2330" s="58">
        <v>0</v>
      </c>
      <c r="I2330" s="58">
        <v>0</v>
      </c>
      <c r="J2330" s="58">
        <v>22</v>
      </c>
      <c r="K2330" s="57">
        <v>0</v>
      </c>
      <c r="L2330" s="58">
        <v>0</v>
      </c>
      <c r="M2330" s="58">
        <v>0</v>
      </c>
      <c r="N2330" s="58">
        <v>26</v>
      </c>
      <c r="O2330" s="58">
        <v>3</v>
      </c>
      <c r="P2330" s="58">
        <v>58</v>
      </c>
      <c r="Q2330" s="58">
        <v>63</v>
      </c>
    </row>
    <row r="2331" spans="1:17" ht="12.75" x14ac:dyDescent="0.2">
      <c r="A2331" s="81" t="s">
        <v>735</v>
      </c>
      <c r="B2331" s="81" t="s">
        <v>621</v>
      </c>
      <c r="C2331" s="81" t="s">
        <v>531</v>
      </c>
      <c r="D2331" s="82">
        <v>2018</v>
      </c>
      <c r="E2331" s="81" t="s">
        <v>650</v>
      </c>
      <c r="F2331" s="58">
        <v>169</v>
      </c>
      <c r="G2331" s="57">
        <v>0</v>
      </c>
      <c r="H2331" s="58">
        <v>0</v>
      </c>
      <c r="I2331" s="58">
        <v>0</v>
      </c>
      <c r="J2331" s="58">
        <v>110</v>
      </c>
      <c r="K2331" s="57">
        <v>0</v>
      </c>
      <c r="L2331" s="58">
        <v>0</v>
      </c>
      <c r="M2331" s="58">
        <v>0</v>
      </c>
      <c r="N2331" s="58">
        <v>128</v>
      </c>
      <c r="O2331" s="58">
        <v>0</v>
      </c>
      <c r="P2331" s="58">
        <v>293</v>
      </c>
      <c r="Q2331" s="58">
        <v>4</v>
      </c>
    </row>
    <row r="2332" spans="1:17" ht="12.75" x14ac:dyDescent="0.2">
      <c r="A2332" s="85" t="s">
        <v>201</v>
      </c>
      <c r="B2332" s="85" t="s">
        <v>631</v>
      </c>
      <c r="C2332" s="85" t="s">
        <v>660</v>
      </c>
      <c r="D2332" s="56">
        <v>2015</v>
      </c>
      <c r="E2332" s="85" t="s">
        <v>650</v>
      </c>
      <c r="F2332" s="57">
        <v>32</v>
      </c>
      <c r="G2332" s="57">
        <v>0</v>
      </c>
      <c r="H2332" s="58">
        <v>0</v>
      </c>
      <c r="I2332" s="57">
        <v>0</v>
      </c>
      <c r="J2332" s="57">
        <v>21</v>
      </c>
      <c r="K2332" s="57">
        <v>0</v>
      </c>
      <c r="L2332" s="57">
        <v>0</v>
      </c>
      <c r="M2332" s="57">
        <v>0</v>
      </c>
      <c r="N2332" s="57">
        <v>24</v>
      </c>
      <c r="O2332" s="57">
        <v>19</v>
      </c>
      <c r="P2332" s="57">
        <v>59</v>
      </c>
      <c r="Q2332" s="58">
        <v>1</v>
      </c>
    </row>
    <row r="2333" spans="1:17" ht="12.75" x14ac:dyDescent="0.2">
      <c r="A2333" s="85" t="s">
        <v>201</v>
      </c>
      <c r="B2333" s="85" t="s">
        <v>631</v>
      </c>
      <c r="C2333" s="85" t="s">
        <v>660</v>
      </c>
      <c r="D2333" s="56">
        <v>2016</v>
      </c>
      <c r="E2333" s="85" t="s">
        <v>650</v>
      </c>
      <c r="F2333" s="57">
        <v>32</v>
      </c>
      <c r="G2333" s="57">
        <v>0</v>
      </c>
      <c r="H2333" s="58">
        <v>0</v>
      </c>
      <c r="I2333" s="57">
        <v>0</v>
      </c>
      <c r="J2333" s="57">
        <v>21</v>
      </c>
      <c r="K2333" s="57">
        <v>4</v>
      </c>
      <c r="L2333" s="57">
        <v>4</v>
      </c>
      <c r="M2333" s="57">
        <v>0</v>
      </c>
      <c r="N2333" s="57">
        <v>24</v>
      </c>
      <c r="O2333" s="57">
        <v>33</v>
      </c>
      <c r="P2333" s="57">
        <v>59</v>
      </c>
      <c r="Q2333" s="58">
        <v>9</v>
      </c>
    </row>
    <row r="2334" spans="1:17" ht="12.75" x14ac:dyDescent="0.2">
      <c r="A2334" s="85" t="s">
        <v>201</v>
      </c>
      <c r="B2334" s="85" t="s">
        <v>631</v>
      </c>
      <c r="C2334" s="85" t="s">
        <v>660</v>
      </c>
      <c r="D2334" s="56">
        <v>2017</v>
      </c>
      <c r="E2334" s="85" t="s">
        <v>650</v>
      </c>
      <c r="F2334" s="57">
        <v>32</v>
      </c>
      <c r="G2334" s="57">
        <v>23</v>
      </c>
      <c r="H2334" s="58">
        <v>23</v>
      </c>
      <c r="I2334" s="57">
        <v>0</v>
      </c>
      <c r="J2334" s="57">
        <v>21</v>
      </c>
      <c r="K2334" s="57">
        <v>15</v>
      </c>
      <c r="L2334" s="57">
        <v>15</v>
      </c>
      <c r="M2334" s="57">
        <v>0</v>
      </c>
      <c r="N2334" s="57">
        <v>24</v>
      </c>
      <c r="O2334" s="57">
        <v>40</v>
      </c>
      <c r="P2334" s="57">
        <v>59</v>
      </c>
      <c r="Q2334" s="58">
        <v>23</v>
      </c>
    </row>
    <row r="2335" spans="1:17" ht="12.75" x14ac:dyDescent="0.2">
      <c r="A2335" s="85" t="s">
        <v>615</v>
      </c>
      <c r="B2335" s="85" t="s">
        <v>631</v>
      </c>
      <c r="C2335" s="85" t="s">
        <v>660</v>
      </c>
      <c r="D2335" s="56">
        <v>2014</v>
      </c>
      <c r="E2335" s="85" t="s">
        <v>650</v>
      </c>
      <c r="F2335" s="57">
        <v>287</v>
      </c>
      <c r="G2335" s="57">
        <v>0</v>
      </c>
      <c r="H2335" s="58">
        <v>0</v>
      </c>
      <c r="I2335" s="57">
        <v>0</v>
      </c>
      <c r="J2335" s="57">
        <v>181</v>
      </c>
      <c r="K2335" s="57">
        <v>2</v>
      </c>
      <c r="L2335" s="57">
        <v>2</v>
      </c>
      <c r="M2335" s="57">
        <v>0</v>
      </c>
      <c r="N2335" s="57">
        <v>205</v>
      </c>
      <c r="O2335" s="57">
        <v>17</v>
      </c>
      <c r="P2335" s="57">
        <v>502</v>
      </c>
      <c r="Q2335" s="58">
        <v>83</v>
      </c>
    </row>
    <row r="2336" spans="1:17" ht="12.75" x14ac:dyDescent="0.2">
      <c r="A2336" s="85" t="s">
        <v>615</v>
      </c>
      <c r="B2336" s="85" t="s">
        <v>631</v>
      </c>
      <c r="C2336" s="85" t="s">
        <v>660</v>
      </c>
      <c r="D2336" s="56">
        <v>2015</v>
      </c>
      <c r="E2336" s="85" t="s">
        <v>650</v>
      </c>
      <c r="F2336" s="57">
        <v>287</v>
      </c>
      <c r="G2336" s="57">
        <v>35</v>
      </c>
      <c r="H2336" s="58">
        <v>35</v>
      </c>
      <c r="I2336" s="57">
        <v>0</v>
      </c>
      <c r="J2336" s="57">
        <v>181</v>
      </c>
      <c r="K2336" s="57">
        <v>48</v>
      </c>
      <c r="L2336" s="57">
        <v>48</v>
      </c>
      <c r="M2336" s="57">
        <v>0</v>
      </c>
      <c r="N2336" s="57">
        <v>205</v>
      </c>
      <c r="O2336" s="57">
        <v>63</v>
      </c>
      <c r="P2336" s="57">
        <v>502</v>
      </c>
      <c r="Q2336" s="58">
        <v>174</v>
      </c>
    </row>
    <row r="2337" spans="1:17" ht="12.75" x14ac:dyDescent="0.2">
      <c r="A2337" s="85" t="s">
        <v>615</v>
      </c>
      <c r="B2337" s="85" t="s">
        <v>631</v>
      </c>
      <c r="C2337" s="85" t="s">
        <v>660</v>
      </c>
      <c r="D2337" s="56">
        <v>2016</v>
      </c>
      <c r="E2337" s="85" t="s">
        <v>650</v>
      </c>
      <c r="F2337" s="57">
        <v>287</v>
      </c>
      <c r="G2337" s="57">
        <v>0</v>
      </c>
      <c r="H2337" s="58">
        <v>0</v>
      </c>
      <c r="I2337" s="57">
        <v>0</v>
      </c>
      <c r="J2337" s="57">
        <v>181</v>
      </c>
      <c r="K2337" s="57">
        <v>0</v>
      </c>
      <c r="L2337" s="57">
        <v>0</v>
      </c>
      <c r="M2337" s="57">
        <v>0</v>
      </c>
      <c r="N2337" s="57">
        <v>205</v>
      </c>
      <c r="O2337" s="57">
        <v>6</v>
      </c>
      <c r="P2337" s="57">
        <v>502</v>
      </c>
      <c r="Q2337" s="58">
        <v>128</v>
      </c>
    </row>
    <row r="2338" spans="1:17" ht="12.75" x14ac:dyDescent="0.2">
      <c r="A2338" s="85" t="s">
        <v>615</v>
      </c>
      <c r="B2338" s="85" t="s">
        <v>631</v>
      </c>
      <c r="C2338" s="85" t="s">
        <v>660</v>
      </c>
      <c r="D2338" s="56">
        <v>2017</v>
      </c>
      <c r="E2338" s="85" t="s">
        <v>650</v>
      </c>
      <c r="F2338" s="57">
        <v>287</v>
      </c>
      <c r="G2338" s="57">
        <v>0</v>
      </c>
      <c r="H2338" s="58">
        <v>0</v>
      </c>
      <c r="I2338" s="57">
        <v>0</v>
      </c>
      <c r="J2338" s="57">
        <v>181</v>
      </c>
      <c r="K2338" s="57">
        <v>0</v>
      </c>
      <c r="L2338" s="57">
        <v>0</v>
      </c>
      <c r="M2338" s="57">
        <v>0</v>
      </c>
      <c r="N2338" s="57">
        <v>205</v>
      </c>
      <c r="O2338" s="57">
        <v>17</v>
      </c>
      <c r="P2338" s="57">
        <v>502</v>
      </c>
      <c r="Q2338" s="58">
        <v>135</v>
      </c>
    </row>
    <row r="2339" spans="1:17" ht="12.75" x14ac:dyDescent="0.2">
      <c r="A2339" s="85" t="s">
        <v>681</v>
      </c>
      <c r="B2339" s="85" t="s">
        <v>631</v>
      </c>
      <c r="C2339" s="85" t="s">
        <v>660</v>
      </c>
      <c r="D2339" s="56">
        <v>2017</v>
      </c>
      <c r="E2339" s="85" t="s">
        <v>650</v>
      </c>
      <c r="F2339" s="57">
        <v>189</v>
      </c>
      <c r="G2339" s="57">
        <v>4</v>
      </c>
      <c r="H2339" s="58">
        <v>0</v>
      </c>
      <c r="I2339" s="57">
        <v>4</v>
      </c>
      <c r="J2339" s="57">
        <v>117</v>
      </c>
      <c r="K2339" s="57">
        <v>9</v>
      </c>
      <c r="L2339" s="57">
        <v>0</v>
      </c>
      <c r="M2339" s="57">
        <v>9</v>
      </c>
      <c r="N2339" s="57">
        <v>128</v>
      </c>
      <c r="O2339" s="57">
        <v>132</v>
      </c>
      <c r="P2339" s="57">
        <v>321</v>
      </c>
      <c r="Q2339" s="58">
        <v>1</v>
      </c>
    </row>
    <row r="2340" spans="1:17" ht="12.75" x14ac:dyDescent="0.2">
      <c r="A2340" s="85" t="s">
        <v>683</v>
      </c>
      <c r="B2340" s="85" t="s">
        <v>631</v>
      </c>
      <c r="C2340" s="85" t="s">
        <v>660</v>
      </c>
      <c r="D2340" s="56">
        <v>2015</v>
      </c>
      <c r="E2340" s="85" t="s">
        <v>650</v>
      </c>
      <c r="F2340" s="57">
        <v>32</v>
      </c>
      <c r="G2340" s="57">
        <v>7</v>
      </c>
      <c r="H2340" s="58">
        <v>7</v>
      </c>
      <c r="I2340" s="57">
        <v>0</v>
      </c>
      <c r="J2340" s="57">
        <v>21</v>
      </c>
      <c r="K2340" s="57">
        <v>13</v>
      </c>
      <c r="L2340" s="57">
        <v>13</v>
      </c>
      <c r="M2340" s="57">
        <v>0</v>
      </c>
      <c r="N2340" s="57">
        <v>23</v>
      </c>
      <c r="O2340" s="57">
        <v>0</v>
      </c>
      <c r="P2340" s="57">
        <v>58</v>
      </c>
      <c r="Q2340" s="58">
        <v>0</v>
      </c>
    </row>
    <row r="2341" spans="1:17" ht="12.75" x14ac:dyDescent="0.2">
      <c r="A2341" s="85" t="s">
        <v>683</v>
      </c>
      <c r="B2341" s="85" t="s">
        <v>631</v>
      </c>
      <c r="C2341" s="85" t="s">
        <v>660</v>
      </c>
      <c r="D2341" s="56">
        <v>2016</v>
      </c>
      <c r="E2341" s="85" t="s">
        <v>650</v>
      </c>
      <c r="F2341" s="57">
        <v>32</v>
      </c>
      <c r="G2341" s="57">
        <v>2</v>
      </c>
      <c r="H2341" s="58">
        <v>2</v>
      </c>
      <c r="I2341" s="57">
        <v>0</v>
      </c>
      <c r="J2341" s="57">
        <v>21</v>
      </c>
      <c r="K2341" s="57">
        <v>0</v>
      </c>
      <c r="L2341" s="57">
        <v>0</v>
      </c>
      <c r="M2341" s="57">
        <v>0</v>
      </c>
      <c r="N2341" s="57">
        <v>23</v>
      </c>
      <c r="O2341" s="57">
        <v>8</v>
      </c>
      <c r="P2341" s="57">
        <v>58</v>
      </c>
      <c r="Q2341" s="58">
        <v>0</v>
      </c>
    </row>
    <row r="2342" spans="1:17" ht="12.75" x14ac:dyDescent="0.2">
      <c r="A2342" s="85" t="s">
        <v>683</v>
      </c>
      <c r="B2342" s="85" t="s">
        <v>631</v>
      </c>
      <c r="C2342" s="85" t="s">
        <v>660</v>
      </c>
      <c r="D2342" s="56">
        <v>2017</v>
      </c>
      <c r="E2342" s="85" t="s">
        <v>650</v>
      </c>
      <c r="F2342" s="57">
        <v>32</v>
      </c>
      <c r="G2342" s="57">
        <v>0</v>
      </c>
      <c r="H2342" s="58">
        <v>0</v>
      </c>
      <c r="I2342" s="57">
        <v>0</v>
      </c>
      <c r="J2342" s="57">
        <v>21</v>
      </c>
      <c r="K2342" s="57">
        <v>4</v>
      </c>
      <c r="L2342" s="57">
        <v>1</v>
      </c>
      <c r="M2342" s="57">
        <v>3</v>
      </c>
      <c r="N2342" s="57">
        <v>23</v>
      </c>
      <c r="O2342" s="57">
        <v>29</v>
      </c>
      <c r="P2342" s="57">
        <v>58</v>
      </c>
      <c r="Q2342" s="58">
        <v>2</v>
      </c>
    </row>
    <row r="2343" spans="1:17" ht="12.75" x14ac:dyDescent="0.2">
      <c r="A2343" s="81" t="s">
        <v>201</v>
      </c>
      <c r="B2343" s="81" t="s">
        <v>631</v>
      </c>
      <c r="C2343" s="81" t="s">
        <v>660</v>
      </c>
      <c r="D2343" s="82">
        <v>2018</v>
      </c>
      <c r="E2343" s="81" t="s">
        <v>650</v>
      </c>
      <c r="F2343" s="58">
        <v>32</v>
      </c>
      <c r="G2343" s="57">
        <v>0</v>
      </c>
      <c r="H2343" s="58">
        <v>0</v>
      </c>
      <c r="I2343" s="58">
        <v>0</v>
      </c>
      <c r="J2343" s="58">
        <v>21</v>
      </c>
      <c r="K2343" s="57">
        <v>1</v>
      </c>
      <c r="L2343" s="58">
        <v>0</v>
      </c>
      <c r="M2343" s="58">
        <v>1</v>
      </c>
      <c r="N2343" s="58">
        <v>24</v>
      </c>
      <c r="O2343" s="58">
        <v>1</v>
      </c>
      <c r="P2343" s="58">
        <v>59</v>
      </c>
      <c r="Q2343" s="58">
        <v>27</v>
      </c>
    </row>
    <row r="2344" spans="1:17" ht="12.75" x14ac:dyDescent="0.2">
      <c r="A2344" s="81" t="s">
        <v>615</v>
      </c>
      <c r="B2344" s="81" t="s">
        <v>631</v>
      </c>
      <c r="C2344" s="81" t="s">
        <v>660</v>
      </c>
      <c r="D2344" s="82">
        <v>2018</v>
      </c>
      <c r="E2344" s="81" t="s">
        <v>650</v>
      </c>
      <c r="F2344" s="58">
        <v>287</v>
      </c>
      <c r="G2344" s="57">
        <v>0</v>
      </c>
      <c r="H2344" s="58">
        <v>0</v>
      </c>
      <c r="I2344" s="58">
        <v>0</v>
      </c>
      <c r="J2344" s="58">
        <v>181</v>
      </c>
      <c r="K2344" s="57">
        <v>79</v>
      </c>
      <c r="L2344" s="58">
        <v>79</v>
      </c>
      <c r="M2344" s="58">
        <v>0</v>
      </c>
      <c r="N2344" s="58">
        <v>205</v>
      </c>
      <c r="O2344" s="58">
        <v>10</v>
      </c>
      <c r="P2344" s="58">
        <v>502</v>
      </c>
      <c r="Q2344" s="58">
        <v>109</v>
      </c>
    </row>
    <row r="2345" spans="1:17" ht="12.75" x14ac:dyDescent="0.2">
      <c r="A2345" s="81" t="s">
        <v>681</v>
      </c>
      <c r="B2345" s="81" t="s">
        <v>631</v>
      </c>
      <c r="C2345" s="81" t="s">
        <v>660</v>
      </c>
      <c r="D2345" s="82">
        <v>2018</v>
      </c>
      <c r="E2345" s="81" t="s">
        <v>650</v>
      </c>
      <c r="F2345" s="58">
        <v>189</v>
      </c>
      <c r="G2345" s="57">
        <v>12</v>
      </c>
      <c r="H2345" s="58">
        <v>0</v>
      </c>
      <c r="I2345" s="58">
        <v>12</v>
      </c>
      <c r="J2345" s="58">
        <v>117</v>
      </c>
      <c r="K2345" s="57">
        <v>23</v>
      </c>
      <c r="L2345" s="58">
        <v>0</v>
      </c>
      <c r="M2345" s="58">
        <v>23</v>
      </c>
      <c r="N2345" s="58">
        <v>128</v>
      </c>
      <c r="O2345" s="58">
        <v>6</v>
      </c>
      <c r="P2345" s="58">
        <v>321</v>
      </c>
      <c r="Q2345" s="58">
        <v>144</v>
      </c>
    </row>
    <row r="2346" spans="1:17" ht="12.75" x14ac:dyDescent="0.2">
      <c r="A2346" s="81" t="s">
        <v>683</v>
      </c>
      <c r="B2346" s="81" t="s">
        <v>631</v>
      </c>
      <c r="C2346" s="81" t="s">
        <v>660</v>
      </c>
      <c r="D2346" s="82">
        <v>2018</v>
      </c>
      <c r="E2346" s="81" t="s">
        <v>650</v>
      </c>
      <c r="F2346" s="58">
        <v>32</v>
      </c>
      <c r="G2346" s="57">
        <v>0</v>
      </c>
      <c r="H2346" s="58">
        <v>0</v>
      </c>
      <c r="I2346" s="58">
        <v>0</v>
      </c>
      <c r="J2346" s="58">
        <v>21</v>
      </c>
      <c r="K2346" s="57">
        <v>15</v>
      </c>
      <c r="L2346" s="58">
        <v>0</v>
      </c>
      <c r="M2346" s="58">
        <v>15</v>
      </c>
      <c r="N2346" s="58">
        <v>23</v>
      </c>
      <c r="O2346" s="58">
        <v>26</v>
      </c>
      <c r="P2346" s="58">
        <v>58</v>
      </c>
      <c r="Q2346" s="58">
        <v>0</v>
      </c>
    </row>
    <row r="2347" spans="1:17" ht="12.75" x14ac:dyDescent="0.2">
      <c r="A2347" s="85" t="s">
        <v>344</v>
      </c>
      <c r="B2347" s="85" t="s">
        <v>651</v>
      </c>
      <c r="C2347" s="85" t="s">
        <v>660</v>
      </c>
      <c r="D2347" s="56">
        <v>2014</v>
      </c>
      <c r="E2347" s="85" t="s">
        <v>650</v>
      </c>
      <c r="F2347" s="57">
        <v>3</v>
      </c>
      <c r="G2347" s="57">
        <v>0</v>
      </c>
      <c r="H2347" s="58">
        <v>0</v>
      </c>
      <c r="I2347" s="57">
        <v>0</v>
      </c>
      <c r="J2347" s="57">
        <v>2</v>
      </c>
      <c r="K2347" s="57">
        <v>0</v>
      </c>
      <c r="L2347" s="57">
        <v>0</v>
      </c>
      <c r="M2347" s="57">
        <v>0</v>
      </c>
      <c r="N2347" s="57">
        <v>2</v>
      </c>
      <c r="O2347" s="57">
        <v>0</v>
      </c>
      <c r="P2347" s="57">
        <v>5</v>
      </c>
      <c r="Q2347" s="58">
        <v>0</v>
      </c>
    </row>
    <row r="2348" spans="1:17" ht="12.75" x14ac:dyDescent="0.2">
      <c r="A2348" s="85" t="s">
        <v>344</v>
      </c>
      <c r="B2348" s="85" t="s">
        <v>651</v>
      </c>
      <c r="C2348" s="85" t="s">
        <v>660</v>
      </c>
      <c r="D2348" s="56">
        <v>2015</v>
      </c>
      <c r="E2348" s="85" t="s">
        <v>650</v>
      </c>
      <c r="F2348" s="57">
        <v>3</v>
      </c>
      <c r="G2348" s="57">
        <v>0</v>
      </c>
      <c r="H2348" s="58">
        <v>0</v>
      </c>
      <c r="I2348" s="57">
        <v>0</v>
      </c>
      <c r="J2348" s="57">
        <v>2</v>
      </c>
      <c r="K2348" s="57">
        <v>1</v>
      </c>
      <c r="L2348" s="57">
        <v>1</v>
      </c>
      <c r="M2348" s="57">
        <v>0</v>
      </c>
      <c r="N2348" s="57">
        <v>2</v>
      </c>
      <c r="O2348" s="57">
        <v>1</v>
      </c>
      <c r="P2348" s="57">
        <v>5</v>
      </c>
      <c r="Q2348" s="58">
        <v>0</v>
      </c>
    </row>
    <row r="2349" spans="1:17" ht="12.75" x14ac:dyDescent="0.2">
      <c r="A2349" s="85" t="s">
        <v>344</v>
      </c>
      <c r="B2349" s="85" t="s">
        <v>651</v>
      </c>
      <c r="C2349" s="85" t="s">
        <v>660</v>
      </c>
      <c r="D2349" s="56">
        <v>2017</v>
      </c>
      <c r="E2349" s="85" t="s">
        <v>650</v>
      </c>
      <c r="F2349" s="57">
        <v>3</v>
      </c>
      <c r="G2349" s="57">
        <v>0</v>
      </c>
      <c r="H2349" s="58">
        <v>0</v>
      </c>
      <c r="I2349" s="57">
        <v>0</v>
      </c>
      <c r="J2349" s="57">
        <v>2</v>
      </c>
      <c r="K2349" s="57">
        <v>0</v>
      </c>
      <c r="L2349" s="57">
        <v>0</v>
      </c>
      <c r="M2349" s="57">
        <v>0</v>
      </c>
      <c r="N2349" s="57">
        <v>2</v>
      </c>
      <c r="O2349" s="57">
        <v>0</v>
      </c>
      <c r="P2349" s="57">
        <v>5</v>
      </c>
      <c r="Q2349" s="58">
        <v>0</v>
      </c>
    </row>
    <row r="2350" spans="1:17" ht="12.75" x14ac:dyDescent="0.2">
      <c r="A2350" s="85" t="s">
        <v>349</v>
      </c>
      <c r="B2350" s="85" t="s">
        <v>651</v>
      </c>
      <c r="C2350" s="85" t="s">
        <v>660</v>
      </c>
      <c r="D2350" s="56">
        <v>2014</v>
      </c>
      <c r="E2350" s="85" t="s">
        <v>650</v>
      </c>
      <c r="F2350" s="57">
        <v>6</v>
      </c>
      <c r="G2350" s="57">
        <v>0</v>
      </c>
      <c r="H2350" s="58">
        <v>0</v>
      </c>
      <c r="I2350" s="57">
        <v>0</v>
      </c>
      <c r="J2350" s="57">
        <v>4</v>
      </c>
      <c r="K2350" s="57">
        <v>0</v>
      </c>
      <c r="L2350" s="57">
        <v>0</v>
      </c>
      <c r="M2350" s="57">
        <v>0</v>
      </c>
      <c r="N2350" s="57">
        <v>4</v>
      </c>
      <c r="O2350" s="57">
        <v>0</v>
      </c>
      <c r="P2350" s="57">
        <v>9</v>
      </c>
      <c r="Q2350" s="58">
        <v>0</v>
      </c>
    </row>
    <row r="2351" spans="1:17" ht="12.75" x14ac:dyDescent="0.2">
      <c r="A2351" s="85" t="s">
        <v>349</v>
      </c>
      <c r="B2351" s="85" t="s">
        <v>651</v>
      </c>
      <c r="C2351" s="85" t="s">
        <v>660</v>
      </c>
      <c r="D2351" s="56">
        <v>2015</v>
      </c>
      <c r="E2351" s="85" t="s">
        <v>650</v>
      </c>
      <c r="F2351" s="57">
        <v>6</v>
      </c>
      <c r="G2351" s="57">
        <v>0</v>
      </c>
      <c r="H2351" s="58">
        <v>0</v>
      </c>
      <c r="I2351" s="57">
        <v>0</v>
      </c>
      <c r="J2351" s="57">
        <v>4</v>
      </c>
      <c r="K2351" s="57">
        <v>0</v>
      </c>
      <c r="L2351" s="57">
        <v>0</v>
      </c>
      <c r="M2351" s="57">
        <v>0</v>
      </c>
      <c r="N2351" s="57">
        <v>4</v>
      </c>
      <c r="O2351" s="57">
        <v>0</v>
      </c>
      <c r="P2351" s="57">
        <v>9</v>
      </c>
      <c r="Q2351" s="58">
        <v>1</v>
      </c>
    </row>
    <row r="2352" spans="1:17" ht="12.75" x14ac:dyDescent="0.2">
      <c r="A2352" s="85" t="s">
        <v>349</v>
      </c>
      <c r="B2352" s="85" t="s">
        <v>651</v>
      </c>
      <c r="C2352" s="85" t="s">
        <v>660</v>
      </c>
      <c r="D2352" s="56">
        <v>2016</v>
      </c>
      <c r="E2352" s="85" t="s">
        <v>650</v>
      </c>
      <c r="F2352" s="57">
        <v>6</v>
      </c>
      <c r="G2352" s="57">
        <v>0</v>
      </c>
      <c r="H2352" s="58">
        <v>0</v>
      </c>
      <c r="I2352" s="57">
        <v>0</v>
      </c>
      <c r="J2352" s="57">
        <v>4</v>
      </c>
      <c r="K2352" s="57">
        <v>0</v>
      </c>
      <c r="L2352" s="57">
        <v>0</v>
      </c>
      <c r="M2352" s="57">
        <v>0</v>
      </c>
      <c r="N2352" s="57">
        <v>4</v>
      </c>
      <c r="O2352" s="57">
        <v>0</v>
      </c>
      <c r="P2352" s="57">
        <v>9</v>
      </c>
      <c r="Q2352" s="58">
        <v>1</v>
      </c>
    </row>
    <row r="2353" spans="1:17" ht="12.75" x14ac:dyDescent="0.2">
      <c r="A2353" s="85" t="s">
        <v>349</v>
      </c>
      <c r="B2353" s="85" t="s">
        <v>651</v>
      </c>
      <c r="C2353" s="85" t="s">
        <v>660</v>
      </c>
      <c r="D2353" s="56">
        <v>2017</v>
      </c>
      <c r="E2353" s="85" t="s">
        <v>650</v>
      </c>
      <c r="F2353" s="57">
        <v>6</v>
      </c>
      <c r="G2353" s="57">
        <v>0</v>
      </c>
      <c r="H2353" s="58">
        <v>0</v>
      </c>
      <c r="I2353" s="57">
        <v>0</v>
      </c>
      <c r="J2353" s="57">
        <v>4</v>
      </c>
      <c r="K2353" s="57">
        <v>0</v>
      </c>
      <c r="L2353" s="57">
        <v>0</v>
      </c>
      <c r="M2353" s="57">
        <v>0</v>
      </c>
      <c r="N2353" s="57">
        <v>4</v>
      </c>
      <c r="O2353" s="57">
        <v>0</v>
      </c>
      <c r="P2353" s="57">
        <v>9</v>
      </c>
      <c r="Q2353" s="58">
        <v>1</v>
      </c>
    </row>
    <row r="2354" spans="1:17" ht="12.75" x14ac:dyDescent="0.2">
      <c r="A2354" s="85" t="s">
        <v>368</v>
      </c>
      <c r="B2354" s="85" t="s">
        <v>651</v>
      </c>
      <c r="C2354" s="85" t="s">
        <v>660</v>
      </c>
      <c r="D2354" s="56">
        <v>2017</v>
      </c>
      <c r="E2354" s="85" t="s">
        <v>650</v>
      </c>
      <c r="F2354" s="57">
        <v>3</v>
      </c>
      <c r="G2354" s="57">
        <v>0</v>
      </c>
      <c r="H2354" s="58">
        <v>0</v>
      </c>
      <c r="I2354" s="57">
        <v>0</v>
      </c>
      <c r="J2354" s="57">
        <v>2</v>
      </c>
      <c r="K2354" s="57">
        <v>0</v>
      </c>
      <c r="L2354" s="57">
        <v>0</v>
      </c>
      <c r="M2354" s="57">
        <v>0</v>
      </c>
      <c r="N2354" s="57">
        <v>2</v>
      </c>
      <c r="O2354" s="57">
        <v>1</v>
      </c>
      <c r="P2354" s="57">
        <v>3</v>
      </c>
      <c r="Q2354" s="58">
        <v>0</v>
      </c>
    </row>
    <row r="2355" spans="1:17" ht="12.75" x14ac:dyDescent="0.2">
      <c r="A2355" s="85" t="s">
        <v>551</v>
      </c>
      <c r="B2355" s="85" t="s">
        <v>651</v>
      </c>
      <c r="C2355" s="85" t="s">
        <v>660</v>
      </c>
      <c r="D2355" s="56">
        <v>2017</v>
      </c>
      <c r="E2355" s="85" t="s">
        <v>650</v>
      </c>
      <c r="F2355" s="57">
        <v>5</v>
      </c>
      <c r="G2355" s="57">
        <v>0</v>
      </c>
      <c r="H2355" s="58">
        <v>0</v>
      </c>
      <c r="I2355" s="57">
        <v>0</v>
      </c>
      <c r="J2355" s="57">
        <v>3</v>
      </c>
      <c r="K2355" s="57">
        <v>0</v>
      </c>
      <c r="L2355" s="57">
        <v>0</v>
      </c>
      <c r="M2355" s="57">
        <v>0</v>
      </c>
      <c r="N2355" s="57">
        <v>3</v>
      </c>
      <c r="O2355" s="57">
        <v>0</v>
      </c>
      <c r="P2355" s="57">
        <v>8</v>
      </c>
      <c r="Q2355" s="58">
        <v>0</v>
      </c>
    </row>
    <row r="2356" spans="1:17" ht="12.75" x14ac:dyDescent="0.2">
      <c r="A2356" s="85" t="s">
        <v>564</v>
      </c>
      <c r="B2356" s="85" t="s">
        <v>651</v>
      </c>
      <c r="C2356" s="85" t="s">
        <v>660</v>
      </c>
      <c r="D2356" s="56">
        <v>2014</v>
      </c>
      <c r="E2356" s="85" t="s">
        <v>650</v>
      </c>
      <c r="F2356" s="57">
        <v>11</v>
      </c>
      <c r="G2356" s="57">
        <v>0</v>
      </c>
      <c r="H2356" s="58">
        <v>0</v>
      </c>
      <c r="I2356" s="57">
        <v>0</v>
      </c>
      <c r="J2356" s="57">
        <v>7</v>
      </c>
      <c r="K2356" s="57">
        <v>0</v>
      </c>
      <c r="L2356" s="57">
        <v>0</v>
      </c>
      <c r="M2356" s="57">
        <v>0</v>
      </c>
      <c r="N2356" s="57">
        <v>8</v>
      </c>
      <c r="O2356" s="57">
        <v>0</v>
      </c>
      <c r="P2356" s="57">
        <v>19</v>
      </c>
      <c r="Q2356" s="58">
        <v>1</v>
      </c>
    </row>
    <row r="2357" spans="1:17" ht="12.75" x14ac:dyDescent="0.2">
      <c r="A2357" s="81" t="s">
        <v>752</v>
      </c>
      <c r="B2357" s="81" t="s">
        <v>651</v>
      </c>
      <c r="C2357" s="81" t="s">
        <v>660</v>
      </c>
      <c r="D2357" s="82">
        <v>2015</v>
      </c>
      <c r="E2357" s="81" t="s">
        <v>650</v>
      </c>
      <c r="F2357" s="58">
        <v>25</v>
      </c>
      <c r="G2357" s="57">
        <v>0</v>
      </c>
      <c r="H2357" s="58">
        <v>0</v>
      </c>
      <c r="I2357" s="58">
        <v>0</v>
      </c>
      <c r="J2357" s="58">
        <v>17</v>
      </c>
      <c r="K2357" s="57">
        <v>0</v>
      </c>
      <c r="L2357" s="58">
        <v>0</v>
      </c>
      <c r="M2357" s="58">
        <v>0</v>
      </c>
      <c r="N2357" s="58">
        <v>18</v>
      </c>
      <c r="O2357" s="58">
        <v>2</v>
      </c>
      <c r="P2357" s="58">
        <v>43</v>
      </c>
      <c r="Q2357" s="58">
        <v>0</v>
      </c>
    </row>
    <row r="2358" spans="1:17" ht="12.75" x14ac:dyDescent="0.2">
      <c r="A2358" s="81" t="s">
        <v>752</v>
      </c>
      <c r="B2358" s="81" t="s">
        <v>651</v>
      </c>
      <c r="C2358" s="81" t="s">
        <v>660</v>
      </c>
      <c r="D2358" s="82">
        <v>2016</v>
      </c>
      <c r="E2358" s="81" t="s">
        <v>650</v>
      </c>
      <c r="F2358" s="58">
        <v>25</v>
      </c>
      <c r="G2358" s="57">
        <v>0</v>
      </c>
      <c r="H2358" s="58">
        <v>0</v>
      </c>
      <c r="I2358" s="58">
        <v>0</v>
      </c>
      <c r="J2358" s="58">
        <v>17</v>
      </c>
      <c r="K2358" s="57">
        <v>0</v>
      </c>
      <c r="L2358" s="58">
        <v>0</v>
      </c>
      <c r="M2358" s="58">
        <v>0</v>
      </c>
      <c r="N2358" s="58">
        <v>18</v>
      </c>
      <c r="O2358" s="58">
        <v>0</v>
      </c>
      <c r="P2358" s="58">
        <v>43</v>
      </c>
      <c r="Q2358" s="58">
        <v>0</v>
      </c>
    </row>
    <row r="2359" spans="1:17" ht="12.75" x14ac:dyDescent="0.2">
      <c r="A2359" s="81" t="s">
        <v>752</v>
      </c>
      <c r="B2359" s="81" t="s">
        <v>651</v>
      </c>
      <c r="C2359" s="81" t="s">
        <v>660</v>
      </c>
      <c r="D2359" s="82">
        <v>2017</v>
      </c>
      <c r="E2359" s="81" t="s">
        <v>650</v>
      </c>
      <c r="F2359" s="58">
        <v>25</v>
      </c>
      <c r="G2359" s="57">
        <v>0</v>
      </c>
      <c r="H2359" s="58">
        <v>0</v>
      </c>
      <c r="I2359" s="58">
        <v>0</v>
      </c>
      <c r="J2359" s="58">
        <v>17</v>
      </c>
      <c r="K2359" s="57">
        <v>0</v>
      </c>
      <c r="L2359" s="58">
        <v>0</v>
      </c>
      <c r="M2359" s="58">
        <v>0</v>
      </c>
      <c r="N2359" s="58">
        <v>18</v>
      </c>
      <c r="O2359" s="58">
        <v>3</v>
      </c>
      <c r="P2359" s="58">
        <v>43</v>
      </c>
      <c r="Q2359" s="58">
        <v>0</v>
      </c>
    </row>
    <row r="2360" spans="1:17" ht="12.75" x14ac:dyDescent="0.2">
      <c r="A2360" s="81" t="s">
        <v>344</v>
      </c>
      <c r="B2360" s="81" t="s">
        <v>651</v>
      </c>
      <c r="C2360" s="81" t="s">
        <v>660</v>
      </c>
      <c r="D2360" s="82">
        <v>2018</v>
      </c>
      <c r="E2360" s="81" t="s">
        <v>650</v>
      </c>
      <c r="F2360" s="58">
        <v>3</v>
      </c>
      <c r="G2360" s="85"/>
      <c r="H2360" s="86"/>
      <c r="I2360" s="86"/>
      <c r="J2360" s="58">
        <v>2</v>
      </c>
      <c r="K2360" s="85"/>
      <c r="L2360" s="86"/>
      <c r="M2360" s="86"/>
      <c r="N2360" s="58">
        <v>2</v>
      </c>
      <c r="O2360" s="86"/>
      <c r="P2360" s="58">
        <v>5</v>
      </c>
      <c r="Q2360" s="86"/>
    </row>
    <row r="2361" spans="1:17" ht="12.75" x14ac:dyDescent="0.2">
      <c r="A2361" s="81" t="s">
        <v>349</v>
      </c>
      <c r="B2361" s="81" t="s">
        <v>651</v>
      </c>
      <c r="C2361" s="81" t="s">
        <v>660</v>
      </c>
      <c r="D2361" s="82">
        <v>2018</v>
      </c>
      <c r="E2361" s="81" t="s">
        <v>650</v>
      </c>
      <c r="F2361" s="58">
        <v>6</v>
      </c>
      <c r="G2361" s="85"/>
      <c r="H2361" s="86"/>
      <c r="I2361" s="86"/>
      <c r="J2361" s="58">
        <v>4</v>
      </c>
      <c r="K2361" s="85"/>
      <c r="L2361" s="86"/>
      <c r="M2361" s="86"/>
      <c r="N2361" s="58">
        <v>4</v>
      </c>
      <c r="O2361" s="86"/>
      <c r="P2361" s="58">
        <v>9</v>
      </c>
      <c r="Q2361" s="86"/>
    </row>
    <row r="2362" spans="1:17" ht="12.75" x14ac:dyDescent="0.2">
      <c r="A2362" s="81" t="s">
        <v>368</v>
      </c>
      <c r="B2362" s="81" t="s">
        <v>651</v>
      </c>
      <c r="C2362" s="81" t="s">
        <v>660</v>
      </c>
      <c r="D2362" s="82">
        <v>2018</v>
      </c>
      <c r="E2362" s="81" t="s">
        <v>650</v>
      </c>
      <c r="F2362" s="58">
        <v>3</v>
      </c>
      <c r="G2362" s="85"/>
      <c r="H2362" s="86"/>
      <c r="I2362" s="86"/>
      <c r="J2362" s="58">
        <v>2</v>
      </c>
      <c r="K2362" s="85"/>
      <c r="L2362" s="86"/>
      <c r="M2362" s="86"/>
      <c r="N2362" s="58">
        <v>2</v>
      </c>
      <c r="O2362" s="86"/>
      <c r="P2362" s="58">
        <v>3</v>
      </c>
      <c r="Q2362" s="86"/>
    </row>
    <row r="2363" spans="1:17" ht="12.75" x14ac:dyDescent="0.2">
      <c r="A2363" s="81" t="s">
        <v>551</v>
      </c>
      <c r="B2363" s="81" t="s">
        <v>651</v>
      </c>
      <c r="C2363" s="81" t="s">
        <v>660</v>
      </c>
      <c r="D2363" s="82">
        <v>2018</v>
      </c>
      <c r="E2363" s="81" t="s">
        <v>650</v>
      </c>
      <c r="F2363" s="58">
        <v>5</v>
      </c>
      <c r="G2363" s="85"/>
      <c r="H2363" s="86"/>
      <c r="I2363" s="86"/>
      <c r="J2363" s="58">
        <v>3</v>
      </c>
      <c r="K2363" s="85"/>
      <c r="L2363" s="86"/>
      <c r="M2363" s="86"/>
      <c r="N2363" s="58">
        <v>3</v>
      </c>
      <c r="O2363" s="86"/>
      <c r="P2363" s="58">
        <v>8</v>
      </c>
      <c r="Q2363" s="86"/>
    </row>
    <row r="2364" spans="1:17" ht="12.75" x14ac:dyDescent="0.2">
      <c r="A2364" s="81" t="s">
        <v>716</v>
      </c>
      <c r="B2364" s="81" t="s">
        <v>651</v>
      </c>
      <c r="C2364" s="81" t="s">
        <v>660</v>
      </c>
      <c r="D2364" s="82">
        <v>2018</v>
      </c>
      <c r="E2364" s="81" t="s">
        <v>650</v>
      </c>
      <c r="F2364" s="58">
        <v>3</v>
      </c>
      <c r="G2364" s="85"/>
      <c r="H2364" s="86"/>
      <c r="I2364" s="86"/>
      <c r="J2364" s="58">
        <v>2</v>
      </c>
      <c r="K2364" s="85"/>
      <c r="L2364" s="86"/>
      <c r="M2364" s="86"/>
      <c r="N2364" s="58">
        <v>2</v>
      </c>
      <c r="O2364" s="86"/>
      <c r="P2364" s="58">
        <v>6</v>
      </c>
      <c r="Q2364" s="86"/>
    </row>
    <row r="2365" spans="1:17" ht="12.75" x14ac:dyDescent="0.2">
      <c r="A2365" s="81" t="s">
        <v>736</v>
      </c>
      <c r="B2365" s="81" t="s">
        <v>651</v>
      </c>
      <c r="C2365" s="81" t="s">
        <v>660</v>
      </c>
      <c r="D2365" s="82">
        <v>2018</v>
      </c>
      <c r="E2365" s="81" t="s">
        <v>650</v>
      </c>
      <c r="F2365" s="58">
        <v>10</v>
      </c>
      <c r="G2365" s="57">
        <v>0</v>
      </c>
      <c r="H2365" s="58">
        <v>0</v>
      </c>
      <c r="I2365" s="58">
        <v>0</v>
      </c>
      <c r="J2365" s="58">
        <v>6</v>
      </c>
      <c r="K2365" s="57">
        <v>0</v>
      </c>
      <c r="L2365" s="58">
        <v>0</v>
      </c>
      <c r="M2365" s="58">
        <v>0</v>
      </c>
      <c r="N2365" s="58">
        <v>6</v>
      </c>
      <c r="O2365" s="58">
        <v>0</v>
      </c>
      <c r="P2365" s="58">
        <v>16</v>
      </c>
      <c r="Q2365" s="58">
        <v>2</v>
      </c>
    </row>
    <row r="2366" spans="1:17" ht="12.75" x14ac:dyDescent="0.2">
      <c r="A2366" s="81" t="s">
        <v>752</v>
      </c>
      <c r="B2366" s="81" t="s">
        <v>651</v>
      </c>
      <c r="C2366" s="81" t="s">
        <v>660</v>
      </c>
      <c r="D2366" s="82">
        <v>2018</v>
      </c>
      <c r="E2366" s="81" t="s">
        <v>650</v>
      </c>
      <c r="F2366" s="58">
        <v>25</v>
      </c>
      <c r="G2366" s="57">
        <v>0</v>
      </c>
      <c r="H2366" s="58">
        <v>0</v>
      </c>
      <c r="I2366" s="58">
        <v>0</v>
      </c>
      <c r="J2366" s="58">
        <v>17</v>
      </c>
      <c r="K2366" s="57">
        <v>0</v>
      </c>
      <c r="L2366" s="58">
        <v>0</v>
      </c>
      <c r="M2366" s="58">
        <v>0</v>
      </c>
      <c r="N2366" s="58">
        <v>18</v>
      </c>
      <c r="O2366" s="58">
        <v>1</v>
      </c>
      <c r="P2366" s="58">
        <v>43</v>
      </c>
      <c r="Q2366" s="58">
        <v>0</v>
      </c>
    </row>
    <row r="2367" spans="1:17" ht="12.75" x14ac:dyDescent="0.2">
      <c r="A2367" s="85" t="s">
        <v>238</v>
      </c>
      <c r="B2367" s="85" t="s">
        <v>663</v>
      </c>
      <c r="C2367" s="85" t="s">
        <v>654</v>
      </c>
      <c r="D2367" s="56">
        <v>2014</v>
      </c>
      <c r="E2367" s="85" t="s">
        <v>650</v>
      </c>
      <c r="F2367" s="57">
        <v>94</v>
      </c>
      <c r="G2367" s="57">
        <v>0</v>
      </c>
      <c r="H2367" s="58">
        <v>0</v>
      </c>
      <c r="I2367" s="57">
        <v>0</v>
      </c>
      <c r="J2367" s="57">
        <v>54</v>
      </c>
      <c r="K2367" s="57">
        <v>0</v>
      </c>
      <c r="L2367" s="57">
        <v>0</v>
      </c>
      <c r="M2367" s="57">
        <v>0</v>
      </c>
      <c r="N2367" s="57">
        <v>56</v>
      </c>
      <c r="O2367" s="57">
        <v>0</v>
      </c>
      <c r="P2367" s="57">
        <v>123</v>
      </c>
      <c r="Q2367" s="58">
        <v>4</v>
      </c>
    </row>
    <row r="2368" spans="1:17" ht="12.75" x14ac:dyDescent="0.2">
      <c r="A2368" s="85" t="s">
        <v>238</v>
      </c>
      <c r="B2368" s="85" t="s">
        <v>663</v>
      </c>
      <c r="C2368" s="85" t="s">
        <v>654</v>
      </c>
      <c r="D2368" s="56">
        <v>2015</v>
      </c>
      <c r="E2368" s="85" t="s">
        <v>650</v>
      </c>
      <c r="F2368" s="57">
        <v>94</v>
      </c>
      <c r="G2368" s="57">
        <v>0</v>
      </c>
      <c r="H2368" s="58">
        <v>0</v>
      </c>
      <c r="I2368" s="57">
        <v>0</v>
      </c>
      <c r="J2368" s="57">
        <v>54</v>
      </c>
      <c r="K2368" s="57">
        <v>1</v>
      </c>
      <c r="L2368" s="57">
        <v>1</v>
      </c>
      <c r="M2368" s="57">
        <v>0</v>
      </c>
      <c r="N2368" s="57">
        <v>56</v>
      </c>
      <c r="O2368" s="57">
        <v>0</v>
      </c>
      <c r="P2368" s="57">
        <v>123</v>
      </c>
      <c r="Q2368" s="58">
        <v>2</v>
      </c>
    </row>
    <row r="2369" spans="1:17" ht="12.75" x14ac:dyDescent="0.2">
      <c r="A2369" s="85" t="s">
        <v>238</v>
      </c>
      <c r="B2369" s="85" t="s">
        <v>663</v>
      </c>
      <c r="C2369" s="85" t="s">
        <v>654</v>
      </c>
      <c r="D2369" s="56">
        <v>2016</v>
      </c>
      <c r="E2369" s="85" t="s">
        <v>650</v>
      </c>
      <c r="F2369" s="57">
        <v>94</v>
      </c>
      <c r="G2369" s="57">
        <v>0</v>
      </c>
      <c r="H2369" s="58">
        <v>0</v>
      </c>
      <c r="I2369" s="57">
        <v>0</v>
      </c>
      <c r="J2369" s="57">
        <v>54</v>
      </c>
      <c r="K2369" s="57">
        <v>2</v>
      </c>
      <c r="L2369" s="57">
        <v>2</v>
      </c>
      <c r="M2369" s="57">
        <v>0</v>
      </c>
      <c r="N2369" s="57">
        <v>56</v>
      </c>
      <c r="O2369" s="57">
        <v>0</v>
      </c>
      <c r="P2369" s="57">
        <v>123</v>
      </c>
      <c r="Q2369" s="58">
        <v>1</v>
      </c>
    </row>
    <row r="2370" spans="1:17" ht="12.75" x14ac:dyDescent="0.2">
      <c r="A2370" s="85" t="s">
        <v>238</v>
      </c>
      <c r="B2370" s="85" t="s">
        <v>663</v>
      </c>
      <c r="C2370" s="85" t="s">
        <v>654</v>
      </c>
      <c r="D2370" s="56">
        <v>2017</v>
      </c>
      <c r="E2370" s="85" t="s">
        <v>650</v>
      </c>
      <c r="F2370" s="57">
        <v>94</v>
      </c>
      <c r="G2370" s="57">
        <v>1</v>
      </c>
      <c r="H2370" s="58">
        <v>1</v>
      </c>
      <c r="I2370" s="57">
        <v>0</v>
      </c>
      <c r="J2370" s="57">
        <v>54</v>
      </c>
      <c r="K2370" s="57">
        <v>0</v>
      </c>
      <c r="L2370" s="57">
        <v>0</v>
      </c>
      <c r="M2370" s="57">
        <v>0</v>
      </c>
      <c r="N2370" s="57">
        <v>56</v>
      </c>
      <c r="O2370" s="57">
        <v>0</v>
      </c>
      <c r="P2370" s="57">
        <v>123</v>
      </c>
      <c r="Q2370" s="58">
        <v>8</v>
      </c>
    </row>
    <row r="2371" spans="1:17" ht="12.75" x14ac:dyDescent="0.2">
      <c r="A2371" s="85" t="s">
        <v>342</v>
      </c>
      <c r="B2371" s="85" t="s">
        <v>663</v>
      </c>
      <c r="C2371" s="85" t="s">
        <v>654</v>
      </c>
      <c r="D2371" s="56">
        <v>2015</v>
      </c>
      <c r="E2371" s="85" t="s">
        <v>650</v>
      </c>
      <c r="F2371" s="57">
        <v>50</v>
      </c>
      <c r="G2371" s="57">
        <v>0</v>
      </c>
      <c r="H2371" s="58">
        <v>0</v>
      </c>
      <c r="I2371" s="57">
        <v>0</v>
      </c>
      <c r="J2371" s="57">
        <v>24</v>
      </c>
      <c r="K2371" s="57">
        <v>0</v>
      </c>
      <c r="L2371" s="57">
        <v>0</v>
      </c>
      <c r="M2371" s="57">
        <v>0</v>
      </c>
      <c r="N2371" s="57">
        <v>30</v>
      </c>
      <c r="O2371" s="57">
        <v>59</v>
      </c>
      <c r="P2371" s="57">
        <v>93</v>
      </c>
      <c r="Q2371" s="58">
        <v>0</v>
      </c>
    </row>
    <row r="2372" spans="1:17" ht="12.75" x14ac:dyDescent="0.2">
      <c r="A2372" s="85" t="s">
        <v>342</v>
      </c>
      <c r="B2372" s="85" t="s">
        <v>663</v>
      </c>
      <c r="C2372" s="85" t="s">
        <v>654</v>
      </c>
      <c r="D2372" s="56">
        <v>2016</v>
      </c>
      <c r="E2372" s="85" t="s">
        <v>650</v>
      </c>
      <c r="F2372" s="57">
        <v>50</v>
      </c>
      <c r="G2372" s="57">
        <v>0</v>
      </c>
      <c r="H2372" s="58">
        <v>0</v>
      </c>
      <c r="I2372" s="57">
        <v>0</v>
      </c>
      <c r="J2372" s="57">
        <v>24</v>
      </c>
      <c r="K2372" s="57">
        <v>54</v>
      </c>
      <c r="L2372" s="57">
        <v>54</v>
      </c>
      <c r="M2372" s="57">
        <v>0</v>
      </c>
      <c r="N2372" s="57">
        <v>30</v>
      </c>
      <c r="O2372" s="57">
        <v>0</v>
      </c>
      <c r="P2372" s="57">
        <v>93</v>
      </c>
      <c r="Q2372" s="58">
        <v>43</v>
      </c>
    </row>
    <row r="2373" spans="1:17" ht="12.75" x14ac:dyDescent="0.2">
      <c r="A2373" s="85" t="s">
        <v>342</v>
      </c>
      <c r="B2373" s="85" t="s">
        <v>663</v>
      </c>
      <c r="C2373" s="85" t="s">
        <v>654</v>
      </c>
      <c r="D2373" s="56">
        <v>2017</v>
      </c>
      <c r="E2373" s="85" t="s">
        <v>650</v>
      </c>
      <c r="F2373" s="57">
        <v>50</v>
      </c>
      <c r="G2373" s="57">
        <v>0</v>
      </c>
      <c r="H2373" s="58">
        <v>0</v>
      </c>
      <c r="I2373" s="57">
        <v>0</v>
      </c>
      <c r="J2373" s="57">
        <v>24</v>
      </c>
      <c r="K2373" s="57">
        <v>0</v>
      </c>
      <c r="L2373" s="57">
        <v>0</v>
      </c>
      <c r="M2373" s="57">
        <v>0</v>
      </c>
      <c r="N2373" s="57">
        <v>30</v>
      </c>
      <c r="O2373" s="57">
        <v>0</v>
      </c>
      <c r="P2373" s="57">
        <v>93</v>
      </c>
      <c r="Q2373" s="58">
        <v>104</v>
      </c>
    </row>
    <row r="2374" spans="1:17" ht="12.75" x14ac:dyDescent="0.2">
      <c r="A2374" s="85" t="s">
        <v>376</v>
      </c>
      <c r="B2374" s="85" t="s">
        <v>663</v>
      </c>
      <c r="C2374" s="85" t="s">
        <v>654</v>
      </c>
      <c r="D2374" s="56">
        <v>2014</v>
      </c>
      <c r="E2374" s="85" t="s">
        <v>650</v>
      </c>
      <c r="F2374" s="57">
        <v>779</v>
      </c>
      <c r="G2374" s="57">
        <v>0</v>
      </c>
      <c r="H2374" s="58">
        <v>0</v>
      </c>
      <c r="I2374" s="57">
        <v>0</v>
      </c>
      <c r="J2374" s="57">
        <v>404</v>
      </c>
      <c r="K2374" s="57">
        <v>0</v>
      </c>
      <c r="L2374" s="57">
        <v>0</v>
      </c>
      <c r="M2374" s="57">
        <v>0</v>
      </c>
      <c r="N2374" s="57">
        <v>456</v>
      </c>
      <c r="O2374" s="57">
        <v>6</v>
      </c>
      <c r="P2374" s="57">
        <v>1461</v>
      </c>
      <c r="Q2374" s="58">
        <v>319</v>
      </c>
    </row>
    <row r="2375" spans="1:17" ht="12.75" x14ac:dyDescent="0.2">
      <c r="A2375" s="85" t="s">
        <v>376</v>
      </c>
      <c r="B2375" s="85" t="s">
        <v>663</v>
      </c>
      <c r="C2375" s="85" t="s">
        <v>654</v>
      </c>
      <c r="D2375" s="56">
        <v>2015</v>
      </c>
      <c r="E2375" s="85" t="s">
        <v>650</v>
      </c>
      <c r="F2375" s="57">
        <v>779</v>
      </c>
      <c r="G2375" s="57">
        <v>0</v>
      </c>
      <c r="H2375" s="58">
        <v>0</v>
      </c>
      <c r="I2375" s="57">
        <v>0</v>
      </c>
      <c r="J2375" s="57">
        <v>404</v>
      </c>
      <c r="K2375" s="57">
        <v>0</v>
      </c>
      <c r="L2375" s="57">
        <v>0</v>
      </c>
      <c r="M2375" s="57">
        <v>0</v>
      </c>
      <c r="N2375" s="57">
        <v>456</v>
      </c>
      <c r="O2375" s="57">
        <v>290</v>
      </c>
      <c r="P2375" s="57">
        <v>1461</v>
      </c>
      <c r="Q2375" s="58">
        <v>448</v>
      </c>
    </row>
    <row r="2376" spans="1:17" ht="12.75" x14ac:dyDescent="0.2">
      <c r="A2376" s="85" t="s">
        <v>376</v>
      </c>
      <c r="B2376" s="85" t="s">
        <v>663</v>
      </c>
      <c r="C2376" s="85" t="s">
        <v>654</v>
      </c>
      <c r="D2376" s="56">
        <v>2016</v>
      </c>
      <c r="E2376" s="85" t="s">
        <v>650</v>
      </c>
      <c r="F2376" s="57">
        <v>779</v>
      </c>
      <c r="G2376" s="57">
        <v>0</v>
      </c>
      <c r="H2376" s="58">
        <v>0</v>
      </c>
      <c r="I2376" s="57">
        <v>0</v>
      </c>
      <c r="J2376" s="57">
        <v>404</v>
      </c>
      <c r="K2376" s="57">
        <v>0</v>
      </c>
      <c r="L2376" s="57">
        <v>0</v>
      </c>
      <c r="M2376" s="57">
        <v>0</v>
      </c>
      <c r="N2376" s="57">
        <v>456</v>
      </c>
      <c r="O2376" s="57">
        <v>63</v>
      </c>
      <c r="P2376" s="57">
        <v>1461</v>
      </c>
      <c r="Q2376" s="58">
        <v>200</v>
      </c>
    </row>
    <row r="2377" spans="1:17" ht="12.75" x14ac:dyDescent="0.2">
      <c r="A2377" s="85" t="s">
        <v>376</v>
      </c>
      <c r="B2377" s="59" t="s">
        <v>663</v>
      </c>
      <c r="C2377" s="85" t="s">
        <v>654</v>
      </c>
      <c r="D2377" s="96">
        <v>2017</v>
      </c>
      <c r="E2377" s="85" t="s">
        <v>650</v>
      </c>
      <c r="F2377" s="57">
        <v>779</v>
      </c>
      <c r="G2377" s="57">
        <v>0</v>
      </c>
      <c r="H2377" s="61">
        <v>0</v>
      </c>
      <c r="I2377" s="57">
        <v>0</v>
      </c>
      <c r="J2377" s="57">
        <v>404</v>
      </c>
      <c r="K2377" s="57">
        <v>0</v>
      </c>
      <c r="L2377" s="60">
        <v>0</v>
      </c>
      <c r="M2377" s="57">
        <v>0</v>
      </c>
      <c r="N2377" s="60">
        <v>456</v>
      </c>
      <c r="O2377" s="57">
        <v>1</v>
      </c>
      <c r="P2377" s="57">
        <v>1461</v>
      </c>
      <c r="Q2377" s="61">
        <v>435</v>
      </c>
    </row>
    <row r="2378" spans="1:17" ht="12.75" x14ac:dyDescent="0.2">
      <c r="A2378" s="85" t="s">
        <v>622</v>
      </c>
      <c r="B2378" s="85" t="s">
        <v>663</v>
      </c>
      <c r="C2378" s="85" t="s">
        <v>654</v>
      </c>
      <c r="D2378" s="56">
        <v>2015</v>
      </c>
      <c r="E2378" s="85" t="s">
        <v>650</v>
      </c>
      <c r="F2378" s="57">
        <v>45</v>
      </c>
      <c r="G2378" s="57">
        <v>0</v>
      </c>
      <c r="H2378" s="58">
        <v>0</v>
      </c>
      <c r="I2378" s="57">
        <v>0</v>
      </c>
      <c r="J2378" s="57">
        <v>36</v>
      </c>
      <c r="K2378" s="57">
        <v>0</v>
      </c>
      <c r="L2378" s="57">
        <v>0</v>
      </c>
      <c r="M2378" s="57">
        <v>0</v>
      </c>
      <c r="N2378" s="57">
        <v>48</v>
      </c>
      <c r="O2378" s="57">
        <v>67</v>
      </c>
      <c r="P2378" s="57">
        <v>170</v>
      </c>
      <c r="Q2378" s="58">
        <v>80</v>
      </c>
    </row>
    <row r="2379" spans="1:17" ht="12.75" x14ac:dyDescent="0.2">
      <c r="A2379" s="85" t="s">
        <v>622</v>
      </c>
      <c r="B2379" s="85" t="s">
        <v>663</v>
      </c>
      <c r="C2379" s="85" t="s">
        <v>654</v>
      </c>
      <c r="D2379" s="56">
        <v>2016</v>
      </c>
      <c r="E2379" s="85" t="s">
        <v>650</v>
      </c>
      <c r="F2379" s="57">
        <v>45</v>
      </c>
      <c r="G2379" s="57">
        <v>0</v>
      </c>
      <c r="H2379" s="58">
        <v>0</v>
      </c>
      <c r="I2379" s="57">
        <v>0</v>
      </c>
      <c r="J2379" s="57">
        <v>36</v>
      </c>
      <c r="K2379" s="57">
        <v>0</v>
      </c>
      <c r="L2379" s="57">
        <v>0</v>
      </c>
      <c r="M2379" s="57">
        <v>0</v>
      </c>
      <c r="N2379" s="57">
        <v>48</v>
      </c>
      <c r="O2379" s="57">
        <v>12</v>
      </c>
      <c r="P2379" s="57">
        <v>170</v>
      </c>
      <c r="Q2379" s="58">
        <v>156</v>
      </c>
    </row>
    <row r="2380" spans="1:17" ht="12.75" x14ac:dyDescent="0.2">
      <c r="A2380" s="85" t="s">
        <v>622</v>
      </c>
      <c r="B2380" s="85" t="s">
        <v>663</v>
      </c>
      <c r="C2380" s="85" t="s">
        <v>654</v>
      </c>
      <c r="D2380" s="56">
        <v>2017</v>
      </c>
      <c r="E2380" s="85" t="s">
        <v>650</v>
      </c>
      <c r="F2380" s="57">
        <v>45</v>
      </c>
      <c r="G2380" s="57">
        <v>0</v>
      </c>
      <c r="H2380" s="58">
        <v>0</v>
      </c>
      <c r="I2380" s="57">
        <v>0</v>
      </c>
      <c r="J2380" s="57">
        <v>36</v>
      </c>
      <c r="K2380" s="57">
        <v>4</v>
      </c>
      <c r="L2380" s="57">
        <v>0</v>
      </c>
      <c r="M2380" s="57">
        <v>4</v>
      </c>
      <c r="N2380" s="57">
        <v>48</v>
      </c>
      <c r="O2380" s="57">
        <v>73</v>
      </c>
      <c r="P2380" s="57">
        <v>170</v>
      </c>
      <c r="Q2380" s="58">
        <v>75</v>
      </c>
    </row>
    <row r="2381" spans="1:17" ht="12.75" x14ac:dyDescent="0.2">
      <c r="A2381" s="85" t="s">
        <v>689</v>
      </c>
      <c r="B2381" s="59" t="s">
        <v>663</v>
      </c>
      <c r="C2381" s="85" t="s">
        <v>654</v>
      </c>
      <c r="D2381" s="96">
        <v>2014</v>
      </c>
      <c r="E2381" s="85" t="s">
        <v>650</v>
      </c>
      <c r="F2381" s="57">
        <v>26</v>
      </c>
      <c r="G2381" s="57">
        <v>1</v>
      </c>
      <c r="H2381" s="61">
        <v>1</v>
      </c>
      <c r="I2381" s="57">
        <v>0</v>
      </c>
      <c r="J2381" s="57">
        <v>15</v>
      </c>
      <c r="K2381" s="57">
        <v>13</v>
      </c>
      <c r="L2381" s="60">
        <v>13</v>
      </c>
      <c r="M2381" s="57">
        <v>0</v>
      </c>
      <c r="N2381" s="60">
        <v>19</v>
      </c>
      <c r="O2381" s="57">
        <v>2</v>
      </c>
      <c r="P2381" s="57">
        <v>43</v>
      </c>
      <c r="Q2381" s="61">
        <v>7</v>
      </c>
    </row>
    <row r="2382" spans="1:17" ht="12.75" x14ac:dyDescent="0.2">
      <c r="A2382" s="85" t="s">
        <v>689</v>
      </c>
      <c r="B2382" s="85" t="s">
        <v>663</v>
      </c>
      <c r="C2382" s="85" t="s">
        <v>654</v>
      </c>
      <c r="D2382" s="56">
        <v>2015</v>
      </c>
      <c r="E2382" s="85" t="s">
        <v>650</v>
      </c>
      <c r="F2382" s="57">
        <v>26</v>
      </c>
      <c r="G2382" s="57">
        <v>0</v>
      </c>
      <c r="H2382" s="58">
        <v>0</v>
      </c>
      <c r="I2382" s="57">
        <v>0</v>
      </c>
      <c r="J2382" s="57">
        <v>15</v>
      </c>
      <c r="K2382" s="57">
        <v>11</v>
      </c>
      <c r="L2382" s="57">
        <v>0</v>
      </c>
      <c r="M2382" s="57">
        <v>11</v>
      </c>
      <c r="N2382" s="57">
        <v>19</v>
      </c>
      <c r="O2382" s="57">
        <v>7</v>
      </c>
      <c r="P2382" s="57">
        <v>43</v>
      </c>
      <c r="Q2382" s="58">
        <v>14</v>
      </c>
    </row>
    <row r="2383" spans="1:17" ht="12.75" x14ac:dyDescent="0.2">
      <c r="A2383" s="85" t="s">
        <v>689</v>
      </c>
      <c r="B2383" s="59" t="s">
        <v>663</v>
      </c>
      <c r="C2383" s="85" t="s">
        <v>654</v>
      </c>
      <c r="D2383" s="96">
        <v>2016</v>
      </c>
      <c r="E2383" s="85" t="s">
        <v>650</v>
      </c>
      <c r="F2383" s="57">
        <v>26</v>
      </c>
      <c r="G2383" s="57">
        <v>3</v>
      </c>
      <c r="H2383" s="58">
        <v>0</v>
      </c>
      <c r="I2383" s="57">
        <v>3</v>
      </c>
      <c r="J2383" s="57">
        <v>15</v>
      </c>
      <c r="K2383" s="57">
        <v>8</v>
      </c>
      <c r="L2383" s="57">
        <v>0</v>
      </c>
      <c r="M2383" s="57">
        <v>8</v>
      </c>
      <c r="N2383" s="57">
        <v>19</v>
      </c>
      <c r="O2383" s="57">
        <v>5</v>
      </c>
      <c r="P2383" s="57">
        <v>43</v>
      </c>
      <c r="Q2383" s="58">
        <v>16</v>
      </c>
    </row>
    <row r="2384" spans="1:17" ht="12.75" x14ac:dyDescent="0.2">
      <c r="A2384" s="85" t="s">
        <v>689</v>
      </c>
      <c r="B2384" s="85" t="s">
        <v>663</v>
      </c>
      <c r="C2384" s="85" t="s">
        <v>654</v>
      </c>
      <c r="D2384" s="56">
        <v>2017</v>
      </c>
      <c r="E2384" s="85" t="s">
        <v>650</v>
      </c>
      <c r="F2384" s="57">
        <v>26</v>
      </c>
      <c r="G2384" s="57">
        <v>0</v>
      </c>
      <c r="H2384" s="58">
        <v>0</v>
      </c>
      <c r="I2384" s="57">
        <v>0</v>
      </c>
      <c r="J2384" s="57">
        <v>15</v>
      </c>
      <c r="K2384" s="57">
        <v>6</v>
      </c>
      <c r="L2384" s="57">
        <v>0</v>
      </c>
      <c r="M2384" s="57">
        <v>6</v>
      </c>
      <c r="N2384" s="57">
        <v>19</v>
      </c>
      <c r="O2384" s="57">
        <v>5</v>
      </c>
      <c r="P2384" s="57">
        <v>43</v>
      </c>
      <c r="Q2384" s="58">
        <v>9</v>
      </c>
    </row>
    <row r="2385" spans="1:17" ht="12.75" x14ac:dyDescent="0.2">
      <c r="A2385" s="81" t="s">
        <v>700</v>
      </c>
      <c r="B2385" s="81" t="s">
        <v>663</v>
      </c>
      <c r="C2385" s="81" t="s">
        <v>654</v>
      </c>
      <c r="D2385" s="82">
        <v>2014</v>
      </c>
      <c r="E2385" s="81" t="s">
        <v>650</v>
      </c>
      <c r="F2385" s="58">
        <v>147</v>
      </c>
      <c r="G2385" s="57">
        <v>0</v>
      </c>
      <c r="H2385" s="58">
        <v>0</v>
      </c>
      <c r="I2385" s="58">
        <v>0</v>
      </c>
      <c r="J2385" s="57">
        <v>57</v>
      </c>
      <c r="K2385" s="57">
        <v>0</v>
      </c>
      <c r="L2385" s="58">
        <v>0</v>
      </c>
      <c r="M2385" s="58">
        <v>0</v>
      </c>
      <c r="N2385" s="58">
        <v>60</v>
      </c>
      <c r="O2385" s="58">
        <v>0</v>
      </c>
      <c r="P2385" s="58">
        <v>241</v>
      </c>
      <c r="Q2385" s="58">
        <v>0</v>
      </c>
    </row>
    <row r="2386" spans="1:17" ht="12.75" x14ac:dyDescent="0.2">
      <c r="A2386" s="81" t="s">
        <v>700</v>
      </c>
      <c r="B2386" s="81" t="s">
        <v>663</v>
      </c>
      <c r="C2386" s="81" t="s">
        <v>654</v>
      </c>
      <c r="D2386" s="82">
        <v>2015</v>
      </c>
      <c r="E2386" s="81" t="s">
        <v>650</v>
      </c>
      <c r="F2386" s="58">
        <v>147</v>
      </c>
      <c r="G2386" s="57">
        <v>0</v>
      </c>
      <c r="H2386" s="58">
        <v>0</v>
      </c>
      <c r="I2386" s="58">
        <v>0</v>
      </c>
      <c r="J2386" s="57">
        <v>57</v>
      </c>
      <c r="K2386" s="57">
        <v>0</v>
      </c>
      <c r="L2386" s="58">
        <v>0</v>
      </c>
      <c r="M2386" s="58">
        <v>0</v>
      </c>
      <c r="N2386" s="58">
        <v>60</v>
      </c>
      <c r="O2386" s="58">
        <v>0</v>
      </c>
      <c r="P2386" s="58">
        <v>241</v>
      </c>
      <c r="Q2386" s="58">
        <v>8</v>
      </c>
    </row>
    <row r="2387" spans="1:17" ht="12.75" x14ac:dyDescent="0.2">
      <c r="A2387" s="81" t="s">
        <v>700</v>
      </c>
      <c r="B2387" s="81" t="s">
        <v>663</v>
      </c>
      <c r="C2387" s="81" t="s">
        <v>654</v>
      </c>
      <c r="D2387" s="82">
        <v>2016</v>
      </c>
      <c r="E2387" s="81" t="s">
        <v>650</v>
      </c>
      <c r="F2387" s="58">
        <v>147</v>
      </c>
      <c r="G2387" s="57">
        <v>0</v>
      </c>
      <c r="H2387" s="58">
        <v>0</v>
      </c>
      <c r="I2387" s="58">
        <v>0</v>
      </c>
      <c r="J2387" s="57">
        <v>57</v>
      </c>
      <c r="K2387" s="57">
        <v>0</v>
      </c>
      <c r="L2387" s="58">
        <v>0</v>
      </c>
      <c r="M2387" s="58">
        <v>0</v>
      </c>
      <c r="N2387" s="58">
        <v>60</v>
      </c>
      <c r="O2387" s="58">
        <v>0</v>
      </c>
      <c r="P2387" s="58">
        <v>241</v>
      </c>
      <c r="Q2387" s="58">
        <v>52</v>
      </c>
    </row>
    <row r="2388" spans="1:17" ht="12.75" x14ac:dyDescent="0.2">
      <c r="A2388" s="81" t="s">
        <v>700</v>
      </c>
      <c r="B2388" s="81" t="s">
        <v>663</v>
      </c>
      <c r="C2388" s="81" t="s">
        <v>654</v>
      </c>
      <c r="D2388" s="82">
        <v>2017</v>
      </c>
      <c r="E2388" s="81" t="s">
        <v>650</v>
      </c>
      <c r="F2388" s="58">
        <v>147</v>
      </c>
      <c r="G2388" s="57">
        <v>0</v>
      </c>
      <c r="H2388" s="58">
        <v>0</v>
      </c>
      <c r="I2388" s="58">
        <v>0</v>
      </c>
      <c r="J2388" s="57">
        <v>57</v>
      </c>
      <c r="K2388" s="57">
        <v>0</v>
      </c>
      <c r="L2388" s="58">
        <v>0</v>
      </c>
      <c r="M2388" s="58">
        <v>0</v>
      </c>
      <c r="N2388" s="58">
        <v>60</v>
      </c>
      <c r="O2388" s="58">
        <v>0</v>
      </c>
      <c r="P2388" s="58">
        <v>241</v>
      </c>
      <c r="Q2388" s="58">
        <v>19</v>
      </c>
    </row>
    <row r="2389" spans="1:17" ht="12.75" x14ac:dyDescent="0.2">
      <c r="A2389" s="81" t="s">
        <v>724</v>
      </c>
      <c r="B2389" s="81" t="s">
        <v>663</v>
      </c>
      <c r="C2389" s="81" t="s">
        <v>654</v>
      </c>
      <c r="D2389" s="82">
        <v>2015</v>
      </c>
      <c r="E2389" s="81" t="s">
        <v>650</v>
      </c>
      <c r="F2389" s="58">
        <v>287</v>
      </c>
      <c r="G2389" s="57">
        <v>20</v>
      </c>
      <c r="H2389" s="58">
        <v>20</v>
      </c>
      <c r="I2389" s="58">
        <v>0</v>
      </c>
      <c r="J2389" s="57">
        <v>134</v>
      </c>
      <c r="K2389" s="57">
        <v>46</v>
      </c>
      <c r="L2389" s="58">
        <v>46</v>
      </c>
      <c r="M2389" s="58">
        <v>0</v>
      </c>
      <c r="N2389" s="58">
        <v>173</v>
      </c>
      <c r="O2389" s="58">
        <v>158</v>
      </c>
      <c r="P2389" s="58">
        <v>490</v>
      </c>
      <c r="Q2389" s="58">
        <v>212</v>
      </c>
    </row>
    <row r="2390" spans="1:17" ht="12.75" x14ac:dyDescent="0.2">
      <c r="A2390" s="81" t="s">
        <v>724</v>
      </c>
      <c r="B2390" s="81" t="s">
        <v>663</v>
      </c>
      <c r="C2390" s="81" t="s">
        <v>654</v>
      </c>
      <c r="D2390" s="82">
        <v>2016</v>
      </c>
      <c r="E2390" s="81" t="s">
        <v>650</v>
      </c>
      <c r="F2390" s="58">
        <v>287</v>
      </c>
      <c r="G2390" s="57">
        <v>0</v>
      </c>
      <c r="H2390" s="58">
        <v>0</v>
      </c>
      <c r="I2390" s="58">
        <v>0</v>
      </c>
      <c r="J2390" s="57">
        <v>134</v>
      </c>
      <c r="K2390" s="57">
        <v>0</v>
      </c>
      <c r="L2390" s="58">
        <v>0</v>
      </c>
      <c r="M2390" s="58">
        <v>0</v>
      </c>
      <c r="N2390" s="58">
        <v>173</v>
      </c>
      <c r="O2390" s="58">
        <v>160</v>
      </c>
      <c r="P2390" s="58">
        <v>490</v>
      </c>
      <c r="Q2390" s="58">
        <v>177</v>
      </c>
    </row>
    <row r="2391" spans="1:17" ht="12.75" x14ac:dyDescent="0.2">
      <c r="A2391" s="81" t="s">
        <v>724</v>
      </c>
      <c r="B2391" s="81" t="s">
        <v>663</v>
      </c>
      <c r="C2391" s="81" t="s">
        <v>654</v>
      </c>
      <c r="D2391" s="82">
        <v>2017</v>
      </c>
      <c r="E2391" s="81" t="s">
        <v>650</v>
      </c>
      <c r="F2391" s="58">
        <v>287</v>
      </c>
      <c r="G2391" s="57">
        <v>14</v>
      </c>
      <c r="H2391" s="58">
        <v>14</v>
      </c>
      <c r="I2391" s="58">
        <v>0</v>
      </c>
      <c r="J2391" s="57">
        <v>134</v>
      </c>
      <c r="K2391" s="57">
        <v>26</v>
      </c>
      <c r="L2391" s="58">
        <v>24</v>
      </c>
      <c r="M2391" s="58">
        <v>2</v>
      </c>
      <c r="N2391" s="58">
        <v>173</v>
      </c>
      <c r="O2391" s="58">
        <v>214</v>
      </c>
      <c r="P2391" s="58">
        <v>490</v>
      </c>
      <c r="Q2391" s="58">
        <v>63</v>
      </c>
    </row>
    <row r="2392" spans="1:17" ht="12.75" x14ac:dyDescent="0.2">
      <c r="A2392" s="81" t="s">
        <v>725</v>
      </c>
      <c r="B2392" s="81" t="s">
        <v>663</v>
      </c>
      <c r="C2392" s="81" t="s">
        <v>654</v>
      </c>
      <c r="D2392" s="82">
        <v>2016</v>
      </c>
      <c r="E2392" s="81" t="s">
        <v>650</v>
      </c>
      <c r="F2392" s="58">
        <v>283</v>
      </c>
      <c r="G2392" s="57">
        <v>0</v>
      </c>
      <c r="H2392" s="58">
        <v>0</v>
      </c>
      <c r="I2392" s="58">
        <v>0</v>
      </c>
      <c r="J2392" s="57">
        <v>178</v>
      </c>
      <c r="K2392" s="57">
        <v>0</v>
      </c>
      <c r="L2392" s="58">
        <v>0</v>
      </c>
      <c r="M2392" s="58">
        <v>0</v>
      </c>
      <c r="N2392" s="58">
        <v>211</v>
      </c>
      <c r="O2392" s="58">
        <v>0</v>
      </c>
      <c r="P2392" s="58">
        <v>690</v>
      </c>
      <c r="Q2392" s="58">
        <v>47</v>
      </c>
    </row>
    <row r="2393" spans="1:17" ht="12.75" x14ac:dyDescent="0.2">
      <c r="A2393" s="81" t="s">
        <v>725</v>
      </c>
      <c r="B2393" s="81" t="s">
        <v>663</v>
      </c>
      <c r="C2393" s="81" t="s">
        <v>654</v>
      </c>
      <c r="D2393" s="82">
        <v>2017</v>
      </c>
      <c r="E2393" s="81" t="s">
        <v>650</v>
      </c>
      <c r="F2393" s="58">
        <v>283</v>
      </c>
      <c r="G2393" s="57">
        <v>0</v>
      </c>
      <c r="H2393" s="58">
        <v>0</v>
      </c>
      <c r="I2393" s="58">
        <v>0</v>
      </c>
      <c r="J2393" s="57">
        <v>178</v>
      </c>
      <c r="K2393" s="57">
        <v>0</v>
      </c>
      <c r="L2393" s="58">
        <v>0</v>
      </c>
      <c r="M2393" s="58">
        <v>0</v>
      </c>
      <c r="N2393" s="58">
        <v>211</v>
      </c>
      <c r="O2393" s="58">
        <v>0</v>
      </c>
      <c r="P2393" s="58">
        <v>690</v>
      </c>
      <c r="Q2393" s="58">
        <v>44</v>
      </c>
    </row>
    <row r="2394" spans="1:17" ht="12.75" x14ac:dyDescent="0.2">
      <c r="A2394" s="81" t="s">
        <v>238</v>
      </c>
      <c r="B2394" s="81" t="s">
        <v>663</v>
      </c>
      <c r="C2394" s="81" t="s">
        <v>654</v>
      </c>
      <c r="D2394" s="82">
        <v>2018</v>
      </c>
      <c r="E2394" s="81" t="s">
        <v>650</v>
      </c>
      <c r="F2394" s="58">
        <v>94</v>
      </c>
      <c r="G2394" s="57">
        <v>0</v>
      </c>
      <c r="H2394" s="58">
        <v>0</v>
      </c>
      <c r="I2394" s="58">
        <v>0</v>
      </c>
      <c r="J2394" s="58">
        <v>54</v>
      </c>
      <c r="K2394" s="57">
        <v>0</v>
      </c>
      <c r="L2394" s="58">
        <v>0</v>
      </c>
      <c r="M2394" s="58">
        <v>0</v>
      </c>
      <c r="N2394" s="58">
        <v>56</v>
      </c>
      <c r="O2394" s="58">
        <v>3</v>
      </c>
      <c r="P2394" s="58">
        <v>123</v>
      </c>
      <c r="Q2394" s="58">
        <v>0</v>
      </c>
    </row>
    <row r="2395" spans="1:17" ht="12.75" x14ac:dyDescent="0.2">
      <c r="A2395" s="81" t="s">
        <v>342</v>
      </c>
      <c r="B2395" s="81" t="s">
        <v>663</v>
      </c>
      <c r="C2395" s="81" t="s">
        <v>654</v>
      </c>
      <c r="D2395" s="82">
        <v>2018</v>
      </c>
      <c r="E2395" s="81" t="s">
        <v>650</v>
      </c>
      <c r="F2395" s="58">
        <v>50</v>
      </c>
      <c r="G2395" s="85"/>
      <c r="H2395" s="86"/>
      <c r="I2395" s="86"/>
      <c r="J2395" s="58">
        <v>24</v>
      </c>
      <c r="K2395" s="85"/>
      <c r="L2395" s="86"/>
      <c r="M2395" s="86"/>
      <c r="N2395" s="58">
        <v>30</v>
      </c>
      <c r="O2395" s="86"/>
      <c r="P2395" s="58">
        <v>93</v>
      </c>
      <c r="Q2395" s="86"/>
    </row>
    <row r="2396" spans="1:17" ht="12.75" x14ac:dyDescent="0.2">
      <c r="A2396" s="81" t="s">
        <v>376</v>
      </c>
      <c r="B2396" s="81" t="s">
        <v>663</v>
      </c>
      <c r="C2396" s="81" t="s">
        <v>654</v>
      </c>
      <c r="D2396" s="82">
        <v>2018</v>
      </c>
      <c r="E2396" s="81" t="s">
        <v>650</v>
      </c>
      <c r="F2396" s="58">
        <v>779</v>
      </c>
      <c r="G2396" s="57">
        <v>0</v>
      </c>
      <c r="H2396" s="58">
        <v>0</v>
      </c>
      <c r="I2396" s="58">
        <v>0</v>
      </c>
      <c r="J2396" s="58">
        <v>404</v>
      </c>
      <c r="K2396" s="57">
        <v>0</v>
      </c>
      <c r="L2396" s="58">
        <v>0</v>
      </c>
      <c r="M2396" s="58">
        <v>0</v>
      </c>
      <c r="N2396" s="58">
        <v>456</v>
      </c>
      <c r="O2396" s="58">
        <v>0</v>
      </c>
      <c r="P2396" s="58">
        <v>1461</v>
      </c>
      <c r="Q2396" s="58">
        <v>311</v>
      </c>
    </row>
    <row r="2397" spans="1:17" ht="12.75" x14ac:dyDescent="0.2">
      <c r="A2397" s="81" t="s">
        <v>622</v>
      </c>
      <c r="B2397" s="81" t="s">
        <v>663</v>
      </c>
      <c r="C2397" s="81" t="s">
        <v>654</v>
      </c>
      <c r="D2397" s="82">
        <v>2018</v>
      </c>
      <c r="E2397" s="81" t="s">
        <v>650</v>
      </c>
      <c r="F2397" s="58">
        <v>45</v>
      </c>
      <c r="G2397" s="57">
        <v>0</v>
      </c>
      <c r="H2397" s="58">
        <v>0</v>
      </c>
      <c r="I2397" s="58">
        <v>0</v>
      </c>
      <c r="J2397" s="58">
        <v>36</v>
      </c>
      <c r="K2397" s="57">
        <v>0</v>
      </c>
      <c r="L2397" s="58">
        <v>0</v>
      </c>
      <c r="M2397" s="58">
        <v>0</v>
      </c>
      <c r="N2397" s="58">
        <v>48</v>
      </c>
      <c r="O2397" s="58">
        <v>3</v>
      </c>
      <c r="P2397" s="58">
        <v>170</v>
      </c>
      <c r="Q2397" s="58">
        <v>6</v>
      </c>
    </row>
    <row r="2398" spans="1:17" ht="12.75" x14ac:dyDescent="0.2">
      <c r="A2398" s="81" t="s">
        <v>689</v>
      </c>
      <c r="B2398" s="81" t="s">
        <v>663</v>
      </c>
      <c r="C2398" s="81" t="s">
        <v>654</v>
      </c>
      <c r="D2398" s="82">
        <v>2018</v>
      </c>
      <c r="E2398" s="81" t="s">
        <v>650</v>
      </c>
      <c r="F2398" s="58">
        <v>26</v>
      </c>
      <c r="G2398" s="57">
        <v>1</v>
      </c>
      <c r="H2398" s="58">
        <v>0</v>
      </c>
      <c r="I2398" s="58">
        <v>1</v>
      </c>
      <c r="J2398" s="58">
        <v>15</v>
      </c>
      <c r="K2398" s="57">
        <v>17</v>
      </c>
      <c r="L2398" s="58">
        <v>0</v>
      </c>
      <c r="M2398" s="58">
        <v>17</v>
      </c>
      <c r="N2398" s="58">
        <v>19</v>
      </c>
      <c r="O2398" s="58">
        <v>3</v>
      </c>
      <c r="P2398" s="58">
        <v>43</v>
      </c>
      <c r="Q2398" s="58">
        <v>13</v>
      </c>
    </row>
    <row r="2399" spans="1:17" ht="12.75" x14ac:dyDescent="0.2">
      <c r="A2399" s="81" t="s">
        <v>700</v>
      </c>
      <c r="B2399" s="81" t="s">
        <v>663</v>
      </c>
      <c r="C2399" s="81" t="s">
        <v>654</v>
      </c>
      <c r="D2399" s="82">
        <v>2018</v>
      </c>
      <c r="E2399" s="81" t="s">
        <v>650</v>
      </c>
      <c r="F2399" s="58">
        <v>147</v>
      </c>
      <c r="G2399" s="57">
        <v>0</v>
      </c>
      <c r="H2399" s="58">
        <v>0</v>
      </c>
      <c r="I2399" s="58">
        <v>0</v>
      </c>
      <c r="J2399" s="58">
        <v>57</v>
      </c>
      <c r="K2399" s="57">
        <v>0</v>
      </c>
      <c r="L2399" s="58">
        <v>0</v>
      </c>
      <c r="M2399" s="58">
        <v>0</v>
      </c>
      <c r="N2399" s="58">
        <v>60</v>
      </c>
      <c r="O2399" s="58">
        <v>0</v>
      </c>
      <c r="P2399" s="58">
        <v>241</v>
      </c>
      <c r="Q2399" s="58">
        <v>5</v>
      </c>
    </row>
    <row r="2400" spans="1:17" ht="12.75" x14ac:dyDescent="0.2">
      <c r="A2400" s="81" t="s">
        <v>724</v>
      </c>
      <c r="B2400" s="81" t="s">
        <v>663</v>
      </c>
      <c r="C2400" s="81" t="s">
        <v>654</v>
      </c>
      <c r="D2400" s="82">
        <v>2018</v>
      </c>
      <c r="E2400" s="81" t="s">
        <v>650</v>
      </c>
      <c r="F2400" s="58">
        <v>287</v>
      </c>
      <c r="G2400" s="57">
        <v>14</v>
      </c>
      <c r="H2400" s="58">
        <v>14</v>
      </c>
      <c r="I2400" s="58">
        <v>0</v>
      </c>
      <c r="J2400" s="58">
        <v>134</v>
      </c>
      <c r="K2400" s="57">
        <v>24</v>
      </c>
      <c r="L2400" s="58">
        <v>24</v>
      </c>
      <c r="M2400" s="58">
        <v>0</v>
      </c>
      <c r="N2400" s="58">
        <v>173</v>
      </c>
      <c r="O2400" s="58">
        <v>1</v>
      </c>
      <c r="P2400" s="58">
        <v>490</v>
      </c>
      <c r="Q2400" s="58">
        <v>205</v>
      </c>
    </row>
    <row r="2401" spans="1:17" ht="12.75" x14ac:dyDescent="0.2">
      <c r="A2401" s="81" t="s">
        <v>725</v>
      </c>
      <c r="B2401" s="81" t="s">
        <v>663</v>
      </c>
      <c r="C2401" s="81" t="s">
        <v>654</v>
      </c>
      <c r="D2401" s="82">
        <v>2018</v>
      </c>
      <c r="E2401" s="81" t="s">
        <v>650</v>
      </c>
      <c r="F2401" s="58">
        <v>283</v>
      </c>
      <c r="G2401" s="57">
        <v>0</v>
      </c>
      <c r="H2401" s="58">
        <v>0</v>
      </c>
      <c r="I2401" s="58">
        <v>0</v>
      </c>
      <c r="J2401" s="58">
        <v>178</v>
      </c>
      <c r="K2401" s="57">
        <v>0</v>
      </c>
      <c r="L2401" s="58">
        <v>0</v>
      </c>
      <c r="M2401" s="58">
        <v>0</v>
      </c>
      <c r="N2401" s="58">
        <v>211</v>
      </c>
      <c r="O2401" s="58">
        <v>0</v>
      </c>
      <c r="P2401" s="58">
        <v>690</v>
      </c>
      <c r="Q2401" s="58">
        <v>55</v>
      </c>
    </row>
    <row r="2402" spans="1:17" ht="12.75" x14ac:dyDescent="0.2">
      <c r="A2402" s="85" t="s">
        <v>298</v>
      </c>
      <c r="B2402" s="85" t="s">
        <v>669</v>
      </c>
      <c r="C2402" s="85" t="s">
        <v>654</v>
      </c>
      <c r="D2402" s="56">
        <v>2014</v>
      </c>
      <c r="E2402" s="85" t="s">
        <v>650</v>
      </c>
      <c r="F2402" s="57">
        <v>39</v>
      </c>
      <c r="G2402" s="57">
        <v>0</v>
      </c>
      <c r="H2402" s="58">
        <v>0</v>
      </c>
      <c r="I2402" s="57">
        <v>0</v>
      </c>
      <c r="J2402" s="57">
        <v>29</v>
      </c>
      <c r="K2402" s="57">
        <v>0</v>
      </c>
      <c r="L2402" s="57">
        <v>0</v>
      </c>
      <c r="M2402" s="57">
        <v>0</v>
      </c>
      <c r="N2402" s="57">
        <v>31</v>
      </c>
      <c r="O2402" s="57">
        <v>0</v>
      </c>
      <c r="P2402" s="57">
        <v>112</v>
      </c>
      <c r="Q2402" s="58">
        <v>0</v>
      </c>
    </row>
    <row r="2403" spans="1:17" ht="12.75" x14ac:dyDescent="0.2">
      <c r="A2403" s="85" t="s">
        <v>298</v>
      </c>
      <c r="B2403" s="59" t="s">
        <v>669</v>
      </c>
      <c r="C2403" s="85" t="s">
        <v>654</v>
      </c>
      <c r="D2403" s="96">
        <v>2015</v>
      </c>
      <c r="E2403" s="85" t="s">
        <v>650</v>
      </c>
      <c r="F2403" s="57">
        <v>39</v>
      </c>
      <c r="G2403" s="57">
        <v>25</v>
      </c>
      <c r="H2403" s="58">
        <v>25</v>
      </c>
      <c r="I2403" s="57">
        <v>0</v>
      </c>
      <c r="J2403" s="57">
        <v>29</v>
      </c>
      <c r="K2403" s="57">
        <v>7</v>
      </c>
      <c r="L2403" s="57">
        <v>7</v>
      </c>
      <c r="M2403" s="57">
        <v>0</v>
      </c>
      <c r="N2403" s="57">
        <v>31</v>
      </c>
      <c r="O2403" s="57">
        <v>0</v>
      </c>
      <c r="P2403" s="57">
        <v>112</v>
      </c>
      <c r="Q2403" s="61">
        <v>0</v>
      </c>
    </row>
    <row r="2404" spans="1:17" ht="12.75" x14ac:dyDescent="0.2">
      <c r="A2404" s="85" t="s">
        <v>298</v>
      </c>
      <c r="B2404" s="85" t="s">
        <v>669</v>
      </c>
      <c r="C2404" s="85" t="s">
        <v>654</v>
      </c>
      <c r="D2404" s="56">
        <v>2016</v>
      </c>
      <c r="E2404" s="85" t="s">
        <v>650</v>
      </c>
      <c r="F2404" s="57">
        <v>39</v>
      </c>
      <c r="G2404" s="57">
        <v>0</v>
      </c>
      <c r="H2404" s="58">
        <v>0</v>
      </c>
      <c r="I2404" s="57">
        <v>0</v>
      </c>
      <c r="J2404" s="57">
        <v>29</v>
      </c>
      <c r="K2404" s="57">
        <v>0</v>
      </c>
      <c r="L2404" s="57">
        <v>0</v>
      </c>
      <c r="M2404" s="57">
        <v>0</v>
      </c>
      <c r="N2404" s="57">
        <v>31</v>
      </c>
      <c r="O2404" s="57">
        <v>2</v>
      </c>
      <c r="P2404" s="57">
        <v>112</v>
      </c>
      <c r="Q2404" s="58">
        <v>13</v>
      </c>
    </row>
    <row r="2405" spans="1:17" ht="12.75" x14ac:dyDescent="0.2">
      <c r="A2405" s="85" t="s">
        <v>298</v>
      </c>
      <c r="B2405" s="85" t="s">
        <v>669</v>
      </c>
      <c r="C2405" s="85" t="s">
        <v>654</v>
      </c>
      <c r="D2405" s="56">
        <v>2017</v>
      </c>
      <c r="E2405" s="85" t="s">
        <v>650</v>
      </c>
      <c r="F2405" s="57">
        <v>39</v>
      </c>
      <c r="G2405" s="57">
        <v>0</v>
      </c>
      <c r="H2405" s="58">
        <v>0</v>
      </c>
      <c r="I2405" s="57">
        <v>0</v>
      </c>
      <c r="J2405" s="57">
        <v>29</v>
      </c>
      <c r="K2405" s="57">
        <v>0</v>
      </c>
      <c r="L2405" s="57">
        <v>0</v>
      </c>
      <c r="M2405" s="57">
        <v>0</v>
      </c>
      <c r="N2405" s="57">
        <v>31</v>
      </c>
      <c r="O2405" s="57">
        <v>3</v>
      </c>
      <c r="P2405" s="57">
        <v>112</v>
      </c>
      <c r="Q2405" s="58">
        <v>22</v>
      </c>
    </row>
    <row r="2406" spans="1:17" ht="12.75" x14ac:dyDescent="0.2">
      <c r="A2406" s="85" t="s">
        <v>323</v>
      </c>
      <c r="B2406" s="85" t="s">
        <v>669</v>
      </c>
      <c r="C2406" s="85" t="s">
        <v>654</v>
      </c>
      <c r="D2406" s="56">
        <v>2016</v>
      </c>
      <c r="E2406" s="85" t="s">
        <v>650</v>
      </c>
      <c r="F2406" s="57">
        <v>35</v>
      </c>
      <c r="G2406" s="57">
        <v>1</v>
      </c>
      <c r="H2406" s="58">
        <v>1</v>
      </c>
      <c r="I2406" s="57">
        <v>0</v>
      </c>
      <c r="J2406" s="57">
        <v>18</v>
      </c>
      <c r="K2406" s="57">
        <v>3</v>
      </c>
      <c r="L2406" s="57">
        <v>3</v>
      </c>
      <c r="M2406" s="57">
        <v>0</v>
      </c>
      <c r="N2406" s="57">
        <v>18</v>
      </c>
      <c r="O2406" s="57">
        <v>0</v>
      </c>
      <c r="P2406" s="57">
        <v>66</v>
      </c>
      <c r="Q2406" s="58">
        <v>16</v>
      </c>
    </row>
    <row r="2407" spans="1:17" ht="12.75" x14ac:dyDescent="0.2">
      <c r="A2407" s="85" t="s">
        <v>323</v>
      </c>
      <c r="B2407" s="85" t="s">
        <v>669</v>
      </c>
      <c r="C2407" s="85" t="s">
        <v>654</v>
      </c>
      <c r="D2407" s="56">
        <v>2017</v>
      </c>
      <c r="E2407" s="85" t="s">
        <v>650</v>
      </c>
      <c r="F2407" s="57">
        <v>35</v>
      </c>
      <c r="G2407" s="57">
        <v>3</v>
      </c>
      <c r="H2407" s="58">
        <v>3</v>
      </c>
      <c r="I2407" s="57">
        <v>0</v>
      </c>
      <c r="J2407" s="57">
        <v>18</v>
      </c>
      <c r="K2407" s="57">
        <v>10</v>
      </c>
      <c r="L2407" s="57">
        <v>0</v>
      </c>
      <c r="M2407" s="57">
        <v>10</v>
      </c>
      <c r="N2407" s="57">
        <v>18</v>
      </c>
      <c r="O2407" s="57">
        <v>11</v>
      </c>
      <c r="P2407" s="57">
        <v>66</v>
      </c>
      <c r="Q2407" s="58">
        <v>22</v>
      </c>
    </row>
    <row r="2408" spans="1:17" ht="12.75" x14ac:dyDescent="0.2">
      <c r="A2408" s="85" t="s">
        <v>420</v>
      </c>
      <c r="B2408" s="85" t="s">
        <v>669</v>
      </c>
      <c r="C2408" s="85" t="s">
        <v>654</v>
      </c>
      <c r="D2408" s="56">
        <v>2014</v>
      </c>
      <c r="E2408" s="85" t="s">
        <v>650</v>
      </c>
      <c r="F2408" s="57">
        <v>31</v>
      </c>
      <c r="G2408" s="57">
        <v>0</v>
      </c>
      <c r="H2408" s="58">
        <v>0</v>
      </c>
      <c r="I2408" s="57">
        <v>0</v>
      </c>
      <c r="J2408" s="57">
        <v>24</v>
      </c>
      <c r="K2408" s="57">
        <v>0</v>
      </c>
      <c r="L2408" s="57">
        <v>0</v>
      </c>
      <c r="M2408" s="57">
        <v>0</v>
      </c>
      <c r="N2408" s="57">
        <v>26</v>
      </c>
      <c r="O2408" s="57">
        <v>0</v>
      </c>
      <c r="P2408" s="57">
        <v>76</v>
      </c>
      <c r="Q2408" s="58">
        <v>27</v>
      </c>
    </row>
    <row r="2409" spans="1:17" ht="12.75" x14ac:dyDescent="0.2">
      <c r="A2409" s="85" t="s">
        <v>420</v>
      </c>
      <c r="B2409" s="85" t="s">
        <v>669</v>
      </c>
      <c r="C2409" s="85" t="s">
        <v>654</v>
      </c>
      <c r="D2409" s="56">
        <v>2015</v>
      </c>
      <c r="E2409" s="85" t="s">
        <v>650</v>
      </c>
      <c r="F2409" s="57">
        <v>31</v>
      </c>
      <c r="G2409" s="57">
        <v>1</v>
      </c>
      <c r="H2409" s="58">
        <v>1</v>
      </c>
      <c r="I2409" s="57">
        <v>0</v>
      </c>
      <c r="J2409" s="57">
        <v>24</v>
      </c>
      <c r="K2409" s="57">
        <v>2</v>
      </c>
      <c r="L2409" s="57">
        <v>2</v>
      </c>
      <c r="M2409" s="57">
        <v>0</v>
      </c>
      <c r="N2409" s="57">
        <v>26</v>
      </c>
      <c r="O2409" s="57">
        <v>12</v>
      </c>
      <c r="P2409" s="57">
        <v>76</v>
      </c>
      <c r="Q2409" s="58">
        <v>44</v>
      </c>
    </row>
    <row r="2410" spans="1:17" ht="12.75" x14ac:dyDescent="0.2">
      <c r="A2410" s="85" t="s">
        <v>420</v>
      </c>
      <c r="B2410" s="85" t="s">
        <v>669</v>
      </c>
      <c r="C2410" s="85" t="s">
        <v>654</v>
      </c>
      <c r="D2410" s="56">
        <v>2016</v>
      </c>
      <c r="E2410" s="85" t="s">
        <v>650</v>
      </c>
      <c r="F2410" s="57">
        <v>31</v>
      </c>
      <c r="G2410" s="57">
        <v>2</v>
      </c>
      <c r="H2410" s="58">
        <v>2</v>
      </c>
      <c r="I2410" s="57">
        <v>0</v>
      </c>
      <c r="J2410" s="57">
        <v>24</v>
      </c>
      <c r="K2410" s="57">
        <v>3</v>
      </c>
      <c r="L2410" s="57">
        <v>3</v>
      </c>
      <c r="M2410" s="57">
        <v>0</v>
      </c>
      <c r="N2410" s="57">
        <v>26</v>
      </c>
      <c r="O2410" s="57">
        <v>4</v>
      </c>
      <c r="P2410" s="57">
        <v>76</v>
      </c>
      <c r="Q2410" s="58">
        <v>23</v>
      </c>
    </row>
    <row r="2411" spans="1:17" ht="12.75" x14ac:dyDescent="0.2">
      <c r="A2411" s="85" t="s">
        <v>420</v>
      </c>
      <c r="B2411" s="85" t="s">
        <v>669</v>
      </c>
      <c r="C2411" s="85" t="s">
        <v>654</v>
      </c>
      <c r="D2411" s="56">
        <v>2017</v>
      </c>
      <c r="E2411" s="85" t="s">
        <v>650</v>
      </c>
      <c r="F2411" s="57">
        <v>31</v>
      </c>
      <c r="G2411" s="57">
        <v>12</v>
      </c>
      <c r="H2411" s="58">
        <v>12</v>
      </c>
      <c r="I2411" s="57">
        <v>0</v>
      </c>
      <c r="J2411" s="57">
        <v>24</v>
      </c>
      <c r="K2411" s="57">
        <v>20</v>
      </c>
      <c r="L2411" s="57">
        <v>20</v>
      </c>
      <c r="M2411" s="57">
        <v>0</v>
      </c>
      <c r="N2411" s="57">
        <v>26</v>
      </c>
      <c r="O2411" s="57">
        <v>29</v>
      </c>
      <c r="P2411" s="57">
        <v>76</v>
      </c>
      <c r="Q2411" s="58">
        <v>16</v>
      </c>
    </row>
    <row r="2412" spans="1:17" ht="12.75" x14ac:dyDescent="0.2">
      <c r="A2412" s="85" t="s">
        <v>593</v>
      </c>
      <c r="B2412" s="85" t="s">
        <v>669</v>
      </c>
      <c r="C2412" s="85" t="s">
        <v>654</v>
      </c>
      <c r="D2412" s="56">
        <v>2015</v>
      </c>
      <c r="E2412" s="85" t="s">
        <v>650</v>
      </c>
      <c r="F2412" s="57">
        <v>199</v>
      </c>
      <c r="G2412" s="57">
        <v>0</v>
      </c>
      <c r="H2412" s="58">
        <v>0</v>
      </c>
      <c r="I2412" s="57">
        <v>0</v>
      </c>
      <c r="J2412" s="57">
        <v>103</v>
      </c>
      <c r="K2412" s="57">
        <v>0</v>
      </c>
      <c r="L2412" s="57">
        <v>0</v>
      </c>
      <c r="M2412" s="57">
        <v>0</v>
      </c>
      <c r="N2412" s="57">
        <v>121</v>
      </c>
      <c r="O2412" s="57">
        <v>7</v>
      </c>
      <c r="P2412" s="57">
        <v>322</v>
      </c>
      <c r="Q2412" s="58">
        <v>235</v>
      </c>
    </row>
    <row r="2413" spans="1:17" ht="12.75" x14ac:dyDescent="0.2">
      <c r="A2413" s="85" t="s">
        <v>593</v>
      </c>
      <c r="B2413" s="85" t="s">
        <v>669</v>
      </c>
      <c r="C2413" s="85" t="s">
        <v>654</v>
      </c>
      <c r="D2413" s="56">
        <v>2016</v>
      </c>
      <c r="E2413" s="85" t="s">
        <v>650</v>
      </c>
      <c r="F2413" s="57">
        <v>199</v>
      </c>
      <c r="G2413" s="57">
        <v>0</v>
      </c>
      <c r="H2413" s="58">
        <v>0</v>
      </c>
      <c r="I2413" s="57">
        <v>0</v>
      </c>
      <c r="J2413" s="57">
        <v>103</v>
      </c>
      <c r="K2413" s="57">
        <v>0</v>
      </c>
      <c r="L2413" s="57">
        <v>0</v>
      </c>
      <c r="M2413" s="57">
        <v>0</v>
      </c>
      <c r="N2413" s="57">
        <v>121</v>
      </c>
      <c r="O2413" s="57">
        <v>8</v>
      </c>
      <c r="P2413" s="57">
        <v>322</v>
      </c>
      <c r="Q2413" s="58">
        <v>206</v>
      </c>
    </row>
    <row r="2414" spans="1:17" ht="12.75" x14ac:dyDescent="0.2">
      <c r="A2414" s="85" t="s">
        <v>593</v>
      </c>
      <c r="B2414" s="85" t="s">
        <v>669</v>
      </c>
      <c r="C2414" s="85" t="s">
        <v>654</v>
      </c>
      <c r="D2414" s="56">
        <v>2017</v>
      </c>
      <c r="E2414" s="85" t="s">
        <v>650</v>
      </c>
      <c r="F2414" s="57">
        <v>199</v>
      </c>
      <c r="G2414" s="57">
        <v>9</v>
      </c>
      <c r="H2414" s="58">
        <v>9</v>
      </c>
      <c r="I2414" s="57">
        <v>0</v>
      </c>
      <c r="J2414" s="57">
        <v>103</v>
      </c>
      <c r="K2414" s="57">
        <v>14</v>
      </c>
      <c r="L2414" s="57">
        <v>14</v>
      </c>
      <c r="M2414" s="57">
        <v>0</v>
      </c>
      <c r="N2414" s="57">
        <v>121</v>
      </c>
      <c r="O2414" s="57">
        <v>9</v>
      </c>
      <c r="P2414" s="57">
        <v>322</v>
      </c>
      <c r="Q2414" s="58">
        <v>150</v>
      </c>
    </row>
    <row r="2415" spans="1:17" ht="12.75" x14ac:dyDescent="0.2">
      <c r="A2415" s="85" t="s">
        <v>629</v>
      </c>
      <c r="B2415" s="85" t="s">
        <v>669</v>
      </c>
      <c r="C2415" s="85" t="s">
        <v>654</v>
      </c>
      <c r="D2415" s="56">
        <v>2014</v>
      </c>
      <c r="E2415" s="85" t="s">
        <v>650</v>
      </c>
      <c r="F2415" s="57">
        <v>181</v>
      </c>
      <c r="G2415" s="57">
        <v>0</v>
      </c>
      <c r="H2415" s="58">
        <v>0</v>
      </c>
      <c r="I2415" s="57">
        <v>0</v>
      </c>
      <c r="J2415" s="57">
        <v>107</v>
      </c>
      <c r="K2415" s="57">
        <v>0</v>
      </c>
      <c r="L2415" s="57">
        <v>0</v>
      </c>
      <c r="M2415" s="57">
        <v>0</v>
      </c>
      <c r="N2415" s="57">
        <v>127</v>
      </c>
      <c r="O2415" s="57">
        <v>0</v>
      </c>
      <c r="P2415" s="57">
        <v>484</v>
      </c>
      <c r="Q2415" s="58">
        <v>0</v>
      </c>
    </row>
    <row r="2416" spans="1:17" ht="12.75" x14ac:dyDescent="0.2">
      <c r="A2416" s="85" t="s">
        <v>629</v>
      </c>
      <c r="B2416" s="85" t="s">
        <v>669</v>
      </c>
      <c r="C2416" s="85" t="s">
        <v>654</v>
      </c>
      <c r="D2416" s="56">
        <v>2015</v>
      </c>
      <c r="E2416" s="85" t="s">
        <v>650</v>
      </c>
      <c r="F2416" s="57">
        <v>181</v>
      </c>
      <c r="G2416" s="57">
        <v>0</v>
      </c>
      <c r="H2416" s="58">
        <v>0</v>
      </c>
      <c r="I2416" s="57">
        <v>0</v>
      </c>
      <c r="J2416" s="57">
        <v>107</v>
      </c>
      <c r="K2416" s="57">
        <v>0</v>
      </c>
      <c r="L2416" s="57">
        <v>0</v>
      </c>
      <c r="M2416" s="57">
        <v>0</v>
      </c>
      <c r="N2416" s="57">
        <v>127</v>
      </c>
      <c r="O2416" s="57">
        <v>0</v>
      </c>
      <c r="P2416" s="57">
        <v>484</v>
      </c>
      <c r="Q2416" s="58">
        <v>244</v>
      </c>
    </row>
    <row r="2417" spans="1:17" ht="12.75" x14ac:dyDescent="0.2">
      <c r="A2417" s="85" t="s">
        <v>629</v>
      </c>
      <c r="B2417" s="85" t="s">
        <v>669</v>
      </c>
      <c r="C2417" s="85" t="s">
        <v>654</v>
      </c>
      <c r="D2417" s="56">
        <v>2016</v>
      </c>
      <c r="E2417" s="85" t="s">
        <v>650</v>
      </c>
      <c r="F2417" s="57">
        <v>181</v>
      </c>
      <c r="G2417" s="57">
        <v>0</v>
      </c>
      <c r="H2417" s="58">
        <v>0</v>
      </c>
      <c r="I2417" s="57">
        <v>0</v>
      </c>
      <c r="J2417" s="57">
        <v>107</v>
      </c>
      <c r="K2417" s="57">
        <v>0</v>
      </c>
      <c r="L2417" s="57">
        <v>0</v>
      </c>
      <c r="M2417" s="57">
        <v>0</v>
      </c>
      <c r="N2417" s="57">
        <v>127</v>
      </c>
      <c r="O2417" s="57">
        <v>1</v>
      </c>
      <c r="P2417" s="57">
        <v>484</v>
      </c>
      <c r="Q2417" s="58">
        <v>161</v>
      </c>
    </row>
    <row r="2418" spans="1:17" ht="12.75" x14ac:dyDescent="0.2">
      <c r="A2418" s="85" t="s">
        <v>629</v>
      </c>
      <c r="B2418" s="85" t="s">
        <v>669</v>
      </c>
      <c r="C2418" s="85" t="s">
        <v>654</v>
      </c>
      <c r="D2418" s="56">
        <v>2017</v>
      </c>
      <c r="E2418" s="85" t="s">
        <v>650</v>
      </c>
      <c r="F2418" s="57">
        <v>181</v>
      </c>
      <c r="G2418" s="57">
        <v>0</v>
      </c>
      <c r="H2418" s="58">
        <v>0</v>
      </c>
      <c r="I2418" s="57">
        <v>0</v>
      </c>
      <c r="J2418" s="57">
        <v>107</v>
      </c>
      <c r="K2418" s="57">
        <v>0</v>
      </c>
      <c r="L2418" s="57">
        <v>0</v>
      </c>
      <c r="M2418" s="57">
        <v>0</v>
      </c>
      <c r="N2418" s="57">
        <v>127</v>
      </c>
      <c r="O2418" s="57">
        <v>13</v>
      </c>
      <c r="P2418" s="57">
        <v>484</v>
      </c>
      <c r="Q2418" s="58">
        <v>165</v>
      </c>
    </row>
    <row r="2419" spans="1:17" ht="12.75" x14ac:dyDescent="0.2">
      <c r="A2419" s="85" t="s">
        <v>671</v>
      </c>
      <c r="B2419" s="85" t="s">
        <v>669</v>
      </c>
      <c r="C2419" s="85" t="s">
        <v>654</v>
      </c>
      <c r="D2419" s="56">
        <v>2014</v>
      </c>
      <c r="E2419" s="85" t="s">
        <v>650</v>
      </c>
      <c r="F2419" s="57">
        <v>1041</v>
      </c>
      <c r="G2419" s="57">
        <v>11</v>
      </c>
      <c r="H2419" s="58">
        <v>11</v>
      </c>
      <c r="I2419" s="57">
        <v>0</v>
      </c>
      <c r="J2419" s="57">
        <v>671</v>
      </c>
      <c r="K2419" s="57">
        <v>90</v>
      </c>
      <c r="L2419" s="57">
        <v>90</v>
      </c>
      <c r="M2419" s="57">
        <v>0</v>
      </c>
      <c r="N2419" s="57">
        <v>759</v>
      </c>
      <c r="O2419" s="57">
        <v>10</v>
      </c>
      <c r="P2419" s="57">
        <v>2612</v>
      </c>
      <c r="Q2419" s="58">
        <v>141</v>
      </c>
    </row>
    <row r="2420" spans="1:17" ht="12.75" x14ac:dyDescent="0.2">
      <c r="A2420" s="85" t="s">
        <v>671</v>
      </c>
      <c r="B2420" s="85" t="s">
        <v>669</v>
      </c>
      <c r="C2420" s="85" t="s">
        <v>654</v>
      </c>
      <c r="D2420" s="56">
        <v>2015</v>
      </c>
      <c r="E2420" s="85" t="s">
        <v>650</v>
      </c>
      <c r="F2420" s="57">
        <v>1041</v>
      </c>
      <c r="G2420" s="57">
        <v>0</v>
      </c>
      <c r="H2420" s="58">
        <v>0</v>
      </c>
      <c r="I2420" s="57">
        <v>0</v>
      </c>
      <c r="J2420" s="57">
        <v>671</v>
      </c>
      <c r="K2420" s="57">
        <v>24</v>
      </c>
      <c r="L2420" s="57">
        <v>24</v>
      </c>
      <c r="M2420" s="57">
        <v>0</v>
      </c>
      <c r="N2420" s="57">
        <v>759</v>
      </c>
      <c r="O2420" s="57">
        <v>8</v>
      </c>
      <c r="P2420" s="57">
        <v>2612</v>
      </c>
      <c r="Q2420" s="58">
        <v>94</v>
      </c>
    </row>
    <row r="2421" spans="1:17" ht="12.75" x14ac:dyDescent="0.2">
      <c r="A2421" s="85" t="s">
        <v>671</v>
      </c>
      <c r="B2421" s="85" t="s">
        <v>669</v>
      </c>
      <c r="C2421" s="85" t="s">
        <v>654</v>
      </c>
      <c r="D2421" s="56">
        <v>2016</v>
      </c>
      <c r="E2421" s="85" t="s">
        <v>650</v>
      </c>
      <c r="F2421" s="57">
        <v>1041</v>
      </c>
      <c r="G2421" s="57">
        <v>38</v>
      </c>
      <c r="H2421" s="58">
        <v>38</v>
      </c>
      <c r="I2421" s="57">
        <v>0</v>
      </c>
      <c r="J2421" s="57">
        <v>671</v>
      </c>
      <c r="K2421" s="57">
        <v>3</v>
      </c>
      <c r="L2421" s="57">
        <v>3</v>
      </c>
      <c r="M2421" s="57">
        <v>0</v>
      </c>
      <c r="N2421" s="57">
        <v>759</v>
      </c>
      <c r="O2421" s="57">
        <v>16</v>
      </c>
      <c r="P2421" s="57">
        <v>2612</v>
      </c>
      <c r="Q2421" s="58">
        <v>246</v>
      </c>
    </row>
    <row r="2422" spans="1:17" ht="12.75" x14ac:dyDescent="0.2">
      <c r="A2422" s="85" t="s">
        <v>671</v>
      </c>
      <c r="B2422" s="85" t="s">
        <v>669</v>
      </c>
      <c r="C2422" s="85" t="s">
        <v>654</v>
      </c>
      <c r="D2422" s="56">
        <v>2017</v>
      </c>
      <c r="E2422" s="85" t="s">
        <v>650</v>
      </c>
      <c r="F2422" s="57">
        <v>1041</v>
      </c>
      <c r="G2422" s="57">
        <v>56</v>
      </c>
      <c r="H2422" s="58">
        <v>56</v>
      </c>
      <c r="I2422" s="57">
        <v>0</v>
      </c>
      <c r="J2422" s="57">
        <v>671</v>
      </c>
      <c r="K2422" s="57">
        <v>22</v>
      </c>
      <c r="L2422" s="57">
        <v>22</v>
      </c>
      <c r="M2422" s="57">
        <v>0</v>
      </c>
      <c r="N2422" s="57">
        <v>759</v>
      </c>
      <c r="O2422" s="57">
        <v>16</v>
      </c>
      <c r="P2422" s="57">
        <v>2612</v>
      </c>
      <c r="Q2422" s="58">
        <v>251</v>
      </c>
    </row>
    <row r="2423" spans="1:17" ht="12.75" x14ac:dyDescent="0.2">
      <c r="A2423" s="85" t="s">
        <v>678</v>
      </c>
      <c r="B2423" s="85" t="s">
        <v>669</v>
      </c>
      <c r="C2423" s="85" t="s">
        <v>654</v>
      </c>
      <c r="D2423" s="56">
        <v>2014</v>
      </c>
      <c r="E2423" s="85" t="s">
        <v>650</v>
      </c>
      <c r="F2423" s="57">
        <v>22</v>
      </c>
      <c r="G2423" s="57">
        <v>0</v>
      </c>
      <c r="H2423" s="58">
        <v>0</v>
      </c>
      <c r="I2423" s="57">
        <v>0</v>
      </c>
      <c r="J2423" s="57">
        <v>17</v>
      </c>
      <c r="K2423" s="57">
        <v>0</v>
      </c>
      <c r="L2423" s="57">
        <v>0</v>
      </c>
      <c r="M2423" s="57">
        <v>0</v>
      </c>
      <c r="N2423" s="57">
        <v>19</v>
      </c>
      <c r="O2423" s="57">
        <v>3</v>
      </c>
      <c r="P2423" s="57">
        <v>62</v>
      </c>
      <c r="Q2423" s="58">
        <v>1</v>
      </c>
    </row>
    <row r="2424" spans="1:17" ht="12.75" x14ac:dyDescent="0.2">
      <c r="A2424" s="85" t="s">
        <v>678</v>
      </c>
      <c r="B2424" s="85" t="s">
        <v>669</v>
      </c>
      <c r="C2424" s="85" t="s">
        <v>654</v>
      </c>
      <c r="D2424" s="56">
        <v>2015</v>
      </c>
      <c r="E2424" s="85" t="s">
        <v>650</v>
      </c>
      <c r="F2424" s="57">
        <v>22</v>
      </c>
      <c r="G2424" s="57">
        <v>0</v>
      </c>
      <c r="H2424" s="58">
        <v>0</v>
      </c>
      <c r="I2424" s="57">
        <v>0</v>
      </c>
      <c r="J2424" s="57">
        <v>17</v>
      </c>
      <c r="K2424" s="57">
        <v>1</v>
      </c>
      <c r="L2424" s="57">
        <v>1</v>
      </c>
      <c r="M2424" s="57">
        <v>0</v>
      </c>
      <c r="N2424" s="57">
        <v>19</v>
      </c>
      <c r="O2424" s="57">
        <v>2</v>
      </c>
      <c r="P2424" s="57">
        <v>62</v>
      </c>
      <c r="Q2424" s="58">
        <v>9</v>
      </c>
    </row>
    <row r="2425" spans="1:17" ht="12.75" x14ac:dyDescent="0.2">
      <c r="A2425" s="85" t="s">
        <v>678</v>
      </c>
      <c r="B2425" s="85" t="s">
        <v>669</v>
      </c>
      <c r="C2425" s="85" t="s">
        <v>654</v>
      </c>
      <c r="D2425" s="56">
        <v>2016</v>
      </c>
      <c r="E2425" s="85" t="s">
        <v>650</v>
      </c>
      <c r="F2425" s="57">
        <v>22</v>
      </c>
      <c r="G2425" s="57">
        <v>0</v>
      </c>
      <c r="H2425" s="58">
        <v>0</v>
      </c>
      <c r="I2425" s="57">
        <v>0</v>
      </c>
      <c r="J2425" s="57">
        <v>17</v>
      </c>
      <c r="K2425" s="57">
        <v>0</v>
      </c>
      <c r="L2425" s="57">
        <v>0</v>
      </c>
      <c r="M2425" s="57">
        <v>0</v>
      </c>
      <c r="N2425" s="57">
        <v>19</v>
      </c>
      <c r="O2425" s="57">
        <v>6</v>
      </c>
      <c r="P2425" s="57">
        <v>62</v>
      </c>
      <c r="Q2425" s="58">
        <v>2</v>
      </c>
    </row>
    <row r="2426" spans="1:17" ht="12.75" x14ac:dyDescent="0.2">
      <c r="A2426" s="85" t="s">
        <v>678</v>
      </c>
      <c r="B2426" s="85" t="s">
        <v>669</v>
      </c>
      <c r="C2426" s="85" t="s">
        <v>654</v>
      </c>
      <c r="D2426" s="56">
        <v>2017</v>
      </c>
      <c r="E2426" s="85" t="s">
        <v>650</v>
      </c>
      <c r="F2426" s="57">
        <v>22</v>
      </c>
      <c r="G2426" s="57">
        <v>0</v>
      </c>
      <c r="H2426" s="58">
        <v>0</v>
      </c>
      <c r="I2426" s="57">
        <v>0</v>
      </c>
      <c r="J2426" s="57">
        <v>17</v>
      </c>
      <c r="K2426" s="57">
        <v>2</v>
      </c>
      <c r="L2426" s="57">
        <v>2</v>
      </c>
      <c r="M2426" s="57">
        <v>0</v>
      </c>
      <c r="N2426" s="57">
        <v>19</v>
      </c>
      <c r="O2426" s="57">
        <v>5</v>
      </c>
      <c r="P2426" s="57">
        <v>62</v>
      </c>
      <c r="Q2426" s="58">
        <v>11</v>
      </c>
    </row>
    <row r="2427" spans="1:17" ht="12.75" x14ac:dyDescent="0.2">
      <c r="A2427" s="85" t="s">
        <v>669</v>
      </c>
      <c r="B2427" s="85" t="s">
        <v>669</v>
      </c>
      <c r="C2427" s="85" t="s">
        <v>654</v>
      </c>
      <c r="D2427" s="56">
        <v>2016</v>
      </c>
      <c r="E2427" s="85" t="s">
        <v>650</v>
      </c>
      <c r="F2427" s="57">
        <v>24</v>
      </c>
      <c r="G2427" s="57">
        <v>0</v>
      </c>
      <c r="H2427" s="58">
        <v>0</v>
      </c>
      <c r="I2427" s="57">
        <v>0</v>
      </c>
      <c r="J2427" s="57">
        <v>23</v>
      </c>
      <c r="K2427" s="57">
        <v>0</v>
      </c>
      <c r="L2427" s="57">
        <v>0</v>
      </c>
      <c r="M2427" s="57">
        <v>0</v>
      </c>
      <c r="N2427" s="57">
        <v>27</v>
      </c>
      <c r="O2427" s="57">
        <v>0</v>
      </c>
      <c r="P2427" s="57">
        <v>63</v>
      </c>
      <c r="Q2427" s="58">
        <v>12</v>
      </c>
    </row>
    <row r="2428" spans="1:17" ht="12.75" x14ac:dyDescent="0.2">
      <c r="A2428" s="85" t="s">
        <v>669</v>
      </c>
      <c r="B2428" s="85" t="s">
        <v>669</v>
      </c>
      <c r="C2428" s="85" t="s">
        <v>654</v>
      </c>
      <c r="D2428" s="56">
        <v>2017</v>
      </c>
      <c r="E2428" s="85" t="s">
        <v>650</v>
      </c>
      <c r="F2428" s="57">
        <v>24</v>
      </c>
      <c r="G2428" s="57">
        <v>0</v>
      </c>
      <c r="H2428" s="58">
        <v>0</v>
      </c>
      <c r="I2428" s="57">
        <v>0</v>
      </c>
      <c r="J2428" s="57">
        <v>23</v>
      </c>
      <c r="K2428" s="57">
        <v>0</v>
      </c>
      <c r="L2428" s="57">
        <v>0</v>
      </c>
      <c r="M2428" s="57">
        <v>0</v>
      </c>
      <c r="N2428" s="57">
        <v>27</v>
      </c>
      <c r="O2428" s="57">
        <v>1</v>
      </c>
      <c r="P2428" s="57">
        <v>63</v>
      </c>
      <c r="Q2428" s="58">
        <v>9</v>
      </c>
    </row>
    <row r="2429" spans="1:17" ht="12.75" x14ac:dyDescent="0.2">
      <c r="A2429" s="85" t="s">
        <v>694</v>
      </c>
      <c r="B2429" s="85" t="s">
        <v>669</v>
      </c>
      <c r="C2429" s="85" t="s">
        <v>654</v>
      </c>
      <c r="D2429" s="56">
        <v>2014</v>
      </c>
      <c r="E2429" s="85" t="s">
        <v>650</v>
      </c>
      <c r="F2429" s="57">
        <v>126</v>
      </c>
      <c r="G2429" s="57">
        <v>1</v>
      </c>
      <c r="H2429" s="58">
        <v>1</v>
      </c>
      <c r="I2429" s="57">
        <v>0</v>
      </c>
      <c r="J2429" s="57">
        <v>37</v>
      </c>
      <c r="K2429" s="57">
        <v>7</v>
      </c>
      <c r="L2429" s="57">
        <v>7</v>
      </c>
      <c r="M2429" s="57">
        <v>0</v>
      </c>
      <c r="N2429" s="57">
        <v>160</v>
      </c>
      <c r="O2429" s="57">
        <v>32</v>
      </c>
      <c r="P2429" s="57">
        <v>192</v>
      </c>
      <c r="Q2429" s="58">
        <v>51</v>
      </c>
    </row>
    <row r="2430" spans="1:17" ht="12.75" x14ac:dyDescent="0.2">
      <c r="A2430" s="85" t="s">
        <v>694</v>
      </c>
      <c r="B2430" s="85" t="s">
        <v>669</v>
      </c>
      <c r="C2430" s="85" t="s">
        <v>654</v>
      </c>
      <c r="D2430" s="56">
        <v>2015</v>
      </c>
      <c r="E2430" s="85" t="s">
        <v>650</v>
      </c>
      <c r="F2430" s="57">
        <v>126</v>
      </c>
      <c r="G2430" s="57">
        <v>24</v>
      </c>
      <c r="H2430" s="58">
        <v>24</v>
      </c>
      <c r="I2430" s="57">
        <v>0</v>
      </c>
      <c r="J2430" s="57">
        <v>37</v>
      </c>
      <c r="K2430" s="57">
        <v>46</v>
      </c>
      <c r="L2430" s="57">
        <v>46</v>
      </c>
      <c r="M2430" s="57">
        <v>0</v>
      </c>
      <c r="N2430" s="57">
        <v>160</v>
      </c>
      <c r="O2430" s="57">
        <v>44</v>
      </c>
      <c r="P2430" s="57">
        <v>192</v>
      </c>
      <c r="Q2430" s="58">
        <v>79</v>
      </c>
    </row>
    <row r="2431" spans="1:17" ht="12.75" x14ac:dyDescent="0.2">
      <c r="A2431" s="85" t="s">
        <v>694</v>
      </c>
      <c r="B2431" s="85" t="s">
        <v>669</v>
      </c>
      <c r="C2431" s="85" t="s">
        <v>654</v>
      </c>
      <c r="D2431" s="56">
        <v>2016</v>
      </c>
      <c r="E2431" s="85" t="s">
        <v>650</v>
      </c>
      <c r="F2431" s="57">
        <v>126</v>
      </c>
      <c r="G2431" s="57">
        <v>78</v>
      </c>
      <c r="H2431" s="58">
        <v>78</v>
      </c>
      <c r="I2431" s="57">
        <v>0</v>
      </c>
      <c r="J2431" s="57">
        <v>37</v>
      </c>
      <c r="K2431" s="57">
        <v>18</v>
      </c>
      <c r="L2431" s="57">
        <v>17</v>
      </c>
      <c r="M2431" s="57">
        <v>1</v>
      </c>
      <c r="N2431" s="57">
        <v>160</v>
      </c>
      <c r="O2431" s="57">
        <v>55</v>
      </c>
      <c r="P2431" s="57">
        <v>192</v>
      </c>
      <c r="Q2431" s="58">
        <v>154</v>
      </c>
    </row>
    <row r="2432" spans="1:17" ht="12.75" x14ac:dyDescent="0.2">
      <c r="A2432" s="85" t="s">
        <v>694</v>
      </c>
      <c r="B2432" s="85" t="s">
        <v>669</v>
      </c>
      <c r="C2432" s="85" t="s">
        <v>654</v>
      </c>
      <c r="D2432" s="56">
        <v>2017</v>
      </c>
      <c r="E2432" s="85" t="s">
        <v>650</v>
      </c>
      <c r="F2432" s="57">
        <v>126</v>
      </c>
      <c r="G2432" s="57">
        <v>0</v>
      </c>
      <c r="H2432" s="58">
        <v>0</v>
      </c>
      <c r="I2432" s="57">
        <v>0</v>
      </c>
      <c r="J2432" s="57">
        <v>37</v>
      </c>
      <c r="K2432" s="57">
        <v>10</v>
      </c>
      <c r="L2432" s="57">
        <v>10</v>
      </c>
      <c r="M2432" s="57">
        <v>0</v>
      </c>
      <c r="N2432" s="57">
        <v>160</v>
      </c>
      <c r="O2432" s="57">
        <v>57</v>
      </c>
      <c r="P2432" s="57">
        <v>192</v>
      </c>
      <c r="Q2432" s="58">
        <v>168</v>
      </c>
    </row>
    <row r="2433" spans="1:17" ht="12.75" x14ac:dyDescent="0.2">
      <c r="A2433" s="81" t="s">
        <v>744</v>
      </c>
      <c r="B2433" s="81" t="s">
        <v>669</v>
      </c>
      <c r="C2433" s="81" t="s">
        <v>654</v>
      </c>
      <c r="D2433" s="82">
        <v>2014</v>
      </c>
      <c r="E2433" s="81" t="s">
        <v>650</v>
      </c>
      <c r="F2433" s="58">
        <v>120</v>
      </c>
      <c r="G2433" s="57">
        <v>0</v>
      </c>
      <c r="H2433" s="58">
        <v>0</v>
      </c>
      <c r="I2433" s="58">
        <v>0</v>
      </c>
      <c r="J2433" s="58">
        <v>65</v>
      </c>
      <c r="K2433" s="57">
        <v>0</v>
      </c>
      <c r="L2433" s="58">
        <v>0</v>
      </c>
      <c r="M2433" s="58">
        <v>0</v>
      </c>
      <c r="N2433" s="58">
        <v>67</v>
      </c>
      <c r="O2433" s="58">
        <v>1</v>
      </c>
      <c r="P2433" s="58">
        <v>188</v>
      </c>
      <c r="Q2433" s="58">
        <v>9</v>
      </c>
    </row>
    <row r="2434" spans="1:17" ht="12.75" x14ac:dyDescent="0.2">
      <c r="A2434" s="81" t="s">
        <v>744</v>
      </c>
      <c r="B2434" s="81" t="s">
        <v>669</v>
      </c>
      <c r="C2434" s="81" t="s">
        <v>654</v>
      </c>
      <c r="D2434" s="82">
        <v>2015</v>
      </c>
      <c r="E2434" s="81" t="s">
        <v>650</v>
      </c>
      <c r="F2434" s="58">
        <v>120</v>
      </c>
      <c r="G2434" s="57">
        <v>0</v>
      </c>
      <c r="H2434" s="58">
        <v>0</v>
      </c>
      <c r="I2434" s="58">
        <v>0</v>
      </c>
      <c r="J2434" s="58">
        <v>65</v>
      </c>
      <c r="K2434" s="57">
        <v>0</v>
      </c>
      <c r="L2434" s="58">
        <v>0</v>
      </c>
      <c r="M2434" s="58">
        <v>0</v>
      </c>
      <c r="N2434" s="58">
        <v>67</v>
      </c>
      <c r="O2434" s="58">
        <v>0</v>
      </c>
      <c r="P2434" s="58">
        <v>188</v>
      </c>
      <c r="Q2434" s="58">
        <v>55</v>
      </c>
    </row>
    <row r="2435" spans="1:17" ht="12.75" x14ac:dyDescent="0.2">
      <c r="A2435" s="81" t="s">
        <v>744</v>
      </c>
      <c r="B2435" s="81" t="s">
        <v>669</v>
      </c>
      <c r="C2435" s="81" t="s">
        <v>654</v>
      </c>
      <c r="D2435" s="82">
        <v>2016</v>
      </c>
      <c r="E2435" s="81" t="s">
        <v>650</v>
      </c>
      <c r="F2435" s="58">
        <v>120</v>
      </c>
      <c r="G2435" s="57">
        <v>0</v>
      </c>
      <c r="H2435" s="58">
        <v>0</v>
      </c>
      <c r="I2435" s="58">
        <v>0</v>
      </c>
      <c r="J2435" s="58">
        <v>65</v>
      </c>
      <c r="K2435" s="57">
        <v>0</v>
      </c>
      <c r="L2435" s="58">
        <v>0</v>
      </c>
      <c r="M2435" s="58">
        <v>0</v>
      </c>
      <c r="N2435" s="58">
        <v>67</v>
      </c>
      <c r="O2435" s="58">
        <v>0</v>
      </c>
      <c r="P2435" s="58">
        <v>188</v>
      </c>
      <c r="Q2435" s="58">
        <v>3</v>
      </c>
    </row>
    <row r="2436" spans="1:17" ht="12.75" x14ac:dyDescent="0.2">
      <c r="A2436" s="81" t="s">
        <v>744</v>
      </c>
      <c r="B2436" s="81" t="s">
        <v>669</v>
      </c>
      <c r="C2436" s="81" t="s">
        <v>654</v>
      </c>
      <c r="D2436" s="82">
        <v>2017</v>
      </c>
      <c r="E2436" s="81" t="s">
        <v>650</v>
      </c>
      <c r="F2436" s="58">
        <v>120</v>
      </c>
      <c r="G2436" s="57">
        <v>0</v>
      </c>
      <c r="H2436" s="58">
        <v>0</v>
      </c>
      <c r="I2436" s="58">
        <v>0</v>
      </c>
      <c r="J2436" s="58">
        <v>65</v>
      </c>
      <c r="K2436" s="57">
        <v>0</v>
      </c>
      <c r="L2436" s="58">
        <v>0</v>
      </c>
      <c r="M2436" s="58">
        <v>0</v>
      </c>
      <c r="N2436" s="58">
        <v>67</v>
      </c>
      <c r="O2436" s="58">
        <v>0</v>
      </c>
      <c r="P2436" s="58">
        <v>188</v>
      </c>
      <c r="Q2436" s="58">
        <v>5</v>
      </c>
    </row>
    <row r="2437" spans="1:17" ht="12.75" x14ac:dyDescent="0.2">
      <c r="A2437" s="81" t="s">
        <v>298</v>
      </c>
      <c r="B2437" s="81" t="s">
        <v>669</v>
      </c>
      <c r="C2437" s="81" t="s">
        <v>654</v>
      </c>
      <c r="D2437" s="82">
        <v>2018</v>
      </c>
      <c r="E2437" s="81" t="s">
        <v>650</v>
      </c>
      <c r="F2437" s="58">
        <v>39</v>
      </c>
      <c r="G2437" s="57">
        <v>0</v>
      </c>
      <c r="H2437" s="58">
        <v>0</v>
      </c>
      <c r="I2437" s="58">
        <v>0</v>
      </c>
      <c r="J2437" s="58">
        <v>29</v>
      </c>
      <c r="K2437" s="57">
        <v>0</v>
      </c>
      <c r="L2437" s="58">
        <v>0</v>
      </c>
      <c r="M2437" s="58">
        <v>0</v>
      </c>
      <c r="N2437" s="58">
        <v>31</v>
      </c>
      <c r="O2437" s="58">
        <v>0</v>
      </c>
      <c r="P2437" s="58">
        <v>112</v>
      </c>
      <c r="Q2437" s="58">
        <v>14</v>
      </c>
    </row>
    <row r="2438" spans="1:17" ht="12.75" x14ac:dyDescent="0.2">
      <c r="A2438" s="81" t="s">
        <v>323</v>
      </c>
      <c r="B2438" s="81" t="s">
        <v>669</v>
      </c>
      <c r="C2438" s="81" t="s">
        <v>654</v>
      </c>
      <c r="D2438" s="82">
        <v>2018</v>
      </c>
      <c r="E2438" s="81" t="s">
        <v>650</v>
      </c>
      <c r="F2438" s="58">
        <v>35</v>
      </c>
      <c r="G2438" s="57">
        <v>0</v>
      </c>
      <c r="H2438" s="58">
        <v>0</v>
      </c>
      <c r="I2438" s="58">
        <v>0</v>
      </c>
      <c r="J2438" s="58">
        <v>18</v>
      </c>
      <c r="K2438" s="57">
        <v>0</v>
      </c>
      <c r="L2438" s="58">
        <v>0</v>
      </c>
      <c r="M2438" s="58">
        <v>0</v>
      </c>
      <c r="N2438" s="58">
        <v>18</v>
      </c>
      <c r="O2438" s="58">
        <v>2</v>
      </c>
      <c r="P2438" s="58">
        <v>66</v>
      </c>
      <c r="Q2438" s="58">
        <v>0</v>
      </c>
    </row>
    <row r="2439" spans="1:17" ht="12.75" x14ac:dyDescent="0.2">
      <c r="A2439" s="81" t="s">
        <v>420</v>
      </c>
      <c r="B2439" s="81" t="s">
        <v>669</v>
      </c>
      <c r="C2439" s="81" t="s">
        <v>654</v>
      </c>
      <c r="D2439" s="82">
        <v>2018</v>
      </c>
      <c r="E2439" s="81" t="s">
        <v>650</v>
      </c>
      <c r="F2439" s="58">
        <v>31</v>
      </c>
      <c r="G2439" s="57">
        <v>0</v>
      </c>
      <c r="H2439" s="58">
        <v>0</v>
      </c>
      <c r="I2439" s="58">
        <v>0</v>
      </c>
      <c r="J2439" s="58">
        <v>24</v>
      </c>
      <c r="K2439" s="57">
        <v>0</v>
      </c>
      <c r="L2439" s="58">
        <v>0</v>
      </c>
      <c r="M2439" s="58">
        <v>0</v>
      </c>
      <c r="N2439" s="58">
        <v>26</v>
      </c>
      <c r="O2439" s="58">
        <v>11</v>
      </c>
      <c r="P2439" s="58">
        <v>76</v>
      </c>
      <c r="Q2439" s="58">
        <v>41</v>
      </c>
    </row>
    <row r="2440" spans="1:17" ht="12.75" x14ac:dyDescent="0.2">
      <c r="A2440" s="81" t="s">
        <v>593</v>
      </c>
      <c r="B2440" s="81" t="s">
        <v>669</v>
      </c>
      <c r="C2440" s="81" t="s">
        <v>654</v>
      </c>
      <c r="D2440" s="82">
        <v>2018</v>
      </c>
      <c r="E2440" s="81" t="s">
        <v>650</v>
      </c>
      <c r="F2440" s="58">
        <v>199</v>
      </c>
      <c r="G2440" s="57">
        <v>0</v>
      </c>
      <c r="H2440" s="58">
        <v>0</v>
      </c>
      <c r="I2440" s="58">
        <v>0</v>
      </c>
      <c r="J2440" s="58">
        <v>103</v>
      </c>
      <c r="K2440" s="57">
        <v>4</v>
      </c>
      <c r="L2440" s="58">
        <v>4</v>
      </c>
      <c r="M2440" s="58">
        <v>0</v>
      </c>
      <c r="N2440" s="58">
        <v>121</v>
      </c>
      <c r="O2440" s="58">
        <v>31</v>
      </c>
      <c r="P2440" s="58">
        <v>322</v>
      </c>
      <c r="Q2440" s="58">
        <v>77</v>
      </c>
    </row>
    <row r="2441" spans="1:17" ht="12.75" x14ac:dyDescent="0.2">
      <c r="A2441" s="81" t="s">
        <v>629</v>
      </c>
      <c r="B2441" s="81" t="s">
        <v>669</v>
      </c>
      <c r="C2441" s="81" t="s">
        <v>654</v>
      </c>
      <c r="D2441" s="82">
        <v>2018</v>
      </c>
      <c r="E2441" s="81" t="s">
        <v>650</v>
      </c>
      <c r="F2441" s="58">
        <v>181</v>
      </c>
      <c r="G2441" s="57">
        <v>109</v>
      </c>
      <c r="H2441" s="58">
        <v>109</v>
      </c>
      <c r="I2441" s="58">
        <v>0</v>
      </c>
      <c r="J2441" s="58">
        <v>107</v>
      </c>
      <c r="K2441" s="57">
        <v>109</v>
      </c>
      <c r="L2441" s="58">
        <v>109</v>
      </c>
      <c r="M2441" s="58">
        <v>0</v>
      </c>
      <c r="N2441" s="58">
        <v>127</v>
      </c>
      <c r="O2441" s="58">
        <v>5</v>
      </c>
      <c r="P2441" s="58">
        <v>484</v>
      </c>
      <c r="Q2441" s="58">
        <v>371</v>
      </c>
    </row>
    <row r="2442" spans="1:17" ht="12.75" x14ac:dyDescent="0.2">
      <c r="A2442" s="81" t="s">
        <v>678</v>
      </c>
      <c r="B2442" s="81" t="s">
        <v>669</v>
      </c>
      <c r="C2442" s="81" t="s">
        <v>654</v>
      </c>
      <c r="D2442" s="82">
        <v>2018</v>
      </c>
      <c r="E2442" s="81" t="s">
        <v>650</v>
      </c>
      <c r="F2442" s="58">
        <v>22</v>
      </c>
      <c r="G2442" s="57">
        <v>3</v>
      </c>
      <c r="H2442" s="58">
        <v>0</v>
      </c>
      <c r="I2442" s="58">
        <v>3</v>
      </c>
      <c r="J2442" s="58">
        <v>17</v>
      </c>
      <c r="K2442" s="57">
        <v>4</v>
      </c>
      <c r="L2442" s="58">
        <v>0</v>
      </c>
      <c r="M2442" s="58">
        <v>4</v>
      </c>
      <c r="N2442" s="58">
        <v>19</v>
      </c>
      <c r="O2442" s="58">
        <v>4</v>
      </c>
      <c r="P2442" s="58">
        <v>62</v>
      </c>
      <c r="Q2442" s="58">
        <v>1</v>
      </c>
    </row>
    <row r="2443" spans="1:17" ht="12.75" x14ac:dyDescent="0.2">
      <c r="A2443" s="81" t="s">
        <v>669</v>
      </c>
      <c r="B2443" s="81" t="s">
        <v>669</v>
      </c>
      <c r="C2443" s="81" t="s">
        <v>654</v>
      </c>
      <c r="D2443" s="82">
        <v>2018</v>
      </c>
      <c r="E2443" s="81" t="s">
        <v>650</v>
      </c>
      <c r="F2443" s="58">
        <v>24</v>
      </c>
      <c r="G2443" s="57">
        <v>0</v>
      </c>
      <c r="H2443" s="58">
        <v>0</v>
      </c>
      <c r="I2443" s="58">
        <v>0</v>
      </c>
      <c r="J2443" s="58">
        <v>23</v>
      </c>
      <c r="K2443" s="57">
        <v>7</v>
      </c>
      <c r="L2443" s="58">
        <v>0</v>
      </c>
      <c r="M2443" s="58">
        <v>7</v>
      </c>
      <c r="N2443" s="58">
        <v>27</v>
      </c>
      <c r="O2443" s="58">
        <v>10</v>
      </c>
      <c r="P2443" s="58">
        <v>63</v>
      </c>
      <c r="Q2443" s="58">
        <v>7</v>
      </c>
    </row>
    <row r="2444" spans="1:17" ht="12.75" x14ac:dyDescent="0.2">
      <c r="A2444" s="81" t="s">
        <v>694</v>
      </c>
      <c r="B2444" s="81" t="s">
        <v>669</v>
      </c>
      <c r="C2444" s="81" t="s">
        <v>654</v>
      </c>
      <c r="D2444" s="82">
        <v>2018</v>
      </c>
      <c r="E2444" s="81" t="s">
        <v>650</v>
      </c>
      <c r="F2444" s="58">
        <v>126</v>
      </c>
      <c r="G2444" s="57">
        <v>12</v>
      </c>
      <c r="H2444" s="58">
        <v>12</v>
      </c>
      <c r="I2444" s="58">
        <v>0</v>
      </c>
      <c r="J2444" s="58">
        <v>37</v>
      </c>
      <c r="K2444" s="57">
        <v>86</v>
      </c>
      <c r="L2444" s="58">
        <v>85</v>
      </c>
      <c r="M2444" s="58">
        <v>1</v>
      </c>
      <c r="N2444" s="58">
        <v>160</v>
      </c>
      <c r="O2444" s="58">
        <v>71</v>
      </c>
      <c r="P2444" s="58">
        <v>192</v>
      </c>
      <c r="Q2444" s="58">
        <v>108</v>
      </c>
    </row>
    <row r="2445" spans="1:17" ht="12.75" x14ac:dyDescent="0.2">
      <c r="A2445" s="81" t="s">
        <v>744</v>
      </c>
      <c r="B2445" s="81" t="s">
        <v>669</v>
      </c>
      <c r="C2445" s="81" t="s">
        <v>654</v>
      </c>
      <c r="D2445" s="82">
        <v>2018</v>
      </c>
      <c r="E2445" s="81" t="s">
        <v>650</v>
      </c>
      <c r="F2445" s="58">
        <v>120</v>
      </c>
      <c r="G2445" s="57">
        <v>0</v>
      </c>
      <c r="H2445" s="58">
        <v>0</v>
      </c>
      <c r="I2445" s="58">
        <v>0</v>
      </c>
      <c r="J2445" s="58">
        <v>65</v>
      </c>
      <c r="K2445" s="57">
        <v>0</v>
      </c>
      <c r="L2445" s="58">
        <v>0</v>
      </c>
      <c r="M2445" s="58">
        <v>0</v>
      </c>
      <c r="N2445" s="58">
        <v>67</v>
      </c>
      <c r="O2445" s="58">
        <v>0</v>
      </c>
      <c r="P2445" s="58">
        <v>188</v>
      </c>
      <c r="Q2445" s="58">
        <v>18</v>
      </c>
    </row>
    <row r="2446" spans="1:17" ht="12.75" x14ac:dyDescent="0.2">
      <c r="A2446" s="85" t="s">
        <v>284</v>
      </c>
      <c r="B2446" s="85" t="s">
        <v>679</v>
      </c>
      <c r="C2446" s="85" t="s">
        <v>531</v>
      </c>
      <c r="D2446" s="56">
        <v>2016</v>
      </c>
      <c r="E2446" s="85" t="s">
        <v>650</v>
      </c>
      <c r="F2446" s="57">
        <v>622</v>
      </c>
      <c r="G2446" s="57">
        <v>0</v>
      </c>
      <c r="H2446" s="58">
        <v>0</v>
      </c>
      <c r="I2446" s="57">
        <v>0</v>
      </c>
      <c r="J2446" s="57">
        <v>399</v>
      </c>
      <c r="K2446" s="57">
        <v>0</v>
      </c>
      <c r="L2446" s="57">
        <v>0</v>
      </c>
      <c r="M2446" s="57">
        <v>0</v>
      </c>
      <c r="N2446" s="57">
        <v>446</v>
      </c>
      <c r="O2446" s="57">
        <v>0</v>
      </c>
      <c r="P2446" s="57">
        <v>1104</v>
      </c>
      <c r="Q2446" s="58">
        <v>0</v>
      </c>
    </row>
    <row r="2447" spans="1:17" ht="12.75" x14ac:dyDescent="0.2">
      <c r="A2447" s="85" t="s">
        <v>284</v>
      </c>
      <c r="B2447" s="59" t="s">
        <v>679</v>
      </c>
      <c r="C2447" s="85" t="s">
        <v>531</v>
      </c>
      <c r="D2447" s="96">
        <v>2017</v>
      </c>
      <c r="E2447" s="85" t="s">
        <v>650</v>
      </c>
      <c r="F2447" s="57">
        <v>622</v>
      </c>
      <c r="G2447" s="57">
        <v>0</v>
      </c>
      <c r="H2447" s="61">
        <v>0</v>
      </c>
      <c r="I2447" s="57">
        <v>0</v>
      </c>
      <c r="J2447" s="57">
        <v>399</v>
      </c>
      <c r="K2447" s="57">
        <v>0</v>
      </c>
      <c r="L2447" s="60">
        <v>0</v>
      </c>
      <c r="M2447" s="57">
        <v>0</v>
      </c>
      <c r="N2447" s="60">
        <v>446</v>
      </c>
      <c r="O2447" s="60">
        <v>5</v>
      </c>
      <c r="P2447" s="57">
        <v>1104</v>
      </c>
      <c r="Q2447" s="61">
        <v>0</v>
      </c>
    </row>
    <row r="2448" spans="1:17" ht="12.75" x14ac:dyDescent="0.2">
      <c r="A2448" s="85" t="s">
        <v>431</v>
      </c>
      <c r="B2448" s="85" t="s">
        <v>679</v>
      </c>
      <c r="C2448" s="85" t="s">
        <v>531</v>
      </c>
      <c r="D2448" s="56">
        <v>2015</v>
      </c>
      <c r="E2448" s="85" t="s">
        <v>650</v>
      </c>
      <c r="F2448" s="57">
        <v>53</v>
      </c>
      <c r="G2448" s="57">
        <v>0</v>
      </c>
      <c r="H2448" s="58">
        <v>0</v>
      </c>
      <c r="I2448" s="57">
        <v>0</v>
      </c>
      <c r="J2448" s="57">
        <v>34</v>
      </c>
      <c r="K2448" s="57">
        <v>0</v>
      </c>
      <c r="L2448" s="57">
        <v>0</v>
      </c>
      <c r="M2448" s="57">
        <v>0</v>
      </c>
      <c r="N2448" s="57">
        <v>38</v>
      </c>
      <c r="O2448" s="57">
        <v>0</v>
      </c>
      <c r="P2448" s="57">
        <v>93</v>
      </c>
      <c r="Q2448" s="58">
        <v>32</v>
      </c>
    </row>
    <row r="2449" spans="1:17" ht="12.75" x14ac:dyDescent="0.2">
      <c r="A2449" s="85" t="s">
        <v>431</v>
      </c>
      <c r="B2449" s="85" t="s">
        <v>679</v>
      </c>
      <c r="C2449" s="85" t="s">
        <v>531</v>
      </c>
      <c r="D2449" s="56">
        <v>2016</v>
      </c>
      <c r="E2449" s="85" t="s">
        <v>650</v>
      </c>
      <c r="F2449" s="57">
        <v>53</v>
      </c>
      <c r="G2449" s="57">
        <v>0</v>
      </c>
      <c r="H2449" s="58">
        <v>0</v>
      </c>
      <c r="I2449" s="57">
        <v>0</v>
      </c>
      <c r="J2449" s="57">
        <v>34</v>
      </c>
      <c r="K2449" s="57">
        <v>0</v>
      </c>
      <c r="L2449" s="57">
        <v>0</v>
      </c>
      <c r="M2449" s="57">
        <v>0</v>
      </c>
      <c r="N2449" s="57">
        <v>38</v>
      </c>
      <c r="O2449" s="57">
        <v>0</v>
      </c>
      <c r="P2449" s="57">
        <v>93</v>
      </c>
      <c r="Q2449" s="58">
        <v>15</v>
      </c>
    </row>
    <row r="2450" spans="1:17" ht="12.75" x14ac:dyDescent="0.2">
      <c r="A2450" s="85" t="s">
        <v>431</v>
      </c>
      <c r="B2450" s="85" t="s">
        <v>679</v>
      </c>
      <c r="C2450" s="85" t="s">
        <v>531</v>
      </c>
      <c r="D2450" s="56">
        <v>2017</v>
      </c>
      <c r="E2450" s="85" t="s">
        <v>650</v>
      </c>
      <c r="F2450" s="57">
        <v>53</v>
      </c>
      <c r="G2450" s="57">
        <v>0</v>
      </c>
      <c r="H2450" s="58">
        <v>0</v>
      </c>
      <c r="I2450" s="57">
        <v>0</v>
      </c>
      <c r="J2450" s="57">
        <v>34</v>
      </c>
      <c r="K2450" s="57">
        <v>0</v>
      </c>
      <c r="L2450" s="57">
        <v>0</v>
      </c>
      <c r="M2450" s="57">
        <v>0</v>
      </c>
      <c r="N2450" s="57">
        <v>38</v>
      </c>
      <c r="O2450" s="57">
        <v>0</v>
      </c>
      <c r="P2450" s="57">
        <v>93</v>
      </c>
      <c r="Q2450" s="58">
        <v>16</v>
      </c>
    </row>
    <row r="2451" spans="1:17" ht="12.75" x14ac:dyDescent="0.2">
      <c r="A2451" s="85" t="s">
        <v>548</v>
      </c>
      <c r="B2451" s="85" t="s">
        <v>679</v>
      </c>
      <c r="C2451" s="85" t="s">
        <v>531</v>
      </c>
      <c r="D2451" s="56">
        <v>2015</v>
      </c>
      <c r="E2451" s="85" t="s">
        <v>650</v>
      </c>
      <c r="F2451" s="57">
        <v>1546</v>
      </c>
      <c r="G2451" s="57">
        <v>0</v>
      </c>
      <c r="H2451" s="58">
        <v>0</v>
      </c>
      <c r="I2451" s="57">
        <v>0</v>
      </c>
      <c r="J2451" s="57">
        <v>991</v>
      </c>
      <c r="K2451" s="57">
        <v>0</v>
      </c>
      <c r="L2451" s="57">
        <v>0</v>
      </c>
      <c r="M2451" s="57">
        <v>0</v>
      </c>
      <c r="N2451" s="57">
        <v>1100</v>
      </c>
      <c r="O2451" s="60">
        <v>0</v>
      </c>
      <c r="P2451" s="57">
        <v>2724</v>
      </c>
      <c r="Q2451" s="58">
        <v>18</v>
      </c>
    </row>
    <row r="2452" spans="1:17" ht="12.75" x14ac:dyDescent="0.2">
      <c r="A2452" s="85" t="s">
        <v>548</v>
      </c>
      <c r="B2452" s="85" t="s">
        <v>679</v>
      </c>
      <c r="C2452" s="85" t="s">
        <v>531</v>
      </c>
      <c r="D2452" s="56">
        <v>2016</v>
      </c>
      <c r="E2452" s="85" t="s">
        <v>650</v>
      </c>
      <c r="F2452" s="57">
        <v>1546</v>
      </c>
      <c r="G2452" s="57">
        <v>0</v>
      </c>
      <c r="H2452" s="58">
        <v>0</v>
      </c>
      <c r="I2452" s="57">
        <v>0</v>
      </c>
      <c r="J2452" s="57">
        <v>991</v>
      </c>
      <c r="K2452" s="57">
        <v>50</v>
      </c>
      <c r="L2452" s="57">
        <v>50</v>
      </c>
      <c r="M2452" s="57">
        <v>0</v>
      </c>
      <c r="N2452" s="57">
        <v>1100</v>
      </c>
      <c r="O2452" s="60">
        <v>56</v>
      </c>
      <c r="P2452" s="57">
        <v>2724</v>
      </c>
      <c r="Q2452" s="58">
        <v>150</v>
      </c>
    </row>
    <row r="2453" spans="1:17" ht="12.75" x14ac:dyDescent="0.2">
      <c r="A2453" s="85" t="s">
        <v>548</v>
      </c>
      <c r="B2453" s="85" t="s">
        <v>679</v>
      </c>
      <c r="C2453" s="85" t="s">
        <v>531</v>
      </c>
      <c r="D2453" s="56">
        <v>2017</v>
      </c>
      <c r="E2453" s="85" t="s">
        <v>650</v>
      </c>
      <c r="F2453" s="57">
        <v>1546</v>
      </c>
      <c r="G2453" s="57">
        <v>0</v>
      </c>
      <c r="H2453" s="58">
        <v>0</v>
      </c>
      <c r="I2453" s="57">
        <v>0</v>
      </c>
      <c r="J2453" s="57">
        <v>991</v>
      </c>
      <c r="K2453" s="57">
        <v>0</v>
      </c>
      <c r="L2453" s="57">
        <v>0</v>
      </c>
      <c r="M2453" s="57">
        <v>0</v>
      </c>
      <c r="N2453" s="57">
        <v>1100</v>
      </c>
      <c r="O2453" s="60">
        <v>3</v>
      </c>
      <c r="P2453" s="57">
        <v>2724</v>
      </c>
      <c r="Q2453" s="58">
        <v>137</v>
      </c>
    </row>
    <row r="2454" spans="1:17" ht="12.75" x14ac:dyDescent="0.2">
      <c r="A2454" s="85" t="s">
        <v>577</v>
      </c>
      <c r="B2454" s="85" t="s">
        <v>679</v>
      </c>
      <c r="C2454" s="85" t="s">
        <v>531</v>
      </c>
      <c r="D2454" s="56">
        <v>2016</v>
      </c>
      <c r="E2454" s="85" t="s">
        <v>650</v>
      </c>
      <c r="F2454" s="57">
        <v>315</v>
      </c>
      <c r="G2454" s="57">
        <v>0</v>
      </c>
      <c r="H2454" s="58">
        <v>0</v>
      </c>
      <c r="I2454" s="57">
        <v>0</v>
      </c>
      <c r="J2454" s="57">
        <v>202</v>
      </c>
      <c r="K2454" s="57">
        <v>0</v>
      </c>
      <c r="L2454" s="57">
        <v>0</v>
      </c>
      <c r="M2454" s="57">
        <v>0</v>
      </c>
      <c r="N2454" s="57">
        <v>210</v>
      </c>
      <c r="O2454" s="57">
        <v>4</v>
      </c>
      <c r="P2454" s="57">
        <v>520</v>
      </c>
      <c r="Q2454" s="58">
        <v>101</v>
      </c>
    </row>
    <row r="2455" spans="1:17" ht="12.75" x14ac:dyDescent="0.2">
      <c r="A2455" s="85" t="s">
        <v>577</v>
      </c>
      <c r="B2455" s="85" t="s">
        <v>679</v>
      </c>
      <c r="C2455" s="85" t="s">
        <v>531</v>
      </c>
      <c r="D2455" s="56">
        <v>2017</v>
      </c>
      <c r="E2455" s="85" t="s">
        <v>650</v>
      </c>
      <c r="F2455" s="57">
        <v>315</v>
      </c>
      <c r="G2455" s="57">
        <v>0</v>
      </c>
      <c r="H2455" s="58">
        <v>0</v>
      </c>
      <c r="I2455" s="57">
        <v>0</v>
      </c>
      <c r="J2455" s="57">
        <v>202</v>
      </c>
      <c r="K2455" s="57">
        <v>0</v>
      </c>
      <c r="L2455" s="57">
        <v>0</v>
      </c>
      <c r="M2455" s="57">
        <v>0</v>
      </c>
      <c r="N2455" s="57">
        <v>210</v>
      </c>
      <c r="O2455" s="57">
        <v>76</v>
      </c>
      <c r="P2455" s="57">
        <v>520</v>
      </c>
      <c r="Q2455" s="58">
        <v>34</v>
      </c>
    </row>
    <row r="2456" spans="1:17" ht="12.75" x14ac:dyDescent="0.2">
      <c r="A2456" s="85" t="s">
        <v>625</v>
      </c>
      <c r="B2456" s="85" t="s">
        <v>679</v>
      </c>
      <c r="C2456" s="85" t="s">
        <v>531</v>
      </c>
      <c r="D2456" s="56">
        <v>2015</v>
      </c>
      <c r="E2456" s="85" t="s">
        <v>650</v>
      </c>
      <c r="F2456" s="57">
        <v>321</v>
      </c>
      <c r="G2456" s="57">
        <v>0</v>
      </c>
      <c r="H2456" s="58">
        <v>0</v>
      </c>
      <c r="I2456" s="57">
        <v>0</v>
      </c>
      <c r="J2456" s="57">
        <v>206</v>
      </c>
      <c r="K2456" s="57">
        <v>0</v>
      </c>
      <c r="L2456" s="57">
        <v>0</v>
      </c>
      <c r="M2456" s="57">
        <v>0</v>
      </c>
      <c r="N2456" s="57">
        <v>217</v>
      </c>
      <c r="O2456" s="57">
        <v>0</v>
      </c>
      <c r="P2456" s="57">
        <v>536</v>
      </c>
      <c r="Q2456" s="58">
        <v>52</v>
      </c>
    </row>
    <row r="2457" spans="1:17" ht="12.75" x14ac:dyDescent="0.2">
      <c r="A2457" s="85" t="s">
        <v>625</v>
      </c>
      <c r="B2457" s="85" t="s">
        <v>679</v>
      </c>
      <c r="C2457" s="85" t="s">
        <v>531</v>
      </c>
      <c r="D2457" s="56">
        <v>2016</v>
      </c>
      <c r="E2457" s="85" t="s">
        <v>650</v>
      </c>
      <c r="F2457" s="57">
        <v>321</v>
      </c>
      <c r="G2457" s="57">
        <v>33</v>
      </c>
      <c r="H2457" s="58">
        <v>33</v>
      </c>
      <c r="I2457" s="57">
        <v>0</v>
      </c>
      <c r="J2457" s="57">
        <v>206</v>
      </c>
      <c r="K2457" s="57">
        <v>38</v>
      </c>
      <c r="L2457" s="57">
        <v>38</v>
      </c>
      <c r="M2457" s="57">
        <v>0</v>
      </c>
      <c r="N2457" s="57">
        <v>217</v>
      </c>
      <c r="O2457" s="57">
        <v>0</v>
      </c>
      <c r="P2457" s="57">
        <v>536</v>
      </c>
      <c r="Q2457" s="58">
        <v>0</v>
      </c>
    </row>
    <row r="2458" spans="1:17" ht="12.75" x14ac:dyDescent="0.2">
      <c r="A2458" s="85" t="s">
        <v>625</v>
      </c>
      <c r="B2458" s="85" t="s">
        <v>679</v>
      </c>
      <c r="C2458" s="85" t="s">
        <v>531</v>
      </c>
      <c r="D2458" s="56">
        <v>2017</v>
      </c>
      <c r="E2458" s="85" t="s">
        <v>650</v>
      </c>
      <c r="F2458" s="57">
        <v>321</v>
      </c>
      <c r="G2458" s="57">
        <v>0</v>
      </c>
      <c r="H2458" s="58">
        <v>0</v>
      </c>
      <c r="I2458" s="57">
        <v>0</v>
      </c>
      <c r="J2458" s="57">
        <v>206</v>
      </c>
      <c r="K2458" s="57">
        <v>0</v>
      </c>
      <c r="L2458" s="57">
        <v>0</v>
      </c>
      <c r="M2458" s="57">
        <v>0</v>
      </c>
      <c r="N2458" s="57">
        <v>217</v>
      </c>
      <c r="O2458" s="57">
        <v>0</v>
      </c>
      <c r="P2458" s="57">
        <v>536</v>
      </c>
      <c r="Q2458" s="58">
        <v>13</v>
      </c>
    </row>
    <row r="2459" spans="1:17" ht="12.75" x14ac:dyDescent="0.2">
      <c r="A2459" s="85" t="s">
        <v>697</v>
      </c>
      <c r="B2459" s="85" t="s">
        <v>679</v>
      </c>
      <c r="C2459" s="85" t="s">
        <v>531</v>
      </c>
      <c r="D2459" s="56">
        <v>2015</v>
      </c>
      <c r="E2459" s="85" t="s">
        <v>650</v>
      </c>
      <c r="F2459" s="57">
        <v>538</v>
      </c>
      <c r="G2459" s="57">
        <v>0</v>
      </c>
      <c r="H2459" s="58">
        <v>0</v>
      </c>
      <c r="I2459" s="57">
        <v>0</v>
      </c>
      <c r="J2459" s="57">
        <v>345</v>
      </c>
      <c r="K2459" s="57">
        <v>0</v>
      </c>
      <c r="L2459" s="57">
        <v>0</v>
      </c>
      <c r="M2459" s="57">
        <v>0</v>
      </c>
      <c r="N2459" s="57">
        <v>391</v>
      </c>
      <c r="O2459" s="57">
        <v>30</v>
      </c>
      <c r="P2459" s="57">
        <v>967</v>
      </c>
      <c r="Q2459" s="58">
        <v>76</v>
      </c>
    </row>
    <row r="2460" spans="1:17" ht="12.75" x14ac:dyDescent="0.2">
      <c r="A2460" s="85" t="s">
        <v>697</v>
      </c>
      <c r="B2460" s="85" t="s">
        <v>679</v>
      </c>
      <c r="C2460" s="85" t="s">
        <v>531</v>
      </c>
      <c r="D2460" s="56">
        <v>2016</v>
      </c>
      <c r="E2460" s="85" t="s">
        <v>650</v>
      </c>
      <c r="F2460" s="57">
        <v>538</v>
      </c>
      <c r="G2460" s="57">
        <v>0</v>
      </c>
      <c r="H2460" s="58">
        <v>0</v>
      </c>
      <c r="I2460" s="57">
        <v>0</v>
      </c>
      <c r="J2460" s="57">
        <v>345</v>
      </c>
      <c r="K2460" s="57">
        <v>10</v>
      </c>
      <c r="L2460" s="57">
        <v>0</v>
      </c>
      <c r="M2460" s="57">
        <v>10</v>
      </c>
      <c r="N2460" s="57">
        <v>391</v>
      </c>
      <c r="O2460" s="57">
        <v>3</v>
      </c>
      <c r="P2460" s="57">
        <v>967</v>
      </c>
      <c r="Q2460" s="58">
        <v>121</v>
      </c>
    </row>
    <row r="2461" spans="1:17" ht="12.75" x14ac:dyDescent="0.2">
      <c r="A2461" s="85" t="s">
        <v>697</v>
      </c>
      <c r="B2461" s="85" t="s">
        <v>679</v>
      </c>
      <c r="C2461" s="85" t="s">
        <v>531</v>
      </c>
      <c r="D2461" s="56">
        <v>2017</v>
      </c>
      <c r="E2461" s="85" t="s">
        <v>650</v>
      </c>
      <c r="F2461" s="57">
        <v>538</v>
      </c>
      <c r="G2461" s="57">
        <v>0</v>
      </c>
      <c r="H2461" s="58">
        <v>0</v>
      </c>
      <c r="I2461" s="57">
        <v>0</v>
      </c>
      <c r="J2461" s="57">
        <v>345</v>
      </c>
      <c r="K2461" s="57">
        <v>0</v>
      </c>
      <c r="L2461" s="57">
        <v>0</v>
      </c>
      <c r="M2461" s="57">
        <v>0</v>
      </c>
      <c r="N2461" s="57">
        <v>391</v>
      </c>
      <c r="O2461" s="57">
        <v>11</v>
      </c>
      <c r="P2461" s="57">
        <v>967</v>
      </c>
      <c r="Q2461" s="58">
        <v>120</v>
      </c>
    </row>
    <row r="2462" spans="1:17" ht="12.75" x14ac:dyDescent="0.2">
      <c r="A2462" s="81" t="s">
        <v>719</v>
      </c>
      <c r="B2462" s="81" t="s">
        <v>679</v>
      </c>
      <c r="C2462" s="81" t="s">
        <v>531</v>
      </c>
      <c r="D2462" s="82">
        <v>2015</v>
      </c>
      <c r="E2462" s="81" t="s">
        <v>650</v>
      </c>
      <c r="F2462" s="58">
        <v>877</v>
      </c>
      <c r="G2462" s="57">
        <v>1</v>
      </c>
      <c r="H2462" s="58">
        <v>1</v>
      </c>
      <c r="I2462" s="58">
        <v>0</v>
      </c>
      <c r="J2462" s="57">
        <v>562</v>
      </c>
      <c r="K2462" s="57">
        <v>3</v>
      </c>
      <c r="L2462" s="58">
        <v>3</v>
      </c>
      <c r="M2462" s="58">
        <v>0</v>
      </c>
      <c r="N2462" s="58">
        <v>627</v>
      </c>
      <c r="O2462" s="58">
        <v>41</v>
      </c>
      <c r="P2462" s="58">
        <v>1552</v>
      </c>
      <c r="Q2462" s="58">
        <v>15</v>
      </c>
    </row>
    <row r="2463" spans="1:17" ht="12.75" x14ac:dyDescent="0.2">
      <c r="A2463" s="81" t="s">
        <v>719</v>
      </c>
      <c r="B2463" s="81" t="s">
        <v>679</v>
      </c>
      <c r="C2463" s="81" t="s">
        <v>531</v>
      </c>
      <c r="D2463" s="82">
        <v>2016</v>
      </c>
      <c r="E2463" s="81" t="s">
        <v>650</v>
      </c>
      <c r="F2463" s="58">
        <v>877</v>
      </c>
      <c r="G2463" s="57">
        <v>1</v>
      </c>
      <c r="H2463" s="58">
        <v>1</v>
      </c>
      <c r="I2463" s="58">
        <v>0</v>
      </c>
      <c r="J2463" s="57">
        <v>562</v>
      </c>
      <c r="K2463" s="57">
        <v>120</v>
      </c>
      <c r="L2463" s="58">
        <v>120</v>
      </c>
      <c r="M2463" s="58">
        <v>0</v>
      </c>
      <c r="N2463" s="58">
        <v>627</v>
      </c>
      <c r="O2463" s="58">
        <v>547</v>
      </c>
      <c r="P2463" s="58">
        <v>1552</v>
      </c>
      <c r="Q2463" s="58">
        <v>13</v>
      </c>
    </row>
    <row r="2464" spans="1:17" ht="12.75" x14ac:dyDescent="0.2">
      <c r="A2464" s="81" t="s">
        <v>719</v>
      </c>
      <c r="B2464" s="81" t="s">
        <v>679</v>
      </c>
      <c r="C2464" s="81" t="s">
        <v>531</v>
      </c>
      <c r="D2464" s="82">
        <v>2017</v>
      </c>
      <c r="E2464" s="81" t="s">
        <v>650</v>
      </c>
      <c r="F2464" s="58">
        <v>877</v>
      </c>
      <c r="G2464" s="57">
        <v>0</v>
      </c>
      <c r="H2464" s="58">
        <v>0</v>
      </c>
      <c r="I2464" s="58">
        <v>0</v>
      </c>
      <c r="J2464" s="57">
        <v>562</v>
      </c>
      <c r="K2464" s="57">
        <v>0</v>
      </c>
      <c r="L2464" s="58">
        <v>0</v>
      </c>
      <c r="M2464" s="58">
        <v>0</v>
      </c>
      <c r="N2464" s="58">
        <v>627</v>
      </c>
      <c r="O2464" s="58">
        <v>3</v>
      </c>
      <c r="P2464" s="58">
        <v>1552</v>
      </c>
      <c r="Q2464" s="58">
        <v>18</v>
      </c>
    </row>
    <row r="2465" spans="1:17" ht="12.75" x14ac:dyDescent="0.2">
      <c r="A2465" s="81" t="s">
        <v>284</v>
      </c>
      <c r="B2465" s="81" t="s">
        <v>679</v>
      </c>
      <c r="C2465" s="81" t="s">
        <v>531</v>
      </c>
      <c r="D2465" s="82">
        <v>2018</v>
      </c>
      <c r="E2465" s="81" t="s">
        <v>650</v>
      </c>
      <c r="F2465" s="58">
        <v>622</v>
      </c>
      <c r="G2465" s="57">
        <v>0</v>
      </c>
      <c r="H2465" s="58">
        <v>0</v>
      </c>
      <c r="I2465" s="58">
        <v>0</v>
      </c>
      <c r="J2465" s="58">
        <v>399</v>
      </c>
      <c r="K2465" s="57">
        <v>0</v>
      </c>
      <c r="L2465" s="58">
        <v>0</v>
      </c>
      <c r="M2465" s="58">
        <v>0</v>
      </c>
      <c r="N2465" s="58">
        <v>446</v>
      </c>
      <c r="O2465" s="58">
        <v>0</v>
      </c>
      <c r="P2465" s="58">
        <v>1104</v>
      </c>
      <c r="Q2465" s="58">
        <v>0</v>
      </c>
    </row>
    <row r="2466" spans="1:17" ht="12.75" x14ac:dyDescent="0.2">
      <c r="A2466" s="81" t="s">
        <v>431</v>
      </c>
      <c r="B2466" s="81" t="s">
        <v>679</v>
      </c>
      <c r="C2466" s="81" t="s">
        <v>531</v>
      </c>
      <c r="D2466" s="82">
        <v>2018</v>
      </c>
      <c r="E2466" s="81" t="s">
        <v>650</v>
      </c>
      <c r="F2466" s="58">
        <v>53</v>
      </c>
      <c r="G2466" s="57">
        <v>0</v>
      </c>
      <c r="H2466" s="58">
        <v>0</v>
      </c>
      <c r="I2466" s="58">
        <v>0</v>
      </c>
      <c r="J2466" s="58">
        <v>34</v>
      </c>
      <c r="K2466" s="57">
        <v>0</v>
      </c>
      <c r="L2466" s="58">
        <v>0</v>
      </c>
      <c r="M2466" s="58">
        <v>0</v>
      </c>
      <c r="N2466" s="58">
        <v>38</v>
      </c>
      <c r="O2466" s="58">
        <v>0</v>
      </c>
      <c r="P2466" s="58">
        <v>93</v>
      </c>
      <c r="Q2466" s="58">
        <v>8</v>
      </c>
    </row>
    <row r="2467" spans="1:17" ht="12.75" x14ac:dyDescent="0.2">
      <c r="A2467" s="81" t="s">
        <v>548</v>
      </c>
      <c r="B2467" s="81" t="s">
        <v>679</v>
      </c>
      <c r="C2467" s="81" t="s">
        <v>531</v>
      </c>
      <c r="D2467" s="82">
        <v>2018</v>
      </c>
      <c r="E2467" s="81" t="s">
        <v>650</v>
      </c>
      <c r="F2467" s="58">
        <v>1546</v>
      </c>
      <c r="G2467" s="57">
        <v>0</v>
      </c>
      <c r="H2467" s="58">
        <v>0</v>
      </c>
      <c r="I2467" s="58">
        <v>0</v>
      </c>
      <c r="J2467" s="58">
        <v>991</v>
      </c>
      <c r="K2467" s="57">
        <v>6</v>
      </c>
      <c r="L2467" s="58">
        <v>5</v>
      </c>
      <c r="M2467" s="58">
        <v>1</v>
      </c>
      <c r="N2467" s="58">
        <v>1100</v>
      </c>
      <c r="O2467" s="58">
        <v>87</v>
      </c>
      <c r="P2467" s="58">
        <v>2724</v>
      </c>
      <c r="Q2467" s="58">
        <v>120</v>
      </c>
    </row>
    <row r="2468" spans="1:17" ht="12.75" x14ac:dyDescent="0.2">
      <c r="A2468" s="81" t="s">
        <v>577</v>
      </c>
      <c r="B2468" s="81" t="s">
        <v>679</v>
      </c>
      <c r="C2468" s="81" t="s">
        <v>531</v>
      </c>
      <c r="D2468" s="82">
        <v>2018</v>
      </c>
      <c r="E2468" s="81" t="s">
        <v>650</v>
      </c>
      <c r="F2468" s="58">
        <v>315</v>
      </c>
      <c r="G2468" s="57">
        <v>0</v>
      </c>
      <c r="H2468" s="58">
        <v>0</v>
      </c>
      <c r="I2468" s="58">
        <v>0</v>
      </c>
      <c r="J2468" s="58">
        <v>202</v>
      </c>
      <c r="K2468" s="57">
        <v>1</v>
      </c>
      <c r="L2468" s="58">
        <v>0</v>
      </c>
      <c r="M2468" s="58">
        <v>1</v>
      </c>
      <c r="N2468" s="58">
        <v>210</v>
      </c>
      <c r="O2468" s="58">
        <v>4</v>
      </c>
      <c r="P2468" s="58">
        <v>520</v>
      </c>
      <c r="Q2468" s="58">
        <v>119</v>
      </c>
    </row>
    <row r="2469" spans="1:17" ht="12.75" x14ac:dyDescent="0.2">
      <c r="A2469" s="81" t="s">
        <v>625</v>
      </c>
      <c r="B2469" s="81" t="s">
        <v>679</v>
      </c>
      <c r="C2469" s="81" t="s">
        <v>531</v>
      </c>
      <c r="D2469" s="82">
        <v>2018</v>
      </c>
      <c r="E2469" s="81" t="s">
        <v>650</v>
      </c>
      <c r="F2469" s="58">
        <v>321</v>
      </c>
      <c r="G2469" s="57">
        <v>0</v>
      </c>
      <c r="H2469" s="58">
        <v>0</v>
      </c>
      <c r="I2469" s="58">
        <v>0</v>
      </c>
      <c r="J2469" s="58">
        <v>206</v>
      </c>
      <c r="K2469" s="57">
        <v>0</v>
      </c>
      <c r="L2469" s="58">
        <v>0</v>
      </c>
      <c r="M2469" s="58">
        <v>0</v>
      </c>
      <c r="N2469" s="58">
        <v>217</v>
      </c>
      <c r="O2469" s="58">
        <v>0</v>
      </c>
      <c r="P2469" s="58">
        <v>536</v>
      </c>
      <c r="Q2469" s="58">
        <v>38</v>
      </c>
    </row>
    <row r="2470" spans="1:17" ht="12.75" x14ac:dyDescent="0.2">
      <c r="A2470" s="81" t="s">
        <v>697</v>
      </c>
      <c r="B2470" s="81" t="s">
        <v>679</v>
      </c>
      <c r="C2470" s="81" t="s">
        <v>531</v>
      </c>
      <c r="D2470" s="82">
        <v>2018</v>
      </c>
      <c r="E2470" s="81" t="s">
        <v>650</v>
      </c>
      <c r="F2470" s="58">
        <v>538</v>
      </c>
      <c r="G2470" s="57">
        <v>0</v>
      </c>
      <c r="H2470" s="58">
        <v>0</v>
      </c>
      <c r="I2470" s="58">
        <v>0</v>
      </c>
      <c r="J2470" s="58">
        <v>345</v>
      </c>
      <c r="K2470" s="57">
        <v>6</v>
      </c>
      <c r="L2470" s="58">
        <v>0</v>
      </c>
      <c r="M2470" s="58">
        <v>6</v>
      </c>
      <c r="N2470" s="58">
        <v>391</v>
      </c>
      <c r="O2470" s="58">
        <v>0</v>
      </c>
      <c r="P2470" s="58">
        <v>967</v>
      </c>
      <c r="Q2470" s="58">
        <v>108</v>
      </c>
    </row>
    <row r="2471" spans="1:17" ht="12.75" x14ac:dyDescent="0.2">
      <c r="A2471" s="81" t="s">
        <v>734</v>
      </c>
      <c r="B2471" s="81" t="s">
        <v>679</v>
      </c>
      <c r="C2471" s="81" t="s">
        <v>531</v>
      </c>
      <c r="D2471" s="82">
        <v>2018</v>
      </c>
      <c r="E2471" s="81" t="s">
        <v>650</v>
      </c>
      <c r="F2471" s="58">
        <v>131</v>
      </c>
      <c r="G2471" s="57">
        <v>0</v>
      </c>
      <c r="H2471" s="58">
        <v>0</v>
      </c>
      <c r="I2471" s="58">
        <v>0</v>
      </c>
      <c r="J2471" s="58">
        <v>84</v>
      </c>
      <c r="K2471" s="57">
        <v>0</v>
      </c>
      <c r="L2471" s="58">
        <v>0</v>
      </c>
      <c r="M2471" s="58">
        <v>0</v>
      </c>
      <c r="N2471" s="58">
        <v>89</v>
      </c>
      <c r="O2471" s="58">
        <v>0</v>
      </c>
      <c r="P2471" s="58">
        <v>221</v>
      </c>
      <c r="Q2471" s="58">
        <v>8</v>
      </c>
    </row>
    <row r="2472" spans="1:17" ht="12.75" x14ac:dyDescent="0.2">
      <c r="A2472" s="85" t="s">
        <v>494</v>
      </c>
      <c r="B2472" s="85" t="s">
        <v>691</v>
      </c>
      <c r="C2472" s="85" t="s">
        <v>685</v>
      </c>
      <c r="D2472" s="56">
        <v>2013</v>
      </c>
      <c r="E2472" s="85" t="s">
        <v>650</v>
      </c>
      <c r="F2472" s="57">
        <v>104</v>
      </c>
      <c r="G2472" s="57">
        <v>0</v>
      </c>
      <c r="H2472" s="58">
        <v>0</v>
      </c>
      <c r="I2472" s="57">
        <v>0</v>
      </c>
      <c r="J2472" s="57">
        <v>72</v>
      </c>
      <c r="K2472" s="57">
        <v>0</v>
      </c>
      <c r="L2472" s="57">
        <v>0</v>
      </c>
      <c r="M2472" s="57">
        <v>0</v>
      </c>
      <c r="N2472" s="57">
        <v>83</v>
      </c>
      <c r="O2472" s="57">
        <v>0</v>
      </c>
      <c r="P2472" s="57">
        <v>190</v>
      </c>
      <c r="Q2472" s="58">
        <v>0</v>
      </c>
    </row>
    <row r="2473" spans="1:17" ht="12.75" x14ac:dyDescent="0.2">
      <c r="A2473" s="85" t="s">
        <v>494</v>
      </c>
      <c r="B2473" s="85" t="s">
        <v>691</v>
      </c>
      <c r="C2473" s="85" t="s">
        <v>685</v>
      </c>
      <c r="D2473" s="56">
        <v>2014</v>
      </c>
      <c r="E2473" s="85" t="s">
        <v>650</v>
      </c>
      <c r="F2473" s="57">
        <v>104</v>
      </c>
      <c r="G2473" s="57">
        <v>0</v>
      </c>
      <c r="H2473" s="58">
        <v>0</v>
      </c>
      <c r="I2473" s="57">
        <v>0</v>
      </c>
      <c r="J2473" s="57">
        <v>72</v>
      </c>
      <c r="K2473" s="57">
        <v>0</v>
      </c>
      <c r="L2473" s="57">
        <v>0</v>
      </c>
      <c r="M2473" s="57">
        <v>0</v>
      </c>
      <c r="N2473" s="57">
        <v>83</v>
      </c>
      <c r="O2473" s="57">
        <v>1</v>
      </c>
      <c r="P2473" s="57">
        <v>190</v>
      </c>
      <c r="Q2473" s="58">
        <v>0</v>
      </c>
    </row>
    <row r="2474" spans="1:17" ht="12.75" x14ac:dyDescent="0.2">
      <c r="A2474" s="85" t="s">
        <v>494</v>
      </c>
      <c r="B2474" s="85" t="s">
        <v>691</v>
      </c>
      <c r="C2474" s="85" t="s">
        <v>685</v>
      </c>
      <c r="D2474" s="56">
        <v>2015</v>
      </c>
      <c r="E2474" s="85" t="s">
        <v>650</v>
      </c>
      <c r="F2474" s="57">
        <v>104</v>
      </c>
      <c r="G2474" s="57">
        <v>46</v>
      </c>
      <c r="H2474" s="58">
        <v>46</v>
      </c>
      <c r="I2474" s="57">
        <v>0</v>
      </c>
      <c r="J2474" s="57">
        <v>72</v>
      </c>
      <c r="K2474" s="57">
        <v>37</v>
      </c>
      <c r="L2474" s="57">
        <v>37</v>
      </c>
      <c r="M2474" s="57">
        <v>0</v>
      </c>
      <c r="N2474" s="57">
        <v>83</v>
      </c>
      <c r="O2474" s="57">
        <v>2</v>
      </c>
      <c r="P2474" s="57">
        <v>190</v>
      </c>
      <c r="Q2474" s="58">
        <v>2</v>
      </c>
    </row>
    <row r="2475" spans="1:17" ht="12.75" x14ac:dyDescent="0.2">
      <c r="A2475" s="85" t="s">
        <v>494</v>
      </c>
      <c r="B2475" s="85" t="s">
        <v>691</v>
      </c>
      <c r="C2475" s="85" t="s">
        <v>685</v>
      </c>
      <c r="D2475" s="56">
        <v>2016</v>
      </c>
      <c r="E2475" s="85" t="s">
        <v>650</v>
      </c>
      <c r="F2475" s="57">
        <v>104</v>
      </c>
      <c r="G2475" s="57">
        <v>0</v>
      </c>
      <c r="H2475" s="58">
        <v>0</v>
      </c>
      <c r="I2475" s="57">
        <v>0</v>
      </c>
      <c r="J2475" s="57">
        <v>72</v>
      </c>
      <c r="K2475" s="57">
        <v>0</v>
      </c>
      <c r="L2475" s="57">
        <v>0</v>
      </c>
      <c r="M2475" s="57">
        <v>0</v>
      </c>
      <c r="N2475" s="57">
        <v>83</v>
      </c>
      <c r="O2475" s="57">
        <v>0</v>
      </c>
      <c r="P2475" s="57">
        <v>190</v>
      </c>
      <c r="Q2475" s="58">
        <v>2</v>
      </c>
    </row>
    <row r="2476" spans="1:17" ht="12.75" x14ac:dyDescent="0.2">
      <c r="A2476" s="85" t="s">
        <v>494</v>
      </c>
      <c r="B2476" s="85" t="s">
        <v>691</v>
      </c>
      <c r="C2476" s="85" t="s">
        <v>685</v>
      </c>
      <c r="D2476" s="56">
        <v>2017</v>
      </c>
      <c r="E2476" s="85" t="s">
        <v>650</v>
      </c>
      <c r="F2476" s="57">
        <v>104</v>
      </c>
      <c r="G2476" s="57">
        <v>0</v>
      </c>
      <c r="H2476" s="58">
        <v>0</v>
      </c>
      <c r="I2476" s="57">
        <v>0</v>
      </c>
      <c r="J2476" s="57">
        <v>72</v>
      </c>
      <c r="K2476" s="57">
        <v>0</v>
      </c>
      <c r="L2476" s="57">
        <v>0</v>
      </c>
      <c r="M2476" s="57">
        <v>0</v>
      </c>
      <c r="N2476" s="57">
        <v>83</v>
      </c>
      <c r="O2476" s="57">
        <v>0</v>
      </c>
      <c r="P2476" s="57">
        <v>190</v>
      </c>
      <c r="Q2476" s="58">
        <v>1</v>
      </c>
    </row>
    <row r="2477" spans="1:17" ht="12.75" x14ac:dyDescent="0.2">
      <c r="A2477" s="81" t="s">
        <v>704</v>
      </c>
      <c r="B2477" s="81" t="s">
        <v>691</v>
      </c>
      <c r="C2477" s="81" t="s">
        <v>685</v>
      </c>
      <c r="D2477" s="82">
        <v>2013</v>
      </c>
      <c r="E2477" s="81" t="s">
        <v>650</v>
      </c>
      <c r="F2477" s="58">
        <v>85</v>
      </c>
      <c r="G2477" s="57">
        <v>0</v>
      </c>
      <c r="H2477" s="58">
        <v>0</v>
      </c>
      <c r="I2477" s="58">
        <v>0</v>
      </c>
      <c r="J2477" s="57">
        <v>60</v>
      </c>
      <c r="K2477" s="57">
        <v>0</v>
      </c>
      <c r="L2477" s="58">
        <v>0</v>
      </c>
      <c r="M2477" s="58">
        <v>0</v>
      </c>
      <c r="N2477" s="58">
        <v>62</v>
      </c>
      <c r="O2477" s="58">
        <v>4</v>
      </c>
      <c r="P2477" s="58">
        <v>128</v>
      </c>
      <c r="Q2477" s="58">
        <v>8</v>
      </c>
    </row>
    <row r="2478" spans="1:17" ht="12.75" x14ac:dyDescent="0.2">
      <c r="A2478" s="81" t="s">
        <v>704</v>
      </c>
      <c r="B2478" s="81" t="s">
        <v>691</v>
      </c>
      <c r="C2478" s="81" t="s">
        <v>685</v>
      </c>
      <c r="D2478" s="82">
        <v>2014</v>
      </c>
      <c r="E2478" s="81" t="s">
        <v>650</v>
      </c>
      <c r="F2478" s="58">
        <v>85</v>
      </c>
      <c r="G2478" s="57">
        <v>0</v>
      </c>
      <c r="H2478" s="58">
        <v>0</v>
      </c>
      <c r="I2478" s="58">
        <v>0</v>
      </c>
      <c r="J2478" s="57">
        <v>60</v>
      </c>
      <c r="K2478" s="57">
        <v>0</v>
      </c>
      <c r="L2478" s="58">
        <v>0</v>
      </c>
      <c r="M2478" s="58">
        <v>0</v>
      </c>
      <c r="N2478" s="58">
        <v>62</v>
      </c>
      <c r="O2478" s="58">
        <v>1</v>
      </c>
      <c r="P2478" s="58">
        <v>128</v>
      </c>
      <c r="Q2478" s="58">
        <v>19</v>
      </c>
    </row>
    <row r="2479" spans="1:17" ht="12.75" x14ac:dyDescent="0.2">
      <c r="A2479" s="81" t="s">
        <v>704</v>
      </c>
      <c r="B2479" s="81" t="s">
        <v>691</v>
      </c>
      <c r="C2479" s="81" t="s">
        <v>685</v>
      </c>
      <c r="D2479" s="82">
        <v>2015</v>
      </c>
      <c r="E2479" s="81" t="s">
        <v>650</v>
      </c>
      <c r="F2479" s="58">
        <v>85</v>
      </c>
      <c r="G2479" s="57">
        <v>0</v>
      </c>
      <c r="H2479" s="58">
        <v>0</v>
      </c>
      <c r="I2479" s="58">
        <v>0</v>
      </c>
      <c r="J2479" s="57">
        <v>60</v>
      </c>
      <c r="K2479" s="57">
        <v>0</v>
      </c>
      <c r="L2479" s="58">
        <v>0</v>
      </c>
      <c r="M2479" s="58">
        <v>0</v>
      </c>
      <c r="N2479" s="58">
        <v>62</v>
      </c>
      <c r="O2479" s="58">
        <v>7</v>
      </c>
      <c r="P2479" s="58">
        <v>128</v>
      </c>
      <c r="Q2479" s="58">
        <v>19</v>
      </c>
    </row>
    <row r="2480" spans="1:17" ht="12.75" x14ac:dyDescent="0.2">
      <c r="A2480" s="81" t="s">
        <v>704</v>
      </c>
      <c r="B2480" s="81" t="s">
        <v>691</v>
      </c>
      <c r="C2480" s="81" t="s">
        <v>685</v>
      </c>
      <c r="D2480" s="82">
        <v>2016</v>
      </c>
      <c r="E2480" s="81" t="s">
        <v>650</v>
      </c>
      <c r="F2480" s="58">
        <v>85</v>
      </c>
      <c r="G2480" s="57">
        <v>0</v>
      </c>
      <c r="H2480" s="58">
        <v>0</v>
      </c>
      <c r="I2480" s="58">
        <v>0</v>
      </c>
      <c r="J2480" s="57">
        <v>60</v>
      </c>
      <c r="K2480" s="57">
        <v>0</v>
      </c>
      <c r="L2480" s="58">
        <v>0</v>
      </c>
      <c r="M2480" s="58">
        <v>0</v>
      </c>
      <c r="N2480" s="58">
        <v>62</v>
      </c>
      <c r="O2480" s="58">
        <v>2</v>
      </c>
      <c r="P2480" s="58">
        <v>128</v>
      </c>
      <c r="Q2480" s="58">
        <v>8</v>
      </c>
    </row>
    <row r="2481" spans="1:17" ht="12.75" x14ac:dyDescent="0.2">
      <c r="A2481" s="81" t="s">
        <v>704</v>
      </c>
      <c r="B2481" s="81" t="s">
        <v>691</v>
      </c>
      <c r="C2481" s="81" t="s">
        <v>685</v>
      </c>
      <c r="D2481" s="82">
        <v>2017</v>
      </c>
      <c r="E2481" s="81" t="s">
        <v>650</v>
      </c>
      <c r="F2481" s="58">
        <v>85</v>
      </c>
      <c r="G2481" s="57">
        <v>0</v>
      </c>
      <c r="H2481" s="58">
        <v>0</v>
      </c>
      <c r="I2481" s="58">
        <v>0</v>
      </c>
      <c r="J2481" s="57">
        <v>60</v>
      </c>
      <c r="K2481" s="57">
        <v>0</v>
      </c>
      <c r="L2481" s="58">
        <v>0</v>
      </c>
      <c r="M2481" s="58">
        <v>0</v>
      </c>
      <c r="N2481" s="58">
        <v>62</v>
      </c>
      <c r="O2481" s="58">
        <v>3</v>
      </c>
      <c r="P2481" s="58">
        <v>128</v>
      </c>
      <c r="Q2481" s="58">
        <v>13</v>
      </c>
    </row>
    <row r="2482" spans="1:17" ht="12.75" x14ac:dyDescent="0.2">
      <c r="A2482" s="81" t="s">
        <v>753</v>
      </c>
      <c r="B2482" s="81" t="s">
        <v>691</v>
      </c>
      <c r="C2482" s="81" t="s">
        <v>685</v>
      </c>
      <c r="D2482" s="82">
        <v>2013</v>
      </c>
      <c r="E2482" s="81" t="s">
        <v>650</v>
      </c>
      <c r="F2482" s="58">
        <v>624</v>
      </c>
      <c r="G2482" s="57">
        <v>0</v>
      </c>
      <c r="H2482" s="58">
        <v>0</v>
      </c>
      <c r="I2482" s="58">
        <v>0</v>
      </c>
      <c r="J2482" s="58">
        <v>437</v>
      </c>
      <c r="K2482" s="57">
        <v>0</v>
      </c>
      <c r="L2482" s="58">
        <v>0</v>
      </c>
      <c r="M2482" s="58">
        <v>0</v>
      </c>
      <c r="N2482" s="58">
        <v>498</v>
      </c>
      <c r="O2482" s="58">
        <v>0</v>
      </c>
      <c r="P2482" s="58">
        <v>1120</v>
      </c>
      <c r="Q2482" s="58">
        <v>50</v>
      </c>
    </row>
    <row r="2483" spans="1:17" ht="12.75" x14ac:dyDescent="0.2">
      <c r="A2483" s="81" t="s">
        <v>753</v>
      </c>
      <c r="B2483" s="81" t="s">
        <v>691</v>
      </c>
      <c r="C2483" s="81" t="s">
        <v>685</v>
      </c>
      <c r="D2483" s="82">
        <v>2014</v>
      </c>
      <c r="E2483" s="81" t="s">
        <v>650</v>
      </c>
      <c r="F2483" s="58">
        <v>624</v>
      </c>
      <c r="G2483" s="57">
        <v>0</v>
      </c>
      <c r="H2483" s="58">
        <v>0</v>
      </c>
      <c r="I2483" s="58">
        <v>0</v>
      </c>
      <c r="J2483" s="58">
        <v>437</v>
      </c>
      <c r="K2483" s="57">
        <v>0</v>
      </c>
      <c r="L2483" s="58">
        <v>0</v>
      </c>
      <c r="M2483" s="58">
        <v>0</v>
      </c>
      <c r="N2483" s="58">
        <v>498</v>
      </c>
      <c r="O2483" s="58">
        <v>5</v>
      </c>
      <c r="P2483" s="58">
        <v>1120</v>
      </c>
      <c r="Q2483" s="58">
        <v>50</v>
      </c>
    </row>
    <row r="2484" spans="1:17" ht="12.75" x14ac:dyDescent="0.2">
      <c r="A2484" s="81" t="s">
        <v>753</v>
      </c>
      <c r="B2484" s="81" t="s">
        <v>691</v>
      </c>
      <c r="C2484" s="81" t="s">
        <v>685</v>
      </c>
      <c r="D2484" s="82">
        <v>2015</v>
      </c>
      <c r="E2484" s="81" t="s">
        <v>650</v>
      </c>
      <c r="F2484" s="58">
        <v>624</v>
      </c>
      <c r="G2484" s="57">
        <v>0</v>
      </c>
      <c r="H2484" s="58">
        <v>0</v>
      </c>
      <c r="I2484" s="58">
        <v>0</v>
      </c>
      <c r="J2484" s="58">
        <v>437</v>
      </c>
      <c r="K2484" s="57">
        <v>2</v>
      </c>
      <c r="L2484" s="58">
        <v>2</v>
      </c>
      <c r="M2484" s="58">
        <v>0</v>
      </c>
      <c r="N2484" s="58">
        <v>498</v>
      </c>
      <c r="O2484" s="58">
        <v>45</v>
      </c>
      <c r="P2484" s="58">
        <v>1120</v>
      </c>
      <c r="Q2484" s="58">
        <v>0</v>
      </c>
    </row>
    <row r="2485" spans="1:17" ht="12.75" x14ac:dyDescent="0.2">
      <c r="A2485" s="81" t="s">
        <v>753</v>
      </c>
      <c r="B2485" s="81" t="s">
        <v>691</v>
      </c>
      <c r="C2485" s="81" t="s">
        <v>685</v>
      </c>
      <c r="D2485" s="82">
        <v>2016</v>
      </c>
      <c r="E2485" s="81" t="s">
        <v>650</v>
      </c>
      <c r="F2485" s="58">
        <v>624</v>
      </c>
      <c r="G2485" s="57">
        <v>1</v>
      </c>
      <c r="H2485" s="58">
        <v>1</v>
      </c>
      <c r="I2485" s="58">
        <v>0</v>
      </c>
      <c r="J2485" s="58">
        <v>437</v>
      </c>
      <c r="K2485" s="57">
        <v>5</v>
      </c>
      <c r="L2485" s="58">
        <v>5</v>
      </c>
      <c r="M2485" s="58">
        <v>0</v>
      </c>
      <c r="N2485" s="58">
        <v>498</v>
      </c>
      <c r="O2485" s="58">
        <v>47</v>
      </c>
      <c r="P2485" s="58">
        <v>1120</v>
      </c>
      <c r="Q2485" s="58">
        <v>0</v>
      </c>
    </row>
    <row r="2486" spans="1:17" ht="12.75" x14ac:dyDescent="0.2">
      <c r="A2486" s="81" t="s">
        <v>753</v>
      </c>
      <c r="B2486" s="81" t="s">
        <v>691</v>
      </c>
      <c r="C2486" s="81" t="s">
        <v>685</v>
      </c>
      <c r="D2486" s="82">
        <v>2017</v>
      </c>
      <c r="E2486" s="81" t="s">
        <v>650</v>
      </c>
      <c r="F2486" s="58">
        <v>624</v>
      </c>
      <c r="G2486" s="57">
        <v>2</v>
      </c>
      <c r="H2486" s="58">
        <v>2</v>
      </c>
      <c r="I2486" s="58">
        <v>0</v>
      </c>
      <c r="J2486" s="58">
        <v>437</v>
      </c>
      <c r="K2486" s="57">
        <v>4</v>
      </c>
      <c r="L2486" s="58">
        <v>4</v>
      </c>
      <c r="M2486" s="58">
        <v>0</v>
      </c>
      <c r="N2486" s="58">
        <v>498</v>
      </c>
      <c r="O2486" s="58">
        <v>38</v>
      </c>
      <c r="P2486" s="58">
        <v>1120</v>
      </c>
      <c r="Q2486" s="58">
        <v>0</v>
      </c>
    </row>
    <row r="2487" spans="1:17" ht="12.75" x14ac:dyDescent="0.2">
      <c r="A2487" s="81" t="s">
        <v>494</v>
      </c>
      <c r="B2487" s="81" t="s">
        <v>691</v>
      </c>
      <c r="C2487" s="81" t="s">
        <v>685</v>
      </c>
      <c r="D2487" s="82">
        <v>2018</v>
      </c>
      <c r="E2487" s="81" t="s">
        <v>650</v>
      </c>
      <c r="F2487" s="58">
        <v>104</v>
      </c>
      <c r="G2487" s="57">
        <v>0</v>
      </c>
      <c r="H2487" s="58">
        <v>0</v>
      </c>
      <c r="I2487" s="58">
        <v>0</v>
      </c>
      <c r="J2487" s="58">
        <v>72</v>
      </c>
      <c r="K2487" s="57">
        <v>0</v>
      </c>
      <c r="L2487" s="58">
        <v>0</v>
      </c>
      <c r="M2487" s="58">
        <v>0</v>
      </c>
      <c r="N2487" s="58">
        <v>83</v>
      </c>
      <c r="O2487" s="58">
        <v>0</v>
      </c>
      <c r="P2487" s="58">
        <v>190</v>
      </c>
      <c r="Q2487" s="58">
        <v>52</v>
      </c>
    </row>
    <row r="2488" spans="1:17" ht="12.75" x14ac:dyDescent="0.2">
      <c r="A2488" s="81" t="s">
        <v>704</v>
      </c>
      <c r="B2488" s="81" t="s">
        <v>691</v>
      </c>
      <c r="C2488" s="81" t="s">
        <v>685</v>
      </c>
      <c r="D2488" s="82">
        <v>2018</v>
      </c>
      <c r="E2488" s="81" t="s">
        <v>650</v>
      </c>
      <c r="F2488" s="58">
        <v>85</v>
      </c>
      <c r="G2488" s="57">
        <v>2</v>
      </c>
      <c r="H2488" s="58">
        <v>0</v>
      </c>
      <c r="I2488" s="58">
        <v>2</v>
      </c>
      <c r="J2488" s="58">
        <v>60</v>
      </c>
      <c r="K2488" s="57">
        <v>1</v>
      </c>
      <c r="L2488" s="58">
        <v>0</v>
      </c>
      <c r="M2488" s="58">
        <v>1</v>
      </c>
      <c r="N2488" s="58">
        <v>62</v>
      </c>
      <c r="O2488" s="58">
        <v>2</v>
      </c>
      <c r="P2488" s="58">
        <v>128</v>
      </c>
      <c r="Q2488" s="58">
        <v>5</v>
      </c>
    </row>
    <row r="2489" spans="1:17" ht="12.75" x14ac:dyDescent="0.2">
      <c r="A2489" s="85" t="s">
        <v>613</v>
      </c>
      <c r="B2489" s="85" t="s">
        <v>701</v>
      </c>
      <c r="C2489" s="85" t="s">
        <v>660</v>
      </c>
      <c r="D2489" s="56">
        <v>2014</v>
      </c>
      <c r="E2489" s="85" t="s">
        <v>650</v>
      </c>
      <c r="F2489" s="57">
        <v>73</v>
      </c>
      <c r="G2489" s="57">
        <v>0</v>
      </c>
      <c r="H2489" s="58">
        <v>0</v>
      </c>
      <c r="I2489" s="57">
        <v>0</v>
      </c>
      <c r="J2489" s="57">
        <v>52</v>
      </c>
      <c r="K2489" s="57">
        <v>26</v>
      </c>
      <c r="L2489" s="57">
        <v>26</v>
      </c>
      <c r="M2489" s="57">
        <v>0</v>
      </c>
      <c r="N2489" s="57">
        <v>61</v>
      </c>
      <c r="O2489" s="57">
        <v>1</v>
      </c>
      <c r="P2489" s="57">
        <v>137</v>
      </c>
      <c r="Q2489" s="58">
        <v>0</v>
      </c>
    </row>
    <row r="2490" spans="1:17" ht="12.75" x14ac:dyDescent="0.2">
      <c r="A2490" s="85" t="s">
        <v>613</v>
      </c>
      <c r="B2490" s="85" t="s">
        <v>701</v>
      </c>
      <c r="C2490" s="85" t="s">
        <v>660</v>
      </c>
      <c r="D2490" s="56">
        <v>2015</v>
      </c>
      <c r="E2490" s="85" t="s">
        <v>650</v>
      </c>
      <c r="F2490" s="57">
        <v>73</v>
      </c>
      <c r="G2490" s="57">
        <v>0</v>
      </c>
      <c r="H2490" s="58">
        <v>0</v>
      </c>
      <c r="I2490" s="57">
        <v>0</v>
      </c>
      <c r="J2490" s="57">
        <v>52</v>
      </c>
      <c r="K2490" s="57">
        <v>0</v>
      </c>
      <c r="L2490" s="57">
        <v>0</v>
      </c>
      <c r="M2490" s="57">
        <v>0</v>
      </c>
      <c r="N2490" s="57">
        <v>61</v>
      </c>
      <c r="O2490" s="57">
        <v>1</v>
      </c>
      <c r="P2490" s="57">
        <v>137</v>
      </c>
      <c r="Q2490" s="58">
        <v>0</v>
      </c>
    </row>
    <row r="2491" spans="1:17" ht="12.75" x14ac:dyDescent="0.2">
      <c r="A2491" s="85" t="s">
        <v>613</v>
      </c>
      <c r="B2491" s="85" t="s">
        <v>701</v>
      </c>
      <c r="C2491" s="85" t="s">
        <v>660</v>
      </c>
      <c r="D2491" s="56">
        <v>2016</v>
      </c>
      <c r="E2491" s="85" t="s">
        <v>650</v>
      </c>
      <c r="F2491" s="57">
        <v>73</v>
      </c>
      <c r="G2491" s="57">
        <v>0</v>
      </c>
      <c r="H2491" s="58">
        <v>0</v>
      </c>
      <c r="I2491" s="57">
        <v>0</v>
      </c>
      <c r="J2491" s="57">
        <v>52</v>
      </c>
      <c r="K2491" s="57">
        <v>0</v>
      </c>
      <c r="L2491" s="57">
        <v>0</v>
      </c>
      <c r="M2491" s="57">
        <v>0</v>
      </c>
      <c r="N2491" s="57">
        <v>61</v>
      </c>
      <c r="O2491" s="57">
        <v>4</v>
      </c>
      <c r="P2491" s="57">
        <v>137</v>
      </c>
      <c r="Q2491" s="58">
        <v>0</v>
      </c>
    </row>
    <row r="2492" spans="1:17" ht="12.75" x14ac:dyDescent="0.2">
      <c r="A2492" s="85" t="s">
        <v>613</v>
      </c>
      <c r="B2492" s="85" t="s">
        <v>701</v>
      </c>
      <c r="C2492" s="85" t="s">
        <v>660</v>
      </c>
      <c r="D2492" s="56">
        <v>2017</v>
      </c>
      <c r="E2492" s="85" t="s">
        <v>650</v>
      </c>
      <c r="F2492" s="57">
        <v>73</v>
      </c>
      <c r="G2492" s="57">
        <v>0</v>
      </c>
      <c r="H2492" s="58">
        <v>0</v>
      </c>
      <c r="I2492" s="57">
        <v>0</v>
      </c>
      <c r="J2492" s="57">
        <v>52</v>
      </c>
      <c r="K2492" s="57">
        <v>18</v>
      </c>
      <c r="L2492" s="57">
        <v>0</v>
      </c>
      <c r="M2492" s="57">
        <v>18</v>
      </c>
      <c r="N2492" s="57">
        <v>61</v>
      </c>
      <c r="O2492" s="57">
        <v>20</v>
      </c>
      <c r="P2492" s="57">
        <v>137</v>
      </c>
      <c r="Q2492" s="58">
        <v>0</v>
      </c>
    </row>
    <row r="2493" spans="1:17" ht="12.75" x14ac:dyDescent="0.2">
      <c r="A2493" s="81" t="s">
        <v>701</v>
      </c>
      <c r="B2493" s="81" t="s">
        <v>701</v>
      </c>
      <c r="C2493" s="81" t="s">
        <v>660</v>
      </c>
      <c r="D2493" s="82">
        <v>2017</v>
      </c>
      <c r="E2493" s="81" t="s">
        <v>650</v>
      </c>
      <c r="F2493" s="58">
        <v>2</v>
      </c>
      <c r="G2493" s="57">
        <v>0</v>
      </c>
      <c r="H2493" s="58">
        <v>0</v>
      </c>
      <c r="I2493" s="58">
        <v>0</v>
      </c>
      <c r="J2493" s="57">
        <v>2</v>
      </c>
      <c r="K2493" s="57">
        <v>0</v>
      </c>
      <c r="L2493" s="58">
        <v>0</v>
      </c>
      <c r="M2493" s="58">
        <v>0</v>
      </c>
      <c r="N2493" s="58">
        <v>2</v>
      </c>
      <c r="O2493" s="58">
        <v>0</v>
      </c>
      <c r="P2493" s="58">
        <v>4</v>
      </c>
      <c r="Q2493" s="58">
        <v>0</v>
      </c>
    </row>
    <row r="2494" spans="1:17" ht="12.75" x14ac:dyDescent="0.2">
      <c r="A2494" s="81" t="s">
        <v>705</v>
      </c>
      <c r="B2494" s="81" t="s">
        <v>701</v>
      </c>
      <c r="C2494" s="81" t="s">
        <v>660</v>
      </c>
      <c r="D2494" s="82">
        <v>2014</v>
      </c>
      <c r="E2494" s="81" t="s">
        <v>650</v>
      </c>
      <c r="F2494" s="58">
        <v>112</v>
      </c>
      <c r="G2494" s="57">
        <v>16</v>
      </c>
      <c r="H2494" s="58">
        <v>0</v>
      </c>
      <c r="I2494" s="58">
        <v>16</v>
      </c>
      <c r="J2494" s="57">
        <v>76</v>
      </c>
      <c r="K2494" s="57">
        <v>7</v>
      </c>
      <c r="L2494" s="58">
        <v>0</v>
      </c>
      <c r="M2494" s="58">
        <v>7</v>
      </c>
      <c r="N2494" s="58">
        <v>89</v>
      </c>
      <c r="O2494" s="58">
        <v>6</v>
      </c>
      <c r="P2494" s="58">
        <v>209</v>
      </c>
      <c r="Q2494" s="58">
        <v>52</v>
      </c>
    </row>
    <row r="2495" spans="1:17" ht="12.75" x14ac:dyDescent="0.2">
      <c r="A2495" s="81" t="s">
        <v>705</v>
      </c>
      <c r="B2495" s="81" t="s">
        <v>701</v>
      </c>
      <c r="C2495" s="81" t="s">
        <v>660</v>
      </c>
      <c r="D2495" s="82">
        <v>2016</v>
      </c>
      <c r="E2495" s="81" t="s">
        <v>650</v>
      </c>
      <c r="F2495" s="58">
        <v>112</v>
      </c>
      <c r="G2495" s="57">
        <v>0</v>
      </c>
      <c r="H2495" s="58">
        <v>0</v>
      </c>
      <c r="I2495" s="58">
        <v>0</v>
      </c>
      <c r="J2495" s="57">
        <v>76</v>
      </c>
      <c r="K2495" s="57">
        <v>23</v>
      </c>
      <c r="L2495" s="58">
        <v>23</v>
      </c>
      <c r="M2495" s="58">
        <v>0</v>
      </c>
      <c r="N2495" s="58">
        <v>89</v>
      </c>
      <c r="O2495" s="58">
        <v>8</v>
      </c>
      <c r="P2495" s="58">
        <v>209</v>
      </c>
      <c r="Q2495" s="58">
        <v>0</v>
      </c>
    </row>
    <row r="2496" spans="1:17" ht="12.75" x14ac:dyDescent="0.2">
      <c r="A2496" s="81" t="s">
        <v>705</v>
      </c>
      <c r="B2496" s="81" t="s">
        <v>701</v>
      </c>
      <c r="C2496" s="81" t="s">
        <v>660</v>
      </c>
      <c r="D2496" s="82">
        <v>2017</v>
      </c>
      <c r="E2496" s="81" t="s">
        <v>650</v>
      </c>
      <c r="F2496" s="58">
        <v>112</v>
      </c>
      <c r="G2496" s="57">
        <v>0</v>
      </c>
      <c r="H2496" s="58">
        <v>0</v>
      </c>
      <c r="I2496" s="58">
        <v>0</v>
      </c>
      <c r="J2496" s="57">
        <v>76</v>
      </c>
      <c r="K2496" s="57">
        <v>40</v>
      </c>
      <c r="L2496" s="58">
        <v>0</v>
      </c>
      <c r="M2496" s="58">
        <v>40</v>
      </c>
      <c r="N2496" s="58">
        <v>89</v>
      </c>
      <c r="O2496" s="58">
        <v>55</v>
      </c>
      <c r="P2496" s="58">
        <v>209</v>
      </c>
      <c r="Q2496" s="58">
        <v>0</v>
      </c>
    </row>
    <row r="2497" spans="1:17" ht="12.75" x14ac:dyDescent="0.2">
      <c r="A2497" s="81" t="s">
        <v>316</v>
      </c>
      <c r="B2497" s="81" t="s">
        <v>701</v>
      </c>
      <c r="C2497" s="81" t="s">
        <v>660</v>
      </c>
      <c r="D2497" s="82">
        <v>2018</v>
      </c>
      <c r="E2497" s="81" t="s">
        <v>650</v>
      </c>
      <c r="F2497" s="58">
        <v>38</v>
      </c>
      <c r="G2497" s="57">
        <v>0</v>
      </c>
      <c r="H2497" s="58">
        <v>0</v>
      </c>
      <c r="I2497" s="58">
        <v>0</v>
      </c>
      <c r="J2497" s="58">
        <v>30</v>
      </c>
      <c r="K2497" s="57">
        <v>0</v>
      </c>
      <c r="L2497" s="58">
        <v>0</v>
      </c>
      <c r="M2497" s="58">
        <v>0</v>
      </c>
      <c r="N2497" s="58">
        <v>33</v>
      </c>
      <c r="O2497" s="58">
        <v>4</v>
      </c>
      <c r="P2497" s="58">
        <v>75</v>
      </c>
      <c r="Q2497" s="58">
        <v>13</v>
      </c>
    </row>
    <row r="2498" spans="1:17" ht="12.75" x14ac:dyDescent="0.2">
      <c r="A2498" s="81" t="s">
        <v>613</v>
      </c>
      <c r="B2498" s="81" t="s">
        <v>701</v>
      </c>
      <c r="C2498" s="81" t="s">
        <v>660</v>
      </c>
      <c r="D2498" s="82">
        <v>2018</v>
      </c>
      <c r="E2498" s="81" t="s">
        <v>650</v>
      </c>
      <c r="F2498" s="58">
        <v>73</v>
      </c>
      <c r="G2498" s="57">
        <v>0</v>
      </c>
      <c r="H2498" s="58">
        <v>0</v>
      </c>
      <c r="I2498" s="58">
        <v>0</v>
      </c>
      <c r="J2498" s="58">
        <v>52</v>
      </c>
      <c r="K2498" s="57">
        <v>2</v>
      </c>
      <c r="L2498" s="58">
        <v>0</v>
      </c>
      <c r="M2498" s="58">
        <v>2</v>
      </c>
      <c r="N2498" s="58">
        <v>61</v>
      </c>
      <c r="O2498" s="58">
        <v>3</v>
      </c>
      <c r="P2498" s="58">
        <v>137</v>
      </c>
      <c r="Q2498" s="58">
        <v>0</v>
      </c>
    </row>
    <row r="2499" spans="1:17" ht="12.75" x14ac:dyDescent="0.2">
      <c r="A2499" s="81" t="s">
        <v>701</v>
      </c>
      <c r="B2499" s="81" t="s">
        <v>701</v>
      </c>
      <c r="C2499" s="81" t="s">
        <v>660</v>
      </c>
      <c r="D2499" s="82">
        <v>2018</v>
      </c>
      <c r="E2499" s="81" t="s">
        <v>650</v>
      </c>
      <c r="F2499" s="58">
        <v>2</v>
      </c>
      <c r="G2499" s="85"/>
      <c r="H2499" s="86"/>
      <c r="I2499" s="86"/>
      <c r="J2499" s="58">
        <v>2</v>
      </c>
      <c r="K2499" s="85"/>
      <c r="L2499" s="86"/>
      <c r="M2499" s="86"/>
      <c r="N2499" s="58">
        <v>2</v>
      </c>
      <c r="O2499" s="86"/>
      <c r="P2499" s="58">
        <v>4</v>
      </c>
      <c r="Q2499" s="86"/>
    </row>
    <row r="2500" spans="1:17" ht="12.75" x14ac:dyDescent="0.2">
      <c r="A2500" s="81" t="s">
        <v>705</v>
      </c>
      <c r="B2500" s="81" t="s">
        <v>701</v>
      </c>
      <c r="C2500" s="81" t="s">
        <v>660</v>
      </c>
      <c r="D2500" s="82">
        <v>2018</v>
      </c>
      <c r="E2500" s="81" t="s">
        <v>650</v>
      </c>
      <c r="F2500" s="58">
        <v>112</v>
      </c>
      <c r="G2500" s="85"/>
      <c r="H2500" s="86"/>
      <c r="I2500" s="86"/>
      <c r="J2500" s="58">
        <v>76</v>
      </c>
      <c r="K2500" s="85"/>
      <c r="L2500" s="86"/>
      <c r="M2500" s="86"/>
      <c r="N2500" s="58">
        <v>89</v>
      </c>
      <c r="O2500" s="86"/>
      <c r="P2500" s="58">
        <v>209</v>
      </c>
      <c r="Q2500" s="86"/>
    </row>
    <row r="2501" spans="1:17" ht="12.75" x14ac:dyDescent="0.2">
      <c r="A2501" s="85" t="s">
        <v>341</v>
      </c>
      <c r="B2501" s="85" t="s">
        <v>714</v>
      </c>
      <c r="C2501" s="85" t="s">
        <v>531</v>
      </c>
      <c r="D2501" s="56">
        <v>2015</v>
      </c>
      <c r="E2501" s="85" t="s">
        <v>650</v>
      </c>
      <c r="F2501" s="57">
        <v>211</v>
      </c>
      <c r="G2501" s="57">
        <v>0</v>
      </c>
      <c r="H2501" s="58">
        <v>0</v>
      </c>
      <c r="I2501" s="57">
        <v>0</v>
      </c>
      <c r="J2501" s="57">
        <v>163</v>
      </c>
      <c r="K2501" s="57">
        <v>64</v>
      </c>
      <c r="L2501" s="57">
        <v>0</v>
      </c>
      <c r="M2501" s="57">
        <v>64</v>
      </c>
      <c r="N2501" s="57">
        <v>121</v>
      </c>
      <c r="O2501" s="57">
        <v>50</v>
      </c>
      <c r="P2501" s="57">
        <v>470</v>
      </c>
      <c r="Q2501" s="58">
        <v>0</v>
      </c>
    </row>
    <row r="2502" spans="1:17" ht="12.75" x14ac:dyDescent="0.2">
      <c r="A2502" s="85" t="s">
        <v>341</v>
      </c>
      <c r="B2502" s="85" t="s">
        <v>714</v>
      </c>
      <c r="C2502" s="85" t="s">
        <v>531</v>
      </c>
      <c r="D2502" s="56">
        <v>2016</v>
      </c>
      <c r="E2502" s="85" t="s">
        <v>650</v>
      </c>
      <c r="F2502" s="57">
        <v>211</v>
      </c>
      <c r="G2502" s="57">
        <v>0</v>
      </c>
      <c r="H2502" s="58">
        <v>0</v>
      </c>
      <c r="I2502" s="57">
        <v>0</v>
      </c>
      <c r="J2502" s="57">
        <v>163</v>
      </c>
      <c r="K2502" s="57">
        <v>9</v>
      </c>
      <c r="L2502" s="57">
        <v>0</v>
      </c>
      <c r="M2502" s="57">
        <v>9</v>
      </c>
      <c r="N2502" s="57">
        <v>121</v>
      </c>
      <c r="O2502" s="57">
        <v>12</v>
      </c>
      <c r="P2502" s="57">
        <v>470</v>
      </c>
      <c r="Q2502" s="58">
        <v>0</v>
      </c>
    </row>
    <row r="2503" spans="1:17" ht="12.75" x14ac:dyDescent="0.2">
      <c r="A2503" s="85" t="s">
        <v>341</v>
      </c>
      <c r="B2503" s="85" t="s">
        <v>714</v>
      </c>
      <c r="C2503" s="85" t="s">
        <v>531</v>
      </c>
      <c r="D2503" s="56">
        <v>2017</v>
      </c>
      <c r="E2503" s="85" t="s">
        <v>650</v>
      </c>
      <c r="F2503" s="57">
        <v>211</v>
      </c>
      <c r="G2503" s="57">
        <v>43</v>
      </c>
      <c r="H2503" s="58">
        <v>43</v>
      </c>
      <c r="I2503" s="57">
        <v>0</v>
      </c>
      <c r="J2503" s="57">
        <v>163</v>
      </c>
      <c r="K2503" s="57">
        <v>19</v>
      </c>
      <c r="L2503" s="57">
        <v>0</v>
      </c>
      <c r="M2503" s="57">
        <v>19</v>
      </c>
      <c r="N2503" s="57">
        <v>121</v>
      </c>
      <c r="O2503" s="57">
        <v>46</v>
      </c>
      <c r="P2503" s="57">
        <v>470</v>
      </c>
      <c r="Q2503" s="58">
        <v>11</v>
      </c>
    </row>
    <row r="2504" spans="1:17" ht="12.75" x14ac:dyDescent="0.2">
      <c r="A2504" s="85" t="s">
        <v>372</v>
      </c>
      <c r="B2504" s="85" t="s">
        <v>714</v>
      </c>
      <c r="C2504" s="85" t="s">
        <v>531</v>
      </c>
      <c r="D2504" s="56">
        <v>2017</v>
      </c>
      <c r="E2504" s="85" t="s">
        <v>650</v>
      </c>
      <c r="F2504" s="57">
        <v>143</v>
      </c>
      <c r="G2504" s="57">
        <v>0</v>
      </c>
      <c r="H2504" s="58">
        <v>0</v>
      </c>
      <c r="I2504" s="57">
        <v>0</v>
      </c>
      <c r="J2504" s="57">
        <v>125</v>
      </c>
      <c r="K2504" s="57">
        <v>2</v>
      </c>
      <c r="L2504" s="57">
        <v>0</v>
      </c>
      <c r="M2504" s="57">
        <v>2</v>
      </c>
      <c r="N2504" s="57">
        <v>85</v>
      </c>
      <c r="O2504" s="57">
        <v>2</v>
      </c>
      <c r="P2504" s="57">
        <v>272</v>
      </c>
      <c r="Q2504" s="58">
        <v>6</v>
      </c>
    </row>
    <row r="2505" spans="1:17" ht="12.75" x14ac:dyDescent="0.2">
      <c r="A2505" s="85" t="s">
        <v>377</v>
      </c>
      <c r="B2505" s="85" t="s">
        <v>714</v>
      </c>
      <c r="C2505" s="85" t="s">
        <v>531</v>
      </c>
      <c r="D2505" s="56">
        <v>2016</v>
      </c>
      <c r="E2505" s="85" t="s">
        <v>650</v>
      </c>
      <c r="F2505" s="57">
        <v>74</v>
      </c>
      <c r="G2505" s="57">
        <v>0</v>
      </c>
      <c r="H2505" s="58">
        <v>0</v>
      </c>
      <c r="I2505" s="57">
        <v>0</v>
      </c>
      <c r="J2505" s="57">
        <v>65</v>
      </c>
      <c r="K2505" s="57">
        <v>6</v>
      </c>
      <c r="L2505" s="57">
        <v>6</v>
      </c>
      <c r="M2505" s="57">
        <v>0</v>
      </c>
      <c r="N2505" s="57">
        <v>68</v>
      </c>
      <c r="O2505" s="57">
        <v>6</v>
      </c>
      <c r="P2505" s="57">
        <v>259</v>
      </c>
      <c r="Q2505" s="58">
        <v>0</v>
      </c>
    </row>
    <row r="2506" spans="1:17" ht="12.75" x14ac:dyDescent="0.2">
      <c r="A2506" s="85" t="s">
        <v>377</v>
      </c>
      <c r="B2506" s="85" t="s">
        <v>714</v>
      </c>
      <c r="C2506" s="85" t="s">
        <v>531</v>
      </c>
      <c r="D2506" s="56">
        <v>2017</v>
      </c>
      <c r="E2506" s="85" t="s">
        <v>650</v>
      </c>
      <c r="F2506" s="57">
        <v>74</v>
      </c>
      <c r="G2506" s="57">
        <v>6</v>
      </c>
      <c r="H2506" s="58">
        <v>0</v>
      </c>
      <c r="I2506" s="57">
        <v>6</v>
      </c>
      <c r="J2506" s="57">
        <v>65</v>
      </c>
      <c r="K2506" s="57">
        <v>7</v>
      </c>
      <c r="L2506" s="57">
        <v>0</v>
      </c>
      <c r="M2506" s="57">
        <v>7</v>
      </c>
      <c r="N2506" s="57">
        <v>68</v>
      </c>
      <c r="O2506" s="57">
        <v>5</v>
      </c>
      <c r="P2506" s="57">
        <v>259</v>
      </c>
      <c r="Q2506" s="58">
        <v>5</v>
      </c>
    </row>
    <row r="2507" spans="1:17" ht="12.75" x14ac:dyDescent="0.2">
      <c r="A2507" s="85" t="s">
        <v>492</v>
      </c>
      <c r="B2507" s="85" t="s">
        <v>714</v>
      </c>
      <c r="C2507" s="85" t="s">
        <v>531</v>
      </c>
      <c r="D2507" s="56">
        <v>2015</v>
      </c>
      <c r="E2507" s="85" t="s">
        <v>650</v>
      </c>
      <c r="F2507" s="57">
        <v>80</v>
      </c>
      <c r="G2507" s="57">
        <v>4</v>
      </c>
      <c r="H2507" s="58">
        <v>4</v>
      </c>
      <c r="I2507" s="57">
        <v>0</v>
      </c>
      <c r="J2507" s="57">
        <v>80</v>
      </c>
      <c r="K2507" s="57">
        <v>28</v>
      </c>
      <c r="L2507" s="57">
        <v>27</v>
      </c>
      <c r="M2507" s="57">
        <v>1</v>
      </c>
      <c r="N2507" s="57">
        <v>82</v>
      </c>
      <c r="O2507" s="60">
        <v>7</v>
      </c>
      <c r="P2507" s="57">
        <v>348</v>
      </c>
      <c r="Q2507" s="58">
        <v>9</v>
      </c>
    </row>
    <row r="2508" spans="1:17" ht="12.75" x14ac:dyDescent="0.2">
      <c r="A2508" s="85" t="s">
        <v>492</v>
      </c>
      <c r="B2508" s="59" t="s">
        <v>714</v>
      </c>
      <c r="C2508" s="85" t="s">
        <v>531</v>
      </c>
      <c r="D2508" s="96">
        <v>2016</v>
      </c>
      <c r="E2508" s="85" t="s">
        <v>650</v>
      </c>
      <c r="F2508" s="57">
        <v>80</v>
      </c>
      <c r="G2508" s="57">
        <v>3</v>
      </c>
      <c r="H2508" s="58">
        <v>3</v>
      </c>
      <c r="I2508" s="57">
        <v>0</v>
      </c>
      <c r="J2508" s="57">
        <v>80</v>
      </c>
      <c r="K2508" s="57">
        <v>20</v>
      </c>
      <c r="L2508" s="57">
        <v>20</v>
      </c>
      <c r="M2508" s="57">
        <v>0</v>
      </c>
      <c r="N2508" s="57">
        <v>82</v>
      </c>
      <c r="O2508" s="57">
        <v>0</v>
      </c>
      <c r="P2508" s="57">
        <v>348</v>
      </c>
      <c r="Q2508" s="61">
        <v>1</v>
      </c>
    </row>
    <row r="2509" spans="1:17" ht="12.75" x14ac:dyDescent="0.2">
      <c r="A2509" s="85" t="s">
        <v>492</v>
      </c>
      <c r="B2509" s="85" t="s">
        <v>714</v>
      </c>
      <c r="C2509" s="85" t="s">
        <v>531</v>
      </c>
      <c r="D2509" s="56">
        <v>2017</v>
      </c>
      <c r="E2509" s="85" t="s">
        <v>650</v>
      </c>
      <c r="F2509" s="57">
        <v>80</v>
      </c>
      <c r="G2509" s="57">
        <v>33</v>
      </c>
      <c r="H2509" s="58">
        <v>32</v>
      </c>
      <c r="I2509" s="57">
        <v>1</v>
      </c>
      <c r="J2509" s="57">
        <v>80</v>
      </c>
      <c r="K2509" s="57">
        <v>19</v>
      </c>
      <c r="L2509" s="57">
        <v>18</v>
      </c>
      <c r="M2509" s="57">
        <v>1</v>
      </c>
      <c r="N2509" s="57">
        <v>82</v>
      </c>
      <c r="O2509" s="57">
        <v>20</v>
      </c>
      <c r="P2509" s="57">
        <v>348</v>
      </c>
      <c r="Q2509" s="58">
        <v>0</v>
      </c>
    </row>
    <row r="2510" spans="1:17" ht="12.75" x14ac:dyDescent="0.2">
      <c r="A2510" s="85" t="s">
        <v>605</v>
      </c>
      <c r="B2510" s="85" t="s">
        <v>714</v>
      </c>
      <c r="C2510" s="85" t="s">
        <v>531</v>
      </c>
      <c r="D2510" s="56">
        <v>2015</v>
      </c>
      <c r="E2510" s="85" t="s">
        <v>650</v>
      </c>
      <c r="F2510" s="57">
        <v>623</v>
      </c>
      <c r="G2510" s="57">
        <v>0</v>
      </c>
      <c r="H2510" s="58">
        <v>0</v>
      </c>
      <c r="I2510" s="57">
        <v>0</v>
      </c>
      <c r="J2510" s="57">
        <v>576</v>
      </c>
      <c r="K2510" s="57">
        <v>3</v>
      </c>
      <c r="L2510" s="57">
        <v>3</v>
      </c>
      <c r="M2510" s="57">
        <v>0</v>
      </c>
      <c r="N2510" s="57">
        <v>566</v>
      </c>
      <c r="O2510" s="57">
        <v>97</v>
      </c>
      <c r="P2510" s="57">
        <v>1431</v>
      </c>
      <c r="Q2510" s="58">
        <v>8</v>
      </c>
    </row>
    <row r="2511" spans="1:17" ht="12.75" x14ac:dyDescent="0.2">
      <c r="A2511" s="85" t="s">
        <v>605</v>
      </c>
      <c r="B2511" s="85" t="s">
        <v>714</v>
      </c>
      <c r="C2511" s="85" t="s">
        <v>531</v>
      </c>
      <c r="D2511" s="56">
        <v>2016</v>
      </c>
      <c r="E2511" s="85" t="s">
        <v>650</v>
      </c>
      <c r="F2511" s="57">
        <v>623</v>
      </c>
      <c r="G2511" s="57">
        <v>0</v>
      </c>
      <c r="H2511" s="58">
        <v>0</v>
      </c>
      <c r="I2511" s="57">
        <v>0</v>
      </c>
      <c r="J2511" s="57">
        <v>576</v>
      </c>
      <c r="K2511" s="57">
        <v>2</v>
      </c>
      <c r="L2511" s="57">
        <v>2</v>
      </c>
      <c r="M2511" s="57">
        <v>0</v>
      </c>
      <c r="N2511" s="57">
        <v>566</v>
      </c>
      <c r="O2511" s="57">
        <v>40</v>
      </c>
      <c r="P2511" s="57">
        <v>1431</v>
      </c>
      <c r="Q2511" s="58">
        <v>1</v>
      </c>
    </row>
    <row r="2512" spans="1:17" ht="12.75" x14ac:dyDescent="0.2">
      <c r="A2512" s="85" t="s">
        <v>605</v>
      </c>
      <c r="B2512" s="85" t="s">
        <v>714</v>
      </c>
      <c r="C2512" s="85" t="s">
        <v>531</v>
      </c>
      <c r="D2512" s="56">
        <v>2017</v>
      </c>
      <c r="E2512" s="85" t="s">
        <v>650</v>
      </c>
      <c r="F2512" s="57">
        <v>623</v>
      </c>
      <c r="G2512" s="57">
        <v>0</v>
      </c>
      <c r="H2512" s="58">
        <v>0</v>
      </c>
      <c r="I2512" s="57">
        <v>0</v>
      </c>
      <c r="J2512" s="57">
        <v>576</v>
      </c>
      <c r="K2512" s="57">
        <v>2</v>
      </c>
      <c r="L2512" s="57">
        <v>2</v>
      </c>
      <c r="M2512" s="57">
        <v>0</v>
      </c>
      <c r="N2512" s="57">
        <v>566</v>
      </c>
      <c r="O2512" s="60">
        <v>15</v>
      </c>
      <c r="P2512" s="57">
        <v>1431</v>
      </c>
      <c r="Q2512" s="58">
        <v>2</v>
      </c>
    </row>
    <row r="2513" spans="1:17" ht="12.75" x14ac:dyDescent="0.2">
      <c r="A2513" s="81" t="s">
        <v>714</v>
      </c>
      <c r="B2513" s="81" t="s">
        <v>714</v>
      </c>
      <c r="C2513" s="81" t="s">
        <v>531</v>
      </c>
      <c r="D2513" s="82">
        <v>2015</v>
      </c>
      <c r="E2513" s="81" t="s">
        <v>650</v>
      </c>
      <c r="F2513" s="58">
        <v>920</v>
      </c>
      <c r="G2513" s="57">
        <v>0</v>
      </c>
      <c r="H2513" s="58">
        <v>0</v>
      </c>
      <c r="I2513" s="58">
        <v>0</v>
      </c>
      <c r="J2513" s="57">
        <v>609</v>
      </c>
      <c r="K2513" s="57">
        <v>0</v>
      </c>
      <c r="L2513" s="58">
        <v>0</v>
      </c>
      <c r="M2513" s="58">
        <v>0</v>
      </c>
      <c r="N2513" s="58">
        <v>613</v>
      </c>
      <c r="O2513" s="58">
        <v>0</v>
      </c>
      <c r="P2513" s="58">
        <v>1452</v>
      </c>
      <c r="Q2513" s="58">
        <v>485</v>
      </c>
    </row>
    <row r="2514" spans="1:17" ht="12.75" x14ac:dyDescent="0.2">
      <c r="A2514" s="81" t="s">
        <v>714</v>
      </c>
      <c r="B2514" s="81" t="s">
        <v>714</v>
      </c>
      <c r="C2514" s="81" t="s">
        <v>531</v>
      </c>
      <c r="D2514" s="82">
        <v>2016</v>
      </c>
      <c r="E2514" s="81" t="s">
        <v>650</v>
      </c>
      <c r="F2514" s="58">
        <v>920</v>
      </c>
      <c r="G2514" s="57">
        <v>0</v>
      </c>
      <c r="H2514" s="58">
        <v>0</v>
      </c>
      <c r="I2514" s="58">
        <v>0</v>
      </c>
      <c r="J2514" s="57">
        <v>609</v>
      </c>
      <c r="K2514" s="57">
        <v>0</v>
      </c>
      <c r="L2514" s="58">
        <v>0</v>
      </c>
      <c r="M2514" s="58">
        <v>0</v>
      </c>
      <c r="N2514" s="58">
        <v>613</v>
      </c>
      <c r="O2514" s="58">
        <v>0</v>
      </c>
      <c r="P2514" s="58">
        <v>1452</v>
      </c>
      <c r="Q2514" s="58">
        <v>335</v>
      </c>
    </row>
    <row r="2515" spans="1:17" ht="12.75" x14ac:dyDescent="0.2">
      <c r="A2515" s="81" t="s">
        <v>714</v>
      </c>
      <c r="B2515" s="81" t="s">
        <v>714</v>
      </c>
      <c r="C2515" s="81" t="s">
        <v>531</v>
      </c>
      <c r="D2515" s="82">
        <v>2017</v>
      </c>
      <c r="E2515" s="81" t="s">
        <v>650</v>
      </c>
      <c r="F2515" s="58">
        <v>920</v>
      </c>
      <c r="G2515" s="57">
        <v>0</v>
      </c>
      <c r="H2515" s="58">
        <v>0</v>
      </c>
      <c r="I2515" s="58">
        <v>0</v>
      </c>
      <c r="J2515" s="57">
        <v>609</v>
      </c>
      <c r="K2515" s="57">
        <v>7</v>
      </c>
      <c r="L2515" s="58">
        <v>7</v>
      </c>
      <c r="M2515" s="58">
        <v>0</v>
      </c>
      <c r="N2515" s="58">
        <v>613</v>
      </c>
      <c r="O2515" s="58">
        <v>0</v>
      </c>
      <c r="P2515" s="58">
        <v>1452</v>
      </c>
      <c r="Q2515" s="58">
        <v>354</v>
      </c>
    </row>
    <row r="2516" spans="1:17" ht="12.75" x14ac:dyDescent="0.2">
      <c r="A2516" s="81" t="s">
        <v>715</v>
      </c>
      <c r="B2516" s="81" t="s">
        <v>714</v>
      </c>
      <c r="C2516" s="81" t="s">
        <v>531</v>
      </c>
      <c r="D2516" s="82">
        <v>2015</v>
      </c>
      <c r="E2516" s="81" t="s">
        <v>650</v>
      </c>
      <c r="F2516" s="58">
        <v>1477</v>
      </c>
      <c r="G2516" s="57">
        <v>55</v>
      </c>
      <c r="H2516" s="58">
        <v>0</v>
      </c>
      <c r="I2516" s="58">
        <v>55</v>
      </c>
      <c r="J2516" s="57">
        <v>1065</v>
      </c>
      <c r="K2516" s="57">
        <v>63</v>
      </c>
      <c r="L2516" s="58">
        <v>0</v>
      </c>
      <c r="M2516" s="58">
        <v>63</v>
      </c>
      <c r="N2516" s="58">
        <v>1169</v>
      </c>
      <c r="O2516" s="58">
        <v>25</v>
      </c>
      <c r="P2516" s="58">
        <v>3370</v>
      </c>
      <c r="Q2516" s="58">
        <v>23</v>
      </c>
    </row>
    <row r="2517" spans="1:17" ht="12.75" x14ac:dyDescent="0.2">
      <c r="A2517" s="81" t="s">
        <v>715</v>
      </c>
      <c r="B2517" s="81" t="s">
        <v>714</v>
      </c>
      <c r="C2517" s="81" t="s">
        <v>531</v>
      </c>
      <c r="D2517" s="82">
        <v>2016</v>
      </c>
      <c r="E2517" s="81" t="s">
        <v>650</v>
      </c>
      <c r="F2517" s="58">
        <v>1477</v>
      </c>
      <c r="G2517" s="57">
        <v>67</v>
      </c>
      <c r="H2517" s="58">
        <v>0</v>
      </c>
      <c r="I2517" s="58">
        <v>67</v>
      </c>
      <c r="J2517" s="57">
        <v>1065</v>
      </c>
      <c r="K2517" s="57">
        <v>27</v>
      </c>
      <c r="L2517" s="58">
        <v>0</v>
      </c>
      <c r="M2517" s="58">
        <v>27</v>
      </c>
      <c r="N2517" s="58">
        <v>1169</v>
      </c>
      <c r="O2517" s="58">
        <v>57</v>
      </c>
      <c r="P2517" s="58">
        <v>3370</v>
      </c>
      <c r="Q2517" s="58">
        <v>58</v>
      </c>
    </row>
    <row r="2518" spans="1:17" ht="12.75" x14ac:dyDescent="0.2">
      <c r="A2518" s="81" t="s">
        <v>715</v>
      </c>
      <c r="B2518" s="81" t="s">
        <v>714</v>
      </c>
      <c r="C2518" s="81" t="s">
        <v>531</v>
      </c>
      <c r="D2518" s="82">
        <v>2017</v>
      </c>
      <c r="E2518" s="81" t="s">
        <v>650</v>
      </c>
      <c r="F2518" s="58">
        <v>1477</v>
      </c>
      <c r="G2518" s="57">
        <v>33</v>
      </c>
      <c r="H2518" s="58">
        <v>0</v>
      </c>
      <c r="I2518" s="58">
        <v>33</v>
      </c>
      <c r="J2518" s="57">
        <v>1065</v>
      </c>
      <c r="K2518" s="57">
        <v>84</v>
      </c>
      <c r="L2518" s="58">
        <v>0</v>
      </c>
      <c r="M2518" s="58">
        <v>84</v>
      </c>
      <c r="N2518" s="58">
        <v>1169</v>
      </c>
      <c r="O2518" s="58">
        <v>16</v>
      </c>
      <c r="P2518" s="58">
        <v>3370</v>
      </c>
      <c r="Q2518" s="58">
        <v>13</v>
      </c>
    </row>
    <row r="2519" spans="1:17" ht="12.75" x14ac:dyDescent="0.2">
      <c r="A2519" s="81" t="s">
        <v>730</v>
      </c>
      <c r="B2519" s="81" t="s">
        <v>714</v>
      </c>
      <c r="C2519" s="81" t="s">
        <v>531</v>
      </c>
      <c r="D2519" s="82">
        <v>2015</v>
      </c>
      <c r="E2519" s="81" t="s">
        <v>650</v>
      </c>
      <c r="F2519" s="58">
        <v>2616</v>
      </c>
      <c r="G2519" s="57">
        <v>9</v>
      </c>
      <c r="H2519" s="58">
        <v>9</v>
      </c>
      <c r="I2519" s="58">
        <v>0</v>
      </c>
      <c r="J2519" s="57">
        <v>1931</v>
      </c>
      <c r="K2519" s="57">
        <v>106</v>
      </c>
      <c r="L2519" s="58">
        <v>106</v>
      </c>
      <c r="M2519" s="58">
        <v>0</v>
      </c>
      <c r="N2519" s="58">
        <v>1802</v>
      </c>
      <c r="O2519" s="58">
        <v>132</v>
      </c>
      <c r="P2519" s="58">
        <v>3672</v>
      </c>
      <c r="Q2519" s="58">
        <v>367</v>
      </c>
    </row>
    <row r="2520" spans="1:17" ht="12.75" x14ac:dyDescent="0.2">
      <c r="A2520" s="81" t="s">
        <v>730</v>
      </c>
      <c r="B2520" s="81" t="s">
        <v>714</v>
      </c>
      <c r="C2520" s="81" t="s">
        <v>531</v>
      </c>
      <c r="D2520" s="82">
        <v>2016</v>
      </c>
      <c r="E2520" s="81" t="s">
        <v>650</v>
      </c>
      <c r="F2520" s="58">
        <v>2616</v>
      </c>
      <c r="G2520" s="57">
        <v>78</v>
      </c>
      <c r="H2520" s="58">
        <v>36</v>
      </c>
      <c r="I2520" s="58">
        <v>42</v>
      </c>
      <c r="J2520" s="57">
        <v>1931</v>
      </c>
      <c r="K2520" s="57">
        <v>118</v>
      </c>
      <c r="L2520" s="58">
        <v>0</v>
      </c>
      <c r="M2520" s="58">
        <v>118</v>
      </c>
      <c r="N2520" s="58">
        <v>1802</v>
      </c>
      <c r="O2520" s="58">
        <v>279</v>
      </c>
      <c r="P2520" s="58">
        <v>3672</v>
      </c>
      <c r="Q2520" s="58">
        <v>246</v>
      </c>
    </row>
    <row r="2521" spans="1:17" ht="12.75" x14ac:dyDescent="0.2">
      <c r="A2521" s="81" t="s">
        <v>730</v>
      </c>
      <c r="B2521" s="81" t="s">
        <v>714</v>
      </c>
      <c r="C2521" s="81" t="s">
        <v>531</v>
      </c>
      <c r="D2521" s="82">
        <v>2017</v>
      </c>
      <c r="E2521" s="81" t="s">
        <v>650</v>
      </c>
      <c r="F2521" s="58">
        <v>2616</v>
      </c>
      <c r="G2521" s="57">
        <v>2</v>
      </c>
      <c r="H2521" s="58">
        <v>2</v>
      </c>
      <c r="I2521" s="58">
        <v>0</v>
      </c>
      <c r="J2521" s="57">
        <v>1931</v>
      </c>
      <c r="K2521" s="57">
        <v>72</v>
      </c>
      <c r="L2521" s="58">
        <v>72</v>
      </c>
      <c r="M2521" s="58">
        <v>0</v>
      </c>
      <c r="N2521" s="58">
        <v>1802</v>
      </c>
      <c r="O2521" s="58">
        <v>29</v>
      </c>
      <c r="P2521" s="58">
        <v>3672</v>
      </c>
      <c r="Q2521" s="58">
        <v>403</v>
      </c>
    </row>
    <row r="2522" spans="1:17" ht="12.75" x14ac:dyDescent="0.2">
      <c r="A2522" s="81" t="s">
        <v>746</v>
      </c>
      <c r="B2522" s="81" t="s">
        <v>714</v>
      </c>
      <c r="C2522" s="81" t="s">
        <v>531</v>
      </c>
      <c r="D2522" s="82">
        <v>2015</v>
      </c>
      <c r="E2522" s="81" t="s">
        <v>650</v>
      </c>
      <c r="F2522" s="58">
        <v>71</v>
      </c>
      <c r="G2522" s="57">
        <v>0</v>
      </c>
      <c r="H2522" s="58">
        <v>0</v>
      </c>
      <c r="I2522" s="58">
        <v>0</v>
      </c>
      <c r="J2522" s="58">
        <v>41</v>
      </c>
      <c r="K2522" s="57">
        <v>0</v>
      </c>
      <c r="L2522" s="58">
        <v>0</v>
      </c>
      <c r="M2522" s="58">
        <v>0</v>
      </c>
      <c r="N2522" s="58">
        <v>69</v>
      </c>
      <c r="O2522" s="58">
        <v>6</v>
      </c>
      <c r="P2522" s="58">
        <v>191</v>
      </c>
      <c r="Q2522" s="58">
        <v>0</v>
      </c>
    </row>
    <row r="2523" spans="1:17" ht="12.75" x14ac:dyDescent="0.2">
      <c r="A2523" s="81" t="s">
        <v>746</v>
      </c>
      <c r="B2523" s="81" t="s">
        <v>714</v>
      </c>
      <c r="C2523" s="81" t="s">
        <v>531</v>
      </c>
      <c r="D2523" s="82">
        <v>2016</v>
      </c>
      <c r="E2523" s="81" t="s">
        <v>650</v>
      </c>
      <c r="F2523" s="58">
        <v>71</v>
      </c>
      <c r="G2523" s="57">
        <v>3</v>
      </c>
      <c r="H2523" s="58">
        <v>0</v>
      </c>
      <c r="I2523" s="58">
        <v>3</v>
      </c>
      <c r="J2523" s="58">
        <v>41</v>
      </c>
      <c r="K2523" s="57">
        <v>3</v>
      </c>
      <c r="L2523" s="58">
        <v>0</v>
      </c>
      <c r="M2523" s="58">
        <v>3</v>
      </c>
      <c r="N2523" s="58">
        <v>69</v>
      </c>
      <c r="O2523" s="58">
        <v>1</v>
      </c>
      <c r="P2523" s="58">
        <v>191</v>
      </c>
      <c r="Q2523" s="58">
        <v>0</v>
      </c>
    </row>
    <row r="2524" spans="1:17" ht="12.75" x14ac:dyDescent="0.2">
      <c r="A2524" s="81" t="s">
        <v>746</v>
      </c>
      <c r="B2524" s="81" t="s">
        <v>714</v>
      </c>
      <c r="C2524" s="81" t="s">
        <v>531</v>
      </c>
      <c r="D2524" s="82">
        <v>2017</v>
      </c>
      <c r="E2524" s="81" t="s">
        <v>650</v>
      </c>
      <c r="F2524" s="58">
        <v>71</v>
      </c>
      <c r="G2524" s="57">
        <v>2</v>
      </c>
      <c r="H2524" s="58">
        <v>0</v>
      </c>
      <c r="I2524" s="58">
        <v>2</v>
      </c>
      <c r="J2524" s="58">
        <v>41</v>
      </c>
      <c r="K2524" s="57">
        <v>1</v>
      </c>
      <c r="L2524" s="58">
        <v>0</v>
      </c>
      <c r="M2524" s="58">
        <v>1</v>
      </c>
      <c r="N2524" s="58">
        <v>69</v>
      </c>
      <c r="O2524" s="58">
        <v>0</v>
      </c>
      <c r="P2524" s="58">
        <v>191</v>
      </c>
      <c r="Q2524" s="58">
        <v>1</v>
      </c>
    </row>
    <row r="2525" spans="1:17" ht="12.75" x14ac:dyDescent="0.2">
      <c r="A2525" s="81" t="s">
        <v>341</v>
      </c>
      <c r="B2525" s="81" t="s">
        <v>714</v>
      </c>
      <c r="C2525" s="81" t="s">
        <v>531</v>
      </c>
      <c r="D2525" s="82">
        <v>2018</v>
      </c>
      <c r="E2525" s="81" t="s">
        <v>650</v>
      </c>
      <c r="F2525" s="58">
        <v>211</v>
      </c>
      <c r="G2525" s="57">
        <v>0</v>
      </c>
      <c r="H2525" s="58">
        <v>0</v>
      </c>
      <c r="I2525" s="58">
        <v>0</v>
      </c>
      <c r="J2525" s="58">
        <v>163</v>
      </c>
      <c r="K2525" s="57">
        <v>0</v>
      </c>
      <c r="L2525" s="58">
        <v>0</v>
      </c>
      <c r="M2525" s="58">
        <v>0</v>
      </c>
      <c r="N2525" s="58">
        <v>121</v>
      </c>
      <c r="O2525" s="58">
        <v>69</v>
      </c>
      <c r="P2525" s="58">
        <v>470</v>
      </c>
      <c r="Q2525" s="58">
        <v>30</v>
      </c>
    </row>
    <row r="2526" spans="1:17" ht="12.75" x14ac:dyDescent="0.2">
      <c r="A2526" s="81" t="s">
        <v>372</v>
      </c>
      <c r="B2526" s="81" t="s">
        <v>714</v>
      </c>
      <c r="C2526" s="81" t="s">
        <v>531</v>
      </c>
      <c r="D2526" s="82">
        <v>2018</v>
      </c>
      <c r="E2526" s="81" t="s">
        <v>650</v>
      </c>
      <c r="F2526" s="58">
        <v>143</v>
      </c>
      <c r="G2526" s="85"/>
      <c r="H2526" s="86"/>
      <c r="I2526" s="86"/>
      <c r="J2526" s="58">
        <v>125</v>
      </c>
      <c r="K2526" s="85"/>
      <c r="L2526" s="86"/>
      <c r="M2526" s="86"/>
      <c r="N2526" s="58">
        <v>85</v>
      </c>
      <c r="O2526" s="86"/>
      <c r="P2526" s="58">
        <v>272</v>
      </c>
      <c r="Q2526" s="86"/>
    </row>
    <row r="2527" spans="1:17" ht="12.75" x14ac:dyDescent="0.2">
      <c r="A2527" s="81" t="s">
        <v>377</v>
      </c>
      <c r="B2527" s="81" t="s">
        <v>714</v>
      </c>
      <c r="C2527" s="81" t="s">
        <v>531</v>
      </c>
      <c r="D2527" s="82">
        <v>2018</v>
      </c>
      <c r="E2527" s="81" t="s">
        <v>650</v>
      </c>
      <c r="F2527" s="58">
        <v>74</v>
      </c>
      <c r="G2527" s="85"/>
      <c r="H2527" s="86"/>
      <c r="I2527" s="86"/>
      <c r="J2527" s="58">
        <v>65</v>
      </c>
      <c r="K2527" s="85"/>
      <c r="L2527" s="86"/>
      <c r="M2527" s="86"/>
      <c r="N2527" s="58">
        <v>68</v>
      </c>
      <c r="O2527" s="86"/>
      <c r="P2527" s="58">
        <v>259</v>
      </c>
      <c r="Q2527" s="86"/>
    </row>
    <row r="2528" spans="1:17" ht="12.75" x14ac:dyDescent="0.2">
      <c r="A2528" s="81" t="s">
        <v>492</v>
      </c>
      <c r="B2528" s="81" t="s">
        <v>714</v>
      </c>
      <c r="C2528" s="81" t="s">
        <v>531</v>
      </c>
      <c r="D2528" s="82">
        <v>2018</v>
      </c>
      <c r="E2528" s="81" t="s">
        <v>650</v>
      </c>
      <c r="F2528" s="58">
        <v>80</v>
      </c>
      <c r="G2528" s="57">
        <v>0</v>
      </c>
      <c r="H2528" s="58">
        <v>0</v>
      </c>
      <c r="I2528" s="58">
        <v>0</v>
      </c>
      <c r="J2528" s="58">
        <v>80</v>
      </c>
      <c r="K2528" s="57">
        <v>1</v>
      </c>
      <c r="L2528" s="58">
        <v>0</v>
      </c>
      <c r="M2528" s="58">
        <v>1</v>
      </c>
      <c r="N2528" s="58">
        <v>82</v>
      </c>
      <c r="O2528" s="58">
        <v>20</v>
      </c>
      <c r="P2528" s="58">
        <v>348</v>
      </c>
      <c r="Q2528" s="58">
        <v>0</v>
      </c>
    </row>
    <row r="2529" spans="1:17" ht="12.75" x14ac:dyDescent="0.2">
      <c r="A2529" s="81" t="s">
        <v>714</v>
      </c>
      <c r="B2529" s="81" t="s">
        <v>714</v>
      </c>
      <c r="C2529" s="81" t="s">
        <v>531</v>
      </c>
      <c r="D2529" s="82">
        <v>2018</v>
      </c>
      <c r="E2529" s="81" t="s">
        <v>650</v>
      </c>
      <c r="F2529" s="58">
        <v>920</v>
      </c>
      <c r="G2529" s="57">
        <v>43</v>
      </c>
      <c r="H2529" s="58">
        <v>43</v>
      </c>
      <c r="I2529" s="58">
        <v>0</v>
      </c>
      <c r="J2529" s="58">
        <v>609</v>
      </c>
      <c r="K2529" s="57">
        <v>21</v>
      </c>
      <c r="L2529" s="58">
        <v>21</v>
      </c>
      <c r="M2529" s="58">
        <v>0</v>
      </c>
      <c r="N2529" s="58">
        <v>613</v>
      </c>
      <c r="O2529" s="58">
        <v>0</v>
      </c>
      <c r="P2529" s="58">
        <v>1452</v>
      </c>
      <c r="Q2529" s="58">
        <v>533</v>
      </c>
    </row>
    <row r="2530" spans="1:17" ht="12.75" x14ac:dyDescent="0.2">
      <c r="A2530" s="81" t="s">
        <v>715</v>
      </c>
      <c r="B2530" s="81" t="s">
        <v>714</v>
      </c>
      <c r="C2530" s="81" t="s">
        <v>531</v>
      </c>
      <c r="D2530" s="82">
        <v>2018</v>
      </c>
      <c r="E2530" s="81" t="s">
        <v>650</v>
      </c>
      <c r="F2530" s="58">
        <v>1477</v>
      </c>
      <c r="G2530" s="57">
        <v>60</v>
      </c>
      <c r="H2530" s="58">
        <v>0</v>
      </c>
      <c r="I2530" s="58">
        <v>60</v>
      </c>
      <c r="J2530" s="58">
        <v>1065</v>
      </c>
      <c r="K2530" s="57">
        <v>41</v>
      </c>
      <c r="L2530" s="58">
        <v>0</v>
      </c>
      <c r="M2530" s="58">
        <v>41</v>
      </c>
      <c r="N2530" s="58">
        <v>1169</v>
      </c>
      <c r="O2530" s="58">
        <v>21</v>
      </c>
      <c r="P2530" s="58">
        <v>3370</v>
      </c>
      <c r="Q2530" s="58">
        <v>23</v>
      </c>
    </row>
    <row r="2531" spans="1:17" ht="12.75" x14ac:dyDescent="0.2">
      <c r="A2531" s="81" t="s">
        <v>730</v>
      </c>
      <c r="B2531" s="81" t="s">
        <v>714</v>
      </c>
      <c r="C2531" s="81" t="s">
        <v>531</v>
      </c>
      <c r="D2531" s="82">
        <v>2018</v>
      </c>
      <c r="E2531" s="81" t="s">
        <v>650</v>
      </c>
      <c r="F2531" s="58">
        <v>2616</v>
      </c>
      <c r="G2531" s="57">
        <v>0</v>
      </c>
      <c r="H2531" s="58">
        <v>0</v>
      </c>
      <c r="I2531" s="58">
        <v>0</v>
      </c>
      <c r="J2531" s="58">
        <v>1931</v>
      </c>
      <c r="K2531" s="57">
        <v>86</v>
      </c>
      <c r="L2531" s="58">
        <v>0</v>
      </c>
      <c r="M2531" s="58">
        <v>86</v>
      </c>
      <c r="N2531" s="58">
        <v>1802</v>
      </c>
      <c r="O2531" s="58">
        <v>102</v>
      </c>
      <c r="P2531" s="58">
        <v>3672</v>
      </c>
      <c r="Q2531" s="58">
        <v>391</v>
      </c>
    </row>
    <row r="2532" spans="1:17" ht="12.75" x14ac:dyDescent="0.2">
      <c r="A2532" s="81" t="s">
        <v>746</v>
      </c>
      <c r="B2532" s="81" t="s">
        <v>714</v>
      </c>
      <c r="C2532" s="81" t="s">
        <v>531</v>
      </c>
      <c r="D2532" s="82">
        <v>2018</v>
      </c>
      <c r="E2532" s="81" t="s">
        <v>650</v>
      </c>
      <c r="F2532" s="58">
        <v>71</v>
      </c>
      <c r="G2532" s="57">
        <v>0</v>
      </c>
      <c r="H2532" s="58">
        <v>0</v>
      </c>
      <c r="I2532" s="58">
        <v>0</v>
      </c>
      <c r="J2532" s="58">
        <v>41</v>
      </c>
      <c r="K2532" s="57">
        <v>25</v>
      </c>
      <c r="L2532" s="58">
        <v>0</v>
      </c>
      <c r="M2532" s="58">
        <v>25</v>
      </c>
      <c r="N2532" s="58">
        <v>69</v>
      </c>
      <c r="O2532" s="58">
        <v>0</v>
      </c>
      <c r="P2532" s="58">
        <v>191</v>
      </c>
      <c r="Q2532" s="58">
        <v>0</v>
      </c>
    </row>
    <row r="2533" spans="1:17" ht="12.75" x14ac:dyDescent="0.2">
      <c r="A2533" s="85" t="s">
        <v>695</v>
      </c>
      <c r="B2533" s="85" t="s">
        <v>733</v>
      </c>
      <c r="C2533" s="85" t="s">
        <v>660</v>
      </c>
      <c r="D2533" s="56">
        <v>2014</v>
      </c>
      <c r="E2533" s="85" t="s">
        <v>650</v>
      </c>
      <c r="F2533" s="57">
        <v>23</v>
      </c>
      <c r="G2533" s="57">
        <v>0</v>
      </c>
      <c r="H2533" s="58">
        <v>0</v>
      </c>
      <c r="I2533" s="57">
        <v>0</v>
      </c>
      <c r="J2533" s="57">
        <v>16</v>
      </c>
      <c r="K2533" s="57">
        <v>1</v>
      </c>
      <c r="L2533" s="57">
        <v>0</v>
      </c>
      <c r="M2533" s="57">
        <v>1</v>
      </c>
      <c r="N2533" s="57">
        <v>19</v>
      </c>
      <c r="O2533" s="57">
        <v>2</v>
      </c>
      <c r="P2533" s="57">
        <v>42</v>
      </c>
      <c r="Q2533" s="58">
        <v>0</v>
      </c>
    </row>
    <row r="2534" spans="1:17" ht="12.75" x14ac:dyDescent="0.2">
      <c r="A2534" s="85" t="s">
        <v>695</v>
      </c>
      <c r="B2534" s="85" t="s">
        <v>733</v>
      </c>
      <c r="C2534" s="85" t="s">
        <v>660</v>
      </c>
      <c r="D2534" s="56">
        <v>2015</v>
      </c>
      <c r="E2534" s="85" t="s">
        <v>650</v>
      </c>
      <c r="F2534" s="57">
        <v>23</v>
      </c>
      <c r="G2534" s="57">
        <v>0</v>
      </c>
      <c r="H2534" s="58">
        <v>0</v>
      </c>
      <c r="I2534" s="57">
        <v>0</v>
      </c>
      <c r="J2534" s="57">
        <v>16</v>
      </c>
      <c r="K2534" s="57">
        <v>1</v>
      </c>
      <c r="L2534" s="57">
        <v>0</v>
      </c>
      <c r="M2534" s="57">
        <v>1</v>
      </c>
      <c r="N2534" s="57">
        <v>19</v>
      </c>
      <c r="O2534" s="57">
        <v>2</v>
      </c>
      <c r="P2534" s="57">
        <v>42</v>
      </c>
      <c r="Q2534" s="58">
        <v>0</v>
      </c>
    </row>
    <row r="2535" spans="1:17" ht="12.75" x14ac:dyDescent="0.2">
      <c r="A2535" s="85" t="s">
        <v>695</v>
      </c>
      <c r="B2535" s="85" t="s">
        <v>733</v>
      </c>
      <c r="C2535" s="85" t="s">
        <v>660</v>
      </c>
      <c r="D2535" s="56">
        <v>2016</v>
      </c>
      <c r="E2535" s="85" t="s">
        <v>650</v>
      </c>
      <c r="F2535" s="57">
        <v>23</v>
      </c>
      <c r="G2535" s="57">
        <v>0</v>
      </c>
      <c r="H2535" s="58">
        <v>0</v>
      </c>
      <c r="I2535" s="57">
        <v>0</v>
      </c>
      <c r="J2535" s="57">
        <v>16</v>
      </c>
      <c r="K2535" s="57">
        <v>8</v>
      </c>
      <c r="L2535" s="57">
        <v>8</v>
      </c>
      <c r="M2535" s="57">
        <v>0</v>
      </c>
      <c r="N2535" s="57">
        <v>19</v>
      </c>
      <c r="O2535" s="57">
        <v>2</v>
      </c>
      <c r="P2535" s="57">
        <v>42</v>
      </c>
      <c r="Q2535" s="58">
        <v>4</v>
      </c>
    </row>
    <row r="2536" spans="1:17" ht="12.75" x14ac:dyDescent="0.2">
      <c r="A2536" s="85" t="s">
        <v>695</v>
      </c>
      <c r="B2536" s="85" t="s">
        <v>733</v>
      </c>
      <c r="C2536" s="85" t="s">
        <v>660</v>
      </c>
      <c r="D2536" s="56">
        <v>2017</v>
      </c>
      <c r="E2536" s="85" t="s">
        <v>650</v>
      </c>
      <c r="F2536" s="57">
        <v>23</v>
      </c>
      <c r="G2536" s="57">
        <v>0</v>
      </c>
      <c r="H2536" s="58">
        <v>0</v>
      </c>
      <c r="I2536" s="57">
        <v>0</v>
      </c>
      <c r="J2536" s="57">
        <v>16</v>
      </c>
      <c r="K2536" s="57">
        <v>0</v>
      </c>
      <c r="L2536" s="57">
        <v>0</v>
      </c>
      <c r="M2536" s="57">
        <v>0</v>
      </c>
      <c r="N2536" s="57">
        <v>19</v>
      </c>
      <c r="O2536" s="57">
        <v>1</v>
      </c>
      <c r="P2536" s="57">
        <v>42</v>
      </c>
      <c r="Q2536" s="58">
        <v>0</v>
      </c>
    </row>
    <row r="2537" spans="1:17" ht="12.75" x14ac:dyDescent="0.2">
      <c r="A2537" s="81" t="s">
        <v>718</v>
      </c>
      <c r="B2537" s="81" t="s">
        <v>733</v>
      </c>
      <c r="C2537" s="81" t="s">
        <v>660</v>
      </c>
      <c r="D2537" s="82">
        <v>2014</v>
      </c>
      <c r="E2537" s="81" t="s">
        <v>650</v>
      </c>
      <c r="F2537" s="58">
        <v>102</v>
      </c>
      <c r="G2537" s="57">
        <v>0</v>
      </c>
      <c r="H2537" s="58">
        <v>0</v>
      </c>
      <c r="I2537" s="58">
        <v>0</v>
      </c>
      <c r="J2537" s="57">
        <v>74</v>
      </c>
      <c r="K2537" s="57">
        <v>2</v>
      </c>
      <c r="L2537" s="58">
        <v>2</v>
      </c>
      <c r="M2537" s="58">
        <v>0</v>
      </c>
      <c r="N2537" s="58">
        <v>81</v>
      </c>
      <c r="O2537" s="58">
        <v>0</v>
      </c>
      <c r="P2537" s="58">
        <v>193</v>
      </c>
      <c r="Q2537" s="58">
        <v>0</v>
      </c>
    </row>
    <row r="2538" spans="1:17" ht="12.75" x14ac:dyDescent="0.2">
      <c r="A2538" s="81" t="s">
        <v>718</v>
      </c>
      <c r="B2538" s="81" t="s">
        <v>733</v>
      </c>
      <c r="C2538" s="81" t="s">
        <v>660</v>
      </c>
      <c r="D2538" s="82">
        <v>2015</v>
      </c>
      <c r="E2538" s="81" t="s">
        <v>650</v>
      </c>
      <c r="F2538" s="58">
        <v>102</v>
      </c>
      <c r="G2538" s="57">
        <v>0</v>
      </c>
      <c r="H2538" s="58">
        <v>0</v>
      </c>
      <c r="I2538" s="58">
        <v>0</v>
      </c>
      <c r="J2538" s="57">
        <v>74</v>
      </c>
      <c r="K2538" s="57">
        <v>0</v>
      </c>
      <c r="L2538" s="58">
        <v>0</v>
      </c>
      <c r="M2538" s="58">
        <v>0</v>
      </c>
      <c r="N2538" s="58">
        <v>81</v>
      </c>
      <c r="O2538" s="58">
        <v>0</v>
      </c>
      <c r="P2538" s="58">
        <v>193</v>
      </c>
      <c r="Q2538" s="58">
        <v>33</v>
      </c>
    </row>
    <row r="2539" spans="1:17" ht="12.75" x14ac:dyDescent="0.2">
      <c r="A2539" s="81" t="s">
        <v>718</v>
      </c>
      <c r="B2539" s="81" t="s">
        <v>733</v>
      </c>
      <c r="C2539" s="81" t="s">
        <v>660</v>
      </c>
      <c r="D2539" s="82">
        <v>2016</v>
      </c>
      <c r="E2539" s="81" t="s">
        <v>650</v>
      </c>
      <c r="F2539" s="58">
        <v>102</v>
      </c>
      <c r="G2539" s="57">
        <v>0</v>
      </c>
      <c r="H2539" s="58">
        <v>0</v>
      </c>
      <c r="I2539" s="58">
        <v>0</v>
      </c>
      <c r="J2539" s="57">
        <v>74</v>
      </c>
      <c r="K2539" s="57">
        <v>2</v>
      </c>
      <c r="L2539" s="58">
        <v>2</v>
      </c>
      <c r="M2539" s="58">
        <v>0</v>
      </c>
      <c r="N2539" s="58">
        <v>81</v>
      </c>
      <c r="O2539" s="58">
        <v>0</v>
      </c>
      <c r="P2539" s="58">
        <v>193</v>
      </c>
      <c r="Q2539" s="58">
        <v>0</v>
      </c>
    </row>
    <row r="2540" spans="1:17" ht="12.75" x14ac:dyDescent="0.2">
      <c r="A2540" s="81" t="s">
        <v>718</v>
      </c>
      <c r="B2540" s="81" t="s">
        <v>733</v>
      </c>
      <c r="C2540" s="81" t="s">
        <v>660</v>
      </c>
      <c r="D2540" s="82">
        <v>2017</v>
      </c>
      <c r="E2540" s="81" t="s">
        <v>650</v>
      </c>
      <c r="F2540" s="58">
        <v>102</v>
      </c>
      <c r="G2540" s="57">
        <v>0</v>
      </c>
      <c r="H2540" s="58">
        <v>0</v>
      </c>
      <c r="I2540" s="58">
        <v>0</v>
      </c>
      <c r="J2540" s="57">
        <v>74</v>
      </c>
      <c r="K2540" s="57">
        <v>2</v>
      </c>
      <c r="L2540" s="58">
        <v>2</v>
      </c>
      <c r="M2540" s="58">
        <v>0</v>
      </c>
      <c r="N2540" s="58">
        <v>81</v>
      </c>
      <c r="O2540" s="58">
        <v>0</v>
      </c>
      <c r="P2540" s="58">
        <v>193</v>
      </c>
      <c r="Q2540" s="58">
        <v>71</v>
      </c>
    </row>
    <row r="2541" spans="1:17" ht="12.75" x14ac:dyDescent="0.2">
      <c r="A2541" s="81" t="s">
        <v>695</v>
      </c>
      <c r="B2541" s="81" t="s">
        <v>733</v>
      </c>
      <c r="C2541" s="81" t="s">
        <v>660</v>
      </c>
      <c r="D2541" s="82">
        <v>2018</v>
      </c>
      <c r="E2541" s="81" t="s">
        <v>650</v>
      </c>
      <c r="F2541" s="58">
        <v>23</v>
      </c>
      <c r="G2541" s="57">
        <v>0</v>
      </c>
      <c r="H2541" s="58">
        <v>0</v>
      </c>
      <c r="I2541" s="58">
        <v>0</v>
      </c>
      <c r="J2541" s="58">
        <v>16</v>
      </c>
      <c r="K2541" s="57">
        <v>0</v>
      </c>
      <c r="L2541" s="58">
        <v>0</v>
      </c>
      <c r="M2541" s="58">
        <v>0</v>
      </c>
      <c r="N2541" s="58">
        <v>19</v>
      </c>
      <c r="O2541" s="58">
        <v>1</v>
      </c>
      <c r="P2541" s="58">
        <v>42</v>
      </c>
      <c r="Q2541" s="58">
        <v>1</v>
      </c>
    </row>
    <row r="2542" spans="1:17" ht="12.75" x14ac:dyDescent="0.2">
      <c r="A2542" s="81" t="s">
        <v>718</v>
      </c>
      <c r="B2542" s="81" t="s">
        <v>733</v>
      </c>
      <c r="C2542" s="81" t="s">
        <v>660</v>
      </c>
      <c r="D2542" s="82">
        <v>2018</v>
      </c>
      <c r="E2542" s="81" t="s">
        <v>650</v>
      </c>
      <c r="F2542" s="58">
        <v>102</v>
      </c>
      <c r="G2542" s="57">
        <v>0</v>
      </c>
      <c r="H2542" s="58">
        <v>0</v>
      </c>
      <c r="I2542" s="58">
        <v>0</v>
      </c>
      <c r="J2542" s="58">
        <v>74</v>
      </c>
      <c r="K2542" s="57">
        <v>0</v>
      </c>
      <c r="L2542" s="58">
        <v>0</v>
      </c>
      <c r="M2542" s="58">
        <v>0</v>
      </c>
      <c r="N2542" s="58">
        <v>81</v>
      </c>
      <c r="O2542" s="58">
        <v>0</v>
      </c>
      <c r="P2542" s="58">
        <v>193</v>
      </c>
      <c r="Q2542" s="58">
        <v>9</v>
      </c>
    </row>
    <row r="2543" spans="1:17" ht="12.75" x14ac:dyDescent="0.2">
      <c r="A2543" s="85" t="s">
        <v>269</v>
      </c>
      <c r="B2543" s="85" t="s">
        <v>743</v>
      </c>
      <c r="C2543" s="85" t="s">
        <v>649</v>
      </c>
      <c r="D2543" s="56">
        <v>2014</v>
      </c>
      <c r="E2543" s="85" t="s">
        <v>650</v>
      </c>
      <c r="F2543" s="57">
        <v>539</v>
      </c>
      <c r="G2543" s="57">
        <v>20</v>
      </c>
      <c r="H2543" s="58">
        <v>20</v>
      </c>
      <c r="I2543" s="57">
        <v>0</v>
      </c>
      <c r="J2543" s="57">
        <v>366</v>
      </c>
      <c r="K2543" s="57">
        <v>21</v>
      </c>
      <c r="L2543" s="57">
        <v>21</v>
      </c>
      <c r="M2543" s="57">
        <v>0</v>
      </c>
      <c r="N2543" s="57">
        <v>411</v>
      </c>
      <c r="O2543" s="57">
        <v>155</v>
      </c>
      <c r="P2543" s="57">
        <v>908</v>
      </c>
      <c r="Q2543" s="58">
        <v>102</v>
      </c>
    </row>
    <row r="2544" spans="1:17" ht="12.75" x14ac:dyDescent="0.2">
      <c r="A2544" s="85" t="s">
        <v>269</v>
      </c>
      <c r="B2544" s="85" t="s">
        <v>743</v>
      </c>
      <c r="C2544" s="85" t="s">
        <v>649</v>
      </c>
      <c r="D2544" s="56">
        <v>2015</v>
      </c>
      <c r="E2544" s="85" t="s">
        <v>650</v>
      </c>
      <c r="F2544" s="57">
        <v>539</v>
      </c>
      <c r="G2544" s="57">
        <v>0</v>
      </c>
      <c r="H2544" s="58">
        <v>0</v>
      </c>
      <c r="I2544" s="57">
        <v>0</v>
      </c>
      <c r="J2544" s="57">
        <v>366</v>
      </c>
      <c r="K2544" s="57">
        <v>0</v>
      </c>
      <c r="L2544" s="57">
        <v>0</v>
      </c>
      <c r="M2544" s="57">
        <v>0</v>
      </c>
      <c r="N2544" s="57">
        <v>411</v>
      </c>
      <c r="O2544" s="57">
        <v>2</v>
      </c>
      <c r="P2544" s="57">
        <v>908</v>
      </c>
      <c r="Q2544" s="58">
        <v>94</v>
      </c>
    </row>
    <row r="2545" spans="1:17" ht="12.75" x14ac:dyDescent="0.2">
      <c r="A2545" s="85" t="s">
        <v>269</v>
      </c>
      <c r="B2545" s="85" t="s">
        <v>743</v>
      </c>
      <c r="C2545" s="85" t="s">
        <v>649</v>
      </c>
      <c r="D2545" s="56">
        <v>2016</v>
      </c>
      <c r="E2545" s="85" t="s">
        <v>650</v>
      </c>
      <c r="F2545" s="57">
        <v>539</v>
      </c>
      <c r="G2545" s="57">
        <v>34</v>
      </c>
      <c r="H2545" s="58">
        <v>34</v>
      </c>
      <c r="I2545" s="57">
        <v>0</v>
      </c>
      <c r="J2545" s="57">
        <v>366</v>
      </c>
      <c r="K2545" s="57">
        <v>30</v>
      </c>
      <c r="L2545" s="57">
        <v>30</v>
      </c>
      <c r="M2545" s="57">
        <v>0</v>
      </c>
      <c r="N2545" s="57">
        <v>411</v>
      </c>
      <c r="O2545" s="57">
        <v>52</v>
      </c>
      <c r="P2545" s="57">
        <v>908</v>
      </c>
      <c r="Q2545" s="58">
        <v>121</v>
      </c>
    </row>
    <row r="2546" spans="1:17" ht="12.75" x14ac:dyDescent="0.2">
      <c r="A2546" s="85" t="s">
        <v>269</v>
      </c>
      <c r="B2546" s="85" t="s">
        <v>743</v>
      </c>
      <c r="C2546" s="85" t="s">
        <v>649</v>
      </c>
      <c r="D2546" s="56">
        <v>2017</v>
      </c>
      <c r="E2546" s="85" t="s">
        <v>650</v>
      </c>
      <c r="F2546" s="57">
        <v>539</v>
      </c>
      <c r="G2546" s="57">
        <v>72</v>
      </c>
      <c r="H2546" s="58">
        <v>72</v>
      </c>
      <c r="I2546" s="57">
        <v>0</v>
      </c>
      <c r="J2546" s="57">
        <v>366</v>
      </c>
      <c r="K2546" s="57">
        <v>54</v>
      </c>
      <c r="L2546" s="57">
        <v>54</v>
      </c>
      <c r="M2546" s="57">
        <v>0</v>
      </c>
      <c r="N2546" s="57">
        <v>411</v>
      </c>
      <c r="O2546" s="57">
        <v>407</v>
      </c>
      <c r="P2546" s="57">
        <v>908</v>
      </c>
      <c r="Q2546" s="58">
        <v>200</v>
      </c>
    </row>
    <row r="2547" spans="1:17" ht="12.75" x14ac:dyDescent="0.2">
      <c r="A2547" s="85" t="s">
        <v>560</v>
      </c>
      <c r="B2547" s="85" t="s">
        <v>743</v>
      </c>
      <c r="C2547" s="85" t="s">
        <v>649</v>
      </c>
      <c r="D2547" s="56">
        <v>2014</v>
      </c>
      <c r="E2547" s="85" t="s">
        <v>650</v>
      </c>
      <c r="F2547" s="57">
        <v>289</v>
      </c>
      <c r="G2547" s="57">
        <v>0</v>
      </c>
      <c r="H2547" s="58">
        <v>0</v>
      </c>
      <c r="I2547" s="57">
        <v>0</v>
      </c>
      <c r="J2547" s="57">
        <v>197</v>
      </c>
      <c r="K2547" s="57">
        <v>3</v>
      </c>
      <c r="L2547" s="57">
        <v>3</v>
      </c>
      <c r="M2547" s="57">
        <v>0</v>
      </c>
      <c r="N2547" s="57">
        <v>216</v>
      </c>
      <c r="O2547" s="57">
        <v>0</v>
      </c>
      <c r="P2547" s="57">
        <v>462</v>
      </c>
      <c r="Q2547" s="58">
        <v>159</v>
      </c>
    </row>
    <row r="2548" spans="1:17" ht="12.75" x14ac:dyDescent="0.2">
      <c r="A2548" s="85" t="s">
        <v>560</v>
      </c>
      <c r="B2548" s="85" t="s">
        <v>743</v>
      </c>
      <c r="C2548" s="85" t="s">
        <v>649</v>
      </c>
      <c r="D2548" s="56">
        <v>2015</v>
      </c>
      <c r="E2548" s="85" t="s">
        <v>650</v>
      </c>
      <c r="F2548" s="57">
        <v>289</v>
      </c>
      <c r="G2548" s="57">
        <v>5</v>
      </c>
      <c r="H2548" s="58">
        <v>5</v>
      </c>
      <c r="I2548" s="57">
        <v>0</v>
      </c>
      <c r="J2548" s="57">
        <v>197</v>
      </c>
      <c r="K2548" s="57">
        <v>15</v>
      </c>
      <c r="L2548" s="57">
        <v>15</v>
      </c>
      <c r="M2548" s="57">
        <v>0</v>
      </c>
      <c r="N2548" s="57">
        <v>216</v>
      </c>
      <c r="O2548" s="57">
        <v>9</v>
      </c>
      <c r="P2548" s="57">
        <v>462</v>
      </c>
      <c r="Q2548" s="58">
        <v>144</v>
      </c>
    </row>
    <row r="2549" spans="1:17" ht="12.75" x14ac:dyDescent="0.2">
      <c r="A2549" s="85" t="s">
        <v>560</v>
      </c>
      <c r="B2549" s="85" t="s">
        <v>743</v>
      </c>
      <c r="C2549" s="85" t="s">
        <v>649</v>
      </c>
      <c r="D2549" s="56">
        <v>2016</v>
      </c>
      <c r="E2549" s="85" t="s">
        <v>650</v>
      </c>
      <c r="F2549" s="57">
        <v>289</v>
      </c>
      <c r="G2549" s="57">
        <v>0</v>
      </c>
      <c r="H2549" s="58">
        <v>0</v>
      </c>
      <c r="I2549" s="57">
        <v>0</v>
      </c>
      <c r="J2549" s="57">
        <v>197</v>
      </c>
      <c r="K2549" s="57">
        <v>0</v>
      </c>
      <c r="L2549" s="57">
        <v>0</v>
      </c>
      <c r="M2549" s="57">
        <v>0</v>
      </c>
      <c r="N2549" s="57">
        <v>216</v>
      </c>
      <c r="O2549" s="57">
        <v>0</v>
      </c>
      <c r="P2549" s="57">
        <v>462</v>
      </c>
      <c r="Q2549" s="58">
        <v>88</v>
      </c>
    </row>
    <row r="2550" spans="1:17" ht="12.75" x14ac:dyDescent="0.2">
      <c r="A2550" s="85" t="s">
        <v>560</v>
      </c>
      <c r="B2550" s="85" t="s">
        <v>743</v>
      </c>
      <c r="C2550" s="85" t="s">
        <v>649</v>
      </c>
      <c r="D2550" s="56">
        <v>2017</v>
      </c>
      <c r="E2550" s="85" t="s">
        <v>650</v>
      </c>
      <c r="F2550" s="57">
        <v>289</v>
      </c>
      <c r="G2550" s="57">
        <v>0</v>
      </c>
      <c r="H2550" s="58">
        <v>0</v>
      </c>
      <c r="I2550" s="57">
        <v>0</v>
      </c>
      <c r="J2550" s="57">
        <v>197</v>
      </c>
      <c r="K2550" s="57">
        <v>0</v>
      </c>
      <c r="L2550" s="57">
        <v>0</v>
      </c>
      <c r="M2550" s="57">
        <v>0</v>
      </c>
      <c r="N2550" s="57">
        <v>216</v>
      </c>
      <c r="O2550" s="57">
        <v>0</v>
      </c>
      <c r="P2550" s="57">
        <v>462</v>
      </c>
      <c r="Q2550" s="58">
        <v>88</v>
      </c>
    </row>
    <row r="2551" spans="1:17" ht="12.75" x14ac:dyDescent="0.2">
      <c r="A2551" s="85" t="s">
        <v>579</v>
      </c>
      <c r="B2551" s="85" t="s">
        <v>743</v>
      </c>
      <c r="C2551" s="85" t="s">
        <v>649</v>
      </c>
      <c r="D2551" s="56">
        <v>2015</v>
      </c>
      <c r="E2551" s="85" t="s">
        <v>650</v>
      </c>
      <c r="F2551" s="57">
        <v>87</v>
      </c>
      <c r="G2551" s="57">
        <v>0</v>
      </c>
      <c r="H2551" s="58">
        <v>0</v>
      </c>
      <c r="I2551" s="57">
        <v>0</v>
      </c>
      <c r="J2551" s="57">
        <v>59</v>
      </c>
      <c r="K2551" s="57">
        <v>0</v>
      </c>
      <c r="L2551" s="57">
        <v>0</v>
      </c>
      <c r="M2551" s="57">
        <v>0</v>
      </c>
      <c r="N2551" s="57">
        <v>70</v>
      </c>
      <c r="O2551" s="57">
        <v>3</v>
      </c>
      <c r="P2551" s="57">
        <v>155</v>
      </c>
      <c r="Q2551" s="58">
        <v>1</v>
      </c>
    </row>
    <row r="2552" spans="1:17" ht="12.75" x14ac:dyDescent="0.2">
      <c r="A2552" s="85" t="s">
        <v>579</v>
      </c>
      <c r="B2552" s="85" t="s">
        <v>743</v>
      </c>
      <c r="C2552" s="85" t="s">
        <v>649</v>
      </c>
      <c r="D2552" s="56">
        <v>2016</v>
      </c>
      <c r="E2552" s="85" t="s">
        <v>650</v>
      </c>
      <c r="F2552" s="57">
        <v>87</v>
      </c>
      <c r="G2552" s="57">
        <v>0</v>
      </c>
      <c r="H2552" s="58">
        <v>0</v>
      </c>
      <c r="I2552" s="57">
        <v>0</v>
      </c>
      <c r="J2552" s="57">
        <v>59</v>
      </c>
      <c r="K2552" s="57">
        <v>0</v>
      </c>
      <c r="L2552" s="57">
        <v>0</v>
      </c>
      <c r="M2552" s="57">
        <v>0</v>
      </c>
      <c r="N2552" s="57">
        <v>70</v>
      </c>
      <c r="O2552" s="60">
        <v>8</v>
      </c>
      <c r="P2552" s="57">
        <v>155</v>
      </c>
      <c r="Q2552" s="58">
        <v>0</v>
      </c>
    </row>
    <row r="2553" spans="1:17" ht="12.75" x14ac:dyDescent="0.2">
      <c r="A2553" s="85" t="s">
        <v>579</v>
      </c>
      <c r="B2553" s="85" t="s">
        <v>743</v>
      </c>
      <c r="C2553" s="85" t="s">
        <v>649</v>
      </c>
      <c r="D2553" s="56">
        <v>2017</v>
      </c>
      <c r="E2553" s="85" t="s">
        <v>650</v>
      </c>
      <c r="F2553" s="57">
        <v>87</v>
      </c>
      <c r="G2553" s="57">
        <v>0</v>
      </c>
      <c r="H2553" s="58">
        <v>0</v>
      </c>
      <c r="I2553" s="57">
        <v>0</v>
      </c>
      <c r="J2553" s="57">
        <v>59</v>
      </c>
      <c r="K2553" s="57">
        <v>0</v>
      </c>
      <c r="L2553" s="57">
        <v>0</v>
      </c>
      <c r="M2553" s="57">
        <v>0</v>
      </c>
      <c r="N2553" s="57">
        <v>70</v>
      </c>
      <c r="O2553" s="57">
        <v>2</v>
      </c>
      <c r="P2553" s="57">
        <v>155</v>
      </c>
      <c r="Q2553" s="58">
        <v>9</v>
      </c>
    </row>
    <row r="2554" spans="1:17" ht="12.75" x14ac:dyDescent="0.2">
      <c r="A2554" s="85" t="s">
        <v>582</v>
      </c>
      <c r="B2554" s="85" t="s">
        <v>743</v>
      </c>
      <c r="C2554" s="85" t="s">
        <v>649</v>
      </c>
      <c r="D2554" s="56">
        <v>2014</v>
      </c>
      <c r="E2554" s="85" t="s">
        <v>650</v>
      </c>
      <c r="F2554" s="57">
        <v>1688</v>
      </c>
      <c r="G2554" s="57">
        <v>48</v>
      </c>
      <c r="H2554" s="58">
        <v>48</v>
      </c>
      <c r="I2554" s="57">
        <v>0</v>
      </c>
      <c r="J2554" s="57">
        <v>1160</v>
      </c>
      <c r="K2554" s="57">
        <v>67</v>
      </c>
      <c r="L2554" s="57">
        <v>67</v>
      </c>
      <c r="M2554" s="57">
        <v>0</v>
      </c>
      <c r="N2554" s="57">
        <v>1351</v>
      </c>
      <c r="O2554" s="57">
        <v>2</v>
      </c>
      <c r="P2554" s="57">
        <v>3102</v>
      </c>
      <c r="Q2554" s="58">
        <v>39</v>
      </c>
    </row>
    <row r="2555" spans="1:17" ht="12.75" x14ac:dyDescent="0.2">
      <c r="A2555" s="85" t="s">
        <v>582</v>
      </c>
      <c r="B2555" s="85" t="s">
        <v>743</v>
      </c>
      <c r="C2555" s="85" t="s">
        <v>649</v>
      </c>
      <c r="D2555" s="56">
        <v>2015</v>
      </c>
      <c r="E2555" s="85" t="s">
        <v>650</v>
      </c>
      <c r="F2555" s="57">
        <v>1688</v>
      </c>
      <c r="G2555" s="57">
        <v>0</v>
      </c>
      <c r="H2555" s="58">
        <v>0</v>
      </c>
      <c r="I2555" s="57">
        <v>0</v>
      </c>
      <c r="J2555" s="57">
        <v>1160</v>
      </c>
      <c r="K2555" s="57">
        <v>0</v>
      </c>
      <c r="L2555" s="57">
        <v>0</v>
      </c>
      <c r="M2555" s="57">
        <v>0</v>
      </c>
      <c r="N2555" s="57">
        <v>1351</v>
      </c>
      <c r="O2555" s="57">
        <v>0</v>
      </c>
      <c r="P2555" s="57">
        <v>3102</v>
      </c>
      <c r="Q2555" s="58">
        <v>5</v>
      </c>
    </row>
    <row r="2556" spans="1:17" ht="12.75" x14ac:dyDescent="0.2">
      <c r="A2556" s="85" t="s">
        <v>582</v>
      </c>
      <c r="B2556" s="85" t="s">
        <v>743</v>
      </c>
      <c r="C2556" s="85" t="s">
        <v>649</v>
      </c>
      <c r="D2556" s="56">
        <v>2016</v>
      </c>
      <c r="E2556" s="85" t="s">
        <v>650</v>
      </c>
      <c r="F2556" s="57">
        <v>1688</v>
      </c>
      <c r="G2556" s="57">
        <v>50</v>
      </c>
      <c r="H2556" s="58">
        <v>50</v>
      </c>
      <c r="I2556" s="57">
        <v>0</v>
      </c>
      <c r="J2556" s="57">
        <v>1160</v>
      </c>
      <c r="K2556" s="57">
        <v>207</v>
      </c>
      <c r="L2556" s="57">
        <v>118</v>
      </c>
      <c r="M2556" s="57">
        <v>89</v>
      </c>
      <c r="N2556" s="57">
        <v>1351</v>
      </c>
      <c r="O2556" s="57">
        <v>2</v>
      </c>
      <c r="P2556" s="57">
        <v>3102</v>
      </c>
      <c r="Q2556" s="58">
        <v>80</v>
      </c>
    </row>
    <row r="2557" spans="1:17" ht="12.75" x14ac:dyDescent="0.2">
      <c r="A2557" s="85" t="s">
        <v>582</v>
      </c>
      <c r="B2557" s="85" t="s">
        <v>743</v>
      </c>
      <c r="C2557" s="85" t="s">
        <v>649</v>
      </c>
      <c r="D2557" s="56">
        <v>2017</v>
      </c>
      <c r="E2557" s="85" t="s">
        <v>650</v>
      </c>
      <c r="F2557" s="57">
        <v>1688</v>
      </c>
      <c r="G2557" s="57">
        <v>30</v>
      </c>
      <c r="H2557" s="58">
        <v>30</v>
      </c>
      <c r="I2557" s="57">
        <v>0</v>
      </c>
      <c r="J2557" s="57">
        <v>1160</v>
      </c>
      <c r="K2557" s="57">
        <v>234</v>
      </c>
      <c r="L2557" s="57">
        <v>234</v>
      </c>
      <c r="M2557" s="57">
        <v>0</v>
      </c>
      <c r="N2557" s="57">
        <v>1351</v>
      </c>
      <c r="O2557" s="57">
        <v>371</v>
      </c>
      <c r="P2557" s="57">
        <v>3102</v>
      </c>
      <c r="Q2557" s="58">
        <v>138</v>
      </c>
    </row>
    <row r="2558" spans="1:17" ht="12.75" x14ac:dyDescent="0.2">
      <c r="A2558" s="85" t="s">
        <v>604</v>
      </c>
      <c r="B2558" s="85" t="s">
        <v>743</v>
      </c>
      <c r="C2558" s="85" t="s">
        <v>649</v>
      </c>
      <c r="D2558" s="56">
        <v>2017</v>
      </c>
      <c r="E2558" s="85" t="s">
        <v>650</v>
      </c>
      <c r="F2558" s="57">
        <v>1</v>
      </c>
      <c r="G2558" s="57">
        <v>0</v>
      </c>
      <c r="H2558" s="58">
        <v>0</v>
      </c>
      <c r="I2558" s="57">
        <v>0</v>
      </c>
      <c r="J2558" s="57">
        <v>1</v>
      </c>
      <c r="K2558" s="57">
        <v>0</v>
      </c>
      <c r="L2558" s="57">
        <v>0</v>
      </c>
      <c r="M2558" s="57">
        <v>0</v>
      </c>
      <c r="N2558" s="57">
        <v>0</v>
      </c>
      <c r="O2558" s="60">
        <v>0</v>
      </c>
      <c r="P2558" s="57">
        <v>0</v>
      </c>
      <c r="Q2558" s="58">
        <v>0</v>
      </c>
    </row>
    <row r="2559" spans="1:17" ht="12.75" x14ac:dyDescent="0.2">
      <c r="A2559" s="85" t="s">
        <v>642</v>
      </c>
      <c r="B2559" s="85" t="s">
        <v>743</v>
      </c>
      <c r="C2559" s="85" t="s">
        <v>649</v>
      </c>
      <c r="D2559" s="56">
        <v>2014</v>
      </c>
      <c r="E2559" s="85" t="s">
        <v>650</v>
      </c>
      <c r="F2559" s="57">
        <v>861</v>
      </c>
      <c r="G2559" s="57">
        <v>28</v>
      </c>
      <c r="H2559" s="58">
        <v>28</v>
      </c>
      <c r="I2559" s="57">
        <v>0</v>
      </c>
      <c r="J2559" s="57">
        <v>591</v>
      </c>
      <c r="K2559" s="57">
        <v>0</v>
      </c>
      <c r="L2559" s="57">
        <v>0</v>
      </c>
      <c r="M2559" s="57">
        <v>0</v>
      </c>
      <c r="N2559" s="57">
        <v>673</v>
      </c>
      <c r="O2559" s="57">
        <v>2</v>
      </c>
      <c r="P2559" s="57">
        <v>1529</v>
      </c>
      <c r="Q2559" s="58">
        <v>89</v>
      </c>
    </row>
    <row r="2560" spans="1:17" ht="12.75" x14ac:dyDescent="0.2">
      <c r="A2560" s="85" t="s">
        <v>642</v>
      </c>
      <c r="B2560" s="85" t="s">
        <v>743</v>
      </c>
      <c r="C2560" s="85" t="s">
        <v>649</v>
      </c>
      <c r="D2560" s="56">
        <v>2015</v>
      </c>
      <c r="E2560" s="85" t="s">
        <v>650</v>
      </c>
      <c r="F2560" s="57">
        <v>861</v>
      </c>
      <c r="G2560" s="57">
        <v>49</v>
      </c>
      <c r="H2560" s="58">
        <v>49</v>
      </c>
      <c r="I2560" s="57">
        <v>0</v>
      </c>
      <c r="J2560" s="57">
        <v>591</v>
      </c>
      <c r="K2560" s="57">
        <v>0</v>
      </c>
      <c r="L2560" s="57">
        <v>0</v>
      </c>
      <c r="M2560" s="57">
        <v>0</v>
      </c>
      <c r="N2560" s="57">
        <v>673</v>
      </c>
      <c r="O2560" s="57">
        <v>41</v>
      </c>
      <c r="P2560" s="57">
        <v>1529</v>
      </c>
      <c r="Q2560" s="58">
        <v>55</v>
      </c>
    </row>
    <row r="2561" spans="1:17" ht="12.75" x14ac:dyDescent="0.2">
      <c r="A2561" s="85" t="s">
        <v>642</v>
      </c>
      <c r="B2561" s="85" t="s">
        <v>743</v>
      </c>
      <c r="C2561" s="85" t="s">
        <v>649</v>
      </c>
      <c r="D2561" s="56">
        <v>2016</v>
      </c>
      <c r="E2561" s="85" t="s">
        <v>650</v>
      </c>
      <c r="F2561" s="57">
        <v>861</v>
      </c>
      <c r="G2561" s="57">
        <v>0</v>
      </c>
      <c r="H2561" s="58">
        <v>0</v>
      </c>
      <c r="I2561" s="57">
        <v>0</v>
      </c>
      <c r="J2561" s="57">
        <v>591</v>
      </c>
      <c r="K2561" s="57">
        <v>12</v>
      </c>
      <c r="L2561" s="57">
        <v>12</v>
      </c>
      <c r="M2561" s="57">
        <v>0</v>
      </c>
      <c r="N2561" s="57">
        <v>673</v>
      </c>
      <c r="O2561" s="57">
        <v>0</v>
      </c>
      <c r="P2561" s="57">
        <v>1529</v>
      </c>
      <c r="Q2561" s="58">
        <v>223</v>
      </c>
    </row>
    <row r="2562" spans="1:17" ht="12.75" x14ac:dyDescent="0.2">
      <c r="A2562" s="85" t="s">
        <v>642</v>
      </c>
      <c r="B2562" s="85" t="s">
        <v>743</v>
      </c>
      <c r="C2562" s="85" t="s">
        <v>649</v>
      </c>
      <c r="D2562" s="56">
        <v>2017</v>
      </c>
      <c r="E2562" s="85" t="s">
        <v>650</v>
      </c>
      <c r="F2562" s="57">
        <v>861</v>
      </c>
      <c r="G2562" s="57">
        <v>36</v>
      </c>
      <c r="H2562" s="58">
        <v>36</v>
      </c>
      <c r="I2562" s="57">
        <v>0</v>
      </c>
      <c r="J2562" s="57">
        <v>591</v>
      </c>
      <c r="K2562" s="57">
        <v>34</v>
      </c>
      <c r="L2562" s="57">
        <v>34</v>
      </c>
      <c r="M2562" s="57">
        <v>0</v>
      </c>
      <c r="N2562" s="57">
        <v>673</v>
      </c>
      <c r="O2562" s="57">
        <v>19</v>
      </c>
      <c r="P2562" s="57">
        <v>1529</v>
      </c>
      <c r="Q2562" s="58">
        <v>646</v>
      </c>
    </row>
    <row r="2563" spans="1:17" ht="12.75" x14ac:dyDescent="0.2">
      <c r="A2563" s="85" t="s">
        <v>670</v>
      </c>
      <c r="B2563" s="85" t="s">
        <v>743</v>
      </c>
      <c r="C2563" s="85" t="s">
        <v>649</v>
      </c>
      <c r="D2563" s="56">
        <v>2017</v>
      </c>
      <c r="E2563" s="85" t="s">
        <v>650</v>
      </c>
      <c r="F2563" s="57">
        <v>288</v>
      </c>
      <c r="G2563" s="57">
        <v>0</v>
      </c>
      <c r="H2563" s="58">
        <v>0</v>
      </c>
      <c r="I2563" s="57">
        <v>0</v>
      </c>
      <c r="J2563" s="57">
        <v>201</v>
      </c>
      <c r="K2563" s="57">
        <v>10</v>
      </c>
      <c r="L2563" s="57">
        <v>10</v>
      </c>
      <c r="M2563" s="57">
        <v>0</v>
      </c>
      <c r="N2563" s="57">
        <v>241</v>
      </c>
      <c r="O2563" s="57">
        <v>6</v>
      </c>
      <c r="P2563" s="57">
        <v>555</v>
      </c>
      <c r="Q2563" s="58">
        <v>1</v>
      </c>
    </row>
    <row r="2564" spans="1:17" ht="12.75" x14ac:dyDescent="0.2">
      <c r="A2564" s="85" t="s">
        <v>686</v>
      </c>
      <c r="B2564" s="85" t="s">
        <v>743</v>
      </c>
      <c r="C2564" s="85" t="s">
        <v>649</v>
      </c>
      <c r="D2564" s="56">
        <v>2014</v>
      </c>
      <c r="E2564" s="85" t="s">
        <v>650</v>
      </c>
      <c r="F2564" s="57">
        <v>310</v>
      </c>
      <c r="G2564" s="57">
        <v>0</v>
      </c>
      <c r="H2564" s="58">
        <v>0</v>
      </c>
      <c r="I2564" s="57">
        <v>0</v>
      </c>
      <c r="J2564" s="57">
        <v>208</v>
      </c>
      <c r="K2564" s="57">
        <v>0</v>
      </c>
      <c r="L2564" s="57">
        <v>0</v>
      </c>
      <c r="M2564" s="57">
        <v>0</v>
      </c>
      <c r="N2564" s="57">
        <v>229</v>
      </c>
      <c r="O2564" s="57">
        <v>0</v>
      </c>
      <c r="P2564" s="57">
        <v>509</v>
      </c>
      <c r="Q2564" s="58">
        <v>42</v>
      </c>
    </row>
    <row r="2565" spans="1:17" ht="12.75" x14ac:dyDescent="0.2">
      <c r="A2565" s="85" t="s">
        <v>686</v>
      </c>
      <c r="B2565" s="85" t="s">
        <v>743</v>
      </c>
      <c r="C2565" s="85" t="s">
        <v>649</v>
      </c>
      <c r="D2565" s="56">
        <v>2015</v>
      </c>
      <c r="E2565" s="85" t="s">
        <v>650</v>
      </c>
      <c r="F2565" s="57">
        <v>310</v>
      </c>
      <c r="G2565" s="57">
        <v>0</v>
      </c>
      <c r="H2565" s="58">
        <v>0</v>
      </c>
      <c r="I2565" s="57">
        <v>0</v>
      </c>
      <c r="J2565" s="57">
        <v>208</v>
      </c>
      <c r="K2565" s="57">
        <v>0</v>
      </c>
      <c r="L2565" s="57">
        <v>0</v>
      </c>
      <c r="M2565" s="57">
        <v>0</v>
      </c>
      <c r="N2565" s="57">
        <v>229</v>
      </c>
      <c r="O2565" s="57">
        <v>15</v>
      </c>
      <c r="P2565" s="57">
        <v>509</v>
      </c>
      <c r="Q2565" s="58">
        <v>11</v>
      </c>
    </row>
    <row r="2566" spans="1:17" ht="12.75" x14ac:dyDescent="0.2">
      <c r="A2566" s="85" t="s">
        <v>686</v>
      </c>
      <c r="B2566" s="85" t="s">
        <v>743</v>
      </c>
      <c r="C2566" s="85" t="s">
        <v>649</v>
      </c>
      <c r="D2566" s="56">
        <v>2016</v>
      </c>
      <c r="E2566" s="85" t="s">
        <v>650</v>
      </c>
      <c r="F2566" s="57">
        <v>310</v>
      </c>
      <c r="G2566" s="57">
        <v>0</v>
      </c>
      <c r="H2566" s="58">
        <v>0</v>
      </c>
      <c r="I2566" s="57">
        <v>0</v>
      </c>
      <c r="J2566" s="57">
        <v>208</v>
      </c>
      <c r="K2566" s="57">
        <v>1</v>
      </c>
      <c r="L2566" s="57">
        <v>1</v>
      </c>
      <c r="M2566" s="57">
        <v>0</v>
      </c>
      <c r="N2566" s="57">
        <v>229</v>
      </c>
      <c r="O2566" s="57">
        <v>0</v>
      </c>
      <c r="P2566" s="57">
        <v>509</v>
      </c>
      <c r="Q2566" s="58">
        <v>152</v>
      </c>
    </row>
    <row r="2567" spans="1:17" ht="12.75" x14ac:dyDescent="0.2">
      <c r="A2567" s="85" t="s">
        <v>686</v>
      </c>
      <c r="B2567" s="85" t="s">
        <v>743</v>
      </c>
      <c r="C2567" s="85" t="s">
        <v>649</v>
      </c>
      <c r="D2567" s="56">
        <v>2017</v>
      </c>
      <c r="E2567" s="85" t="s">
        <v>650</v>
      </c>
      <c r="F2567" s="57">
        <v>310</v>
      </c>
      <c r="G2567" s="57">
        <v>30</v>
      </c>
      <c r="H2567" s="58">
        <v>30</v>
      </c>
      <c r="I2567" s="57">
        <v>0</v>
      </c>
      <c r="J2567" s="57">
        <v>208</v>
      </c>
      <c r="K2567" s="57">
        <v>0</v>
      </c>
      <c r="L2567" s="57">
        <v>0</v>
      </c>
      <c r="M2567" s="57">
        <v>0</v>
      </c>
      <c r="N2567" s="57">
        <v>229</v>
      </c>
      <c r="O2567" s="57">
        <v>12</v>
      </c>
      <c r="P2567" s="57">
        <v>509</v>
      </c>
      <c r="Q2567" s="58">
        <v>59</v>
      </c>
    </row>
    <row r="2568" spans="1:17" ht="12.75" x14ac:dyDescent="0.2">
      <c r="A2568" s="81" t="s">
        <v>707</v>
      </c>
      <c r="B2568" s="81" t="s">
        <v>743</v>
      </c>
      <c r="C2568" s="81" t="s">
        <v>649</v>
      </c>
      <c r="D2568" s="82">
        <v>2014</v>
      </c>
      <c r="E2568" s="81" t="s">
        <v>650</v>
      </c>
      <c r="F2568" s="58">
        <v>47</v>
      </c>
      <c r="G2568" s="57">
        <v>17</v>
      </c>
      <c r="H2568" s="58">
        <v>17</v>
      </c>
      <c r="I2568" s="58">
        <v>0</v>
      </c>
      <c r="J2568" s="57">
        <v>32</v>
      </c>
      <c r="K2568" s="57">
        <v>2</v>
      </c>
      <c r="L2568" s="58">
        <v>2</v>
      </c>
      <c r="M2568" s="58">
        <v>0</v>
      </c>
      <c r="N2568" s="58">
        <v>36</v>
      </c>
      <c r="O2568" s="58">
        <v>1</v>
      </c>
      <c r="P2568" s="58">
        <v>77</v>
      </c>
      <c r="Q2568" s="58">
        <v>27</v>
      </c>
    </row>
    <row r="2569" spans="1:17" ht="12.75" x14ac:dyDescent="0.2">
      <c r="A2569" s="81" t="s">
        <v>707</v>
      </c>
      <c r="B2569" s="81" t="s">
        <v>743</v>
      </c>
      <c r="C2569" s="81" t="s">
        <v>649</v>
      </c>
      <c r="D2569" s="82">
        <v>2015</v>
      </c>
      <c r="E2569" s="81" t="s">
        <v>650</v>
      </c>
      <c r="F2569" s="58">
        <v>47</v>
      </c>
      <c r="G2569" s="57">
        <v>0</v>
      </c>
      <c r="H2569" s="58">
        <v>0</v>
      </c>
      <c r="I2569" s="58">
        <v>0</v>
      </c>
      <c r="J2569" s="57">
        <v>32</v>
      </c>
      <c r="K2569" s="57">
        <v>0</v>
      </c>
      <c r="L2569" s="58">
        <v>0</v>
      </c>
      <c r="M2569" s="58">
        <v>0</v>
      </c>
      <c r="N2569" s="58">
        <v>36</v>
      </c>
      <c r="O2569" s="58">
        <v>0</v>
      </c>
      <c r="P2569" s="58">
        <v>77</v>
      </c>
      <c r="Q2569" s="58">
        <v>115</v>
      </c>
    </row>
    <row r="2570" spans="1:17" ht="12.75" x14ac:dyDescent="0.2">
      <c r="A2570" s="81" t="s">
        <v>707</v>
      </c>
      <c r="B2570" s="81" t="s">
        <v>743</v>
      </c>
      <c r="C2570" s="81" t="s">
        <v>649</v>
      </c>
      <c r="D2570" s="82">
        <v>2016</v>
      </c>
      <c r="E2570" s="81" t="s">
        <v>650</v>
      </c>
      <c r="F2570" s="58">
        <v>47</v>
      </c>
      <c r="G2570" s="57">
        <v>0</v>
      </c>
      <c r="H2570" s="58">
        <v>0</v>
      </c>
      <c r="I2570" s="58">
        <v>0</v>
      </c>
      <c r="J2570" s="57">
        <v>32</v>
      </c>
      <c r="K2570" s="57">
        <v>0</v>
      </c>
      <c r="L2570" s="58">
        <v>0</v>
      </c>
      <c r="M2570" s="58">
        <v>0</v>
      </c>
      <c r="N2570" s="58">
        <v>36</v>
      </c>
      <c r="O2570" s="58">
        <v>38</v>
      </c>
      <c r="P2570" s="58">
        <v>77</v>
      </c>
      <c r="Q2570" s="58">
        <v>62</v>
      </c>
    </row>
    <row r="2571" spans="1:17" ht="12.75" x14ac:dyDescent="0.2">
      <c r="A2571" s="81" t="s">
        <v>707</v>
      </c>
      <c r="B2571" s="81" t="s">
        <v>743</v>
      </c>
      <c r="C2571" s="81" t="s">
        <v>649</v>
      </c>
      <c r="D2571" s="82">
        <v>2017</v>
      </c>
      <c r="E2571" s="81" t="s">
        <v>650</v>
      </c>
      <c r="F2571" s="58">
        <v>47</v>
      </c>
      <c r="G2571" s="57">
        <v>0</v>
      </c>
      <c r="H2571" s="58">
        <v>0</v>
      </c>
      <c r="I2571" s="58">
        <v>0</v>
      </c>
      <c r="J2571" s="57">
        <v>32</v>
      </c>
      <c r="K2571" s="57">
        <v>0</v>
      </c>
      <c r="L2571" s="58">
        <v>0</v>
      </c>
      <c r="M2571" s="58">
        <v>0</v>
      </c>
      <c r="N2571" s="58">
        <v>36</v>
      </c>
      <c r="O2571" s="58">
        <v>50</v>
      </c>
      <c r="P2571" s="58">
        <v>77</v>
      </c>
      <c r="Q2571" s="58">
        <v>16</v>
      </c>
    </row>
    <row r="2572" spans="1:17" ht="12.75" x14ac:dyDescent="0.2">
      <c r="A2572" s="81" t="s">
        <v>726</v>
      </c>
      <c r="B2572" s="81" t="s">
        <v>743</v>
      </c>
      <c r="C2572" s="81" t="s">
        <v>649</v>
      </c>
      <c r="D2572" s="82">
        <v>2014</v>
      </c>
      <c r="E2572" s="81" t="s">
        <v>650</v>
      </c>
      <c r="F2572" s="58">
        <v>246</v>
      </c>
      <c r="G2572" s="57">
        <v>44</v>
      </c>
      <c r="H2572" s="58">
        <v>0</v>
      </c>
      <c r="I2572" s="58">
        <v>44</v>
      </c>
      <c r="J2572" s="57">
        <v>168</v>
      </c>
      <c r="K2572" s="57">
        <v>37</v>
      </c>
      <c r="L2572" s="58">
        <v>0</v>
      </c>
      <c r="M2572" s="58">
        <v>37</v>
      </c>
      <c r="N2572" s="58">
        <v>189</v>
      </c>
      <c r="O2572" s="58">
        <v>12</v>
      </c>
      <c r="P2572" s="58">
        <v>412</v>
      </c>
      <c r="Q2572" s="58">
        <v>58</v>
      </c>
    </row>
    <row r="2573" spans="1:17" ht="12.75" x14ac:dyDescent="0.2">
      <c r="A2573" s="81" t="s">
        <v>726</v>
      </c>
      <c r="B2573" s="81" t="s">
        <v>743</v>
      </c>
      <c r="C2573" s="81" t="s">
        <v>649</v>
      </c>
      <c r="D2573" s="82">
        <v>2015</v>
      </c>
      <c r="E2573" s="81" t="s">
        <v>650</v>
      </c>
      <c r="F2573" s="58">
        <v>246</v>
      </c>
      <c r="G2573" s="57">
        <v>8</v>
      </c>
      <c r="H2573" s="58">
        <v>0</v>
      </c>
      <c r="I2573" s="58">
        <v>8</v>
      </c>
      <c r="J2573" s="57">
        <v>168</v>
      </c>
      <c r="K2573" s="57">
        <v>12</v>
      </c>
      <c r="L2573" s="58">
        <v>0</v>
      </c>
      <c r="M2573" s="58">
        <v>12</v>
      </c>
      <c r="N2573" s="58">
        <v>189</v>
      </c>
      <c r="O2573" s="58">
        <v>13</v>
      </c>
      <c r="P2573" s="58">
        <v>412</v>
      </c>
      <c r="Q2573" s="58">
        <v>46</v>
      </c>
    </row>
    <row r="2574" spans="1:17" ht="12.75" x14ac:dyDescent="0.2">
      <c r="A2574" s="81" t="s">
        <v>726</v>
      </c>
      <c r="B2574" s="81" t="s">
        <v>743</v>
      </c>
      <c r="C2574" s="81" t="s">
        <v>649</v>
      </c>
      <c r="D2574" s="82">
        <v>2016</v>
      </c>
      <c r="E2574" s="81" t="s">
        <v>650</v>
      </c>
      <c r="F2574" s="58">
        <v>246</v>
      </c>
      <c r="G2574" s="57">
        <v>4</v>
      </c>
      <c r="H2574" s="58">
        <v>0</v>
      </c>
      <c r="I2574" s="58">
        <v>4</v>
      </c>
      <c r="J2574" s="57">
        <v>168</v>
      </c>
      <c r="K2574" s="57">
        <v>8</v>
      </c>
      <c r="L2574" s="58">
        <v>0</v>
      </c>
      <c r="M2574" s="58">
        <v>8</v>
      </c>
      <c r="N2574" s="58">
        <v>189</v>
      </c>
      <c r="O2574" s="58">
        <v>7</v>
      </c>
      <c r="P2574" s="58">
        <v>412</v>
      </c>
      <c r="Q2574" s="58">
        <v>44</v>
      </c>
    </row>
    <row r="2575" spans="1:17" ht="12.75" x14ac:dyDescent="0.2">
      <c r="A2575" s="81" t="s">
        <v>726</v>
      </c>
      <c r="B2575" s="81" t="s">
        <v>743</v>
      </c>
      <c r="C2575" s="81" t="s">
        <v>649</v>
      </c>
      <c r="D2575" s="82">
        <v>2017</v>
      </c>
      <c r="E2575" s="81" t="s">
        <v>650</v>
      </c>
      <c r="F2575" s="58">
        <v>246</v>
      </c>
      <c r="G2575" s="57">
        <v>7</v>
      </c>
      <c r="H2575" s="58">
        <v>0</v>
      </c>
      <c r="I2575" s="58">
        <v>7</v>
      </c>
      <c r="J2575" s="57">
        <v>168</v>
      </c>
      <c r="K2575" s="57">
        <v>14</v>
      </c>
      <c r="L2575" s="58">
        <v>0</v>
      </c>
      <c r="M2575" s="58">
        <v>14</v>
      </c>
      <c r="N2575" s="58">
        <v>189</v>
      </c>
      <c r="O2575" s="58">
        <v>15</v>
      </c>
      <c r="P2575" s="58">
        <v>412</v>
      </c>
      <c r="Q2575" s="58">
        <v>45</v>
      </c>
    </row>
    <row r="2576" spans="1:17" ht="12.75" x14ac:dyDescent="0.2">
      <c r="A2576" s="81" t="s">
        <v>269</v>
      </c>
      <c r="B2576" s="81" t="s">
        <v>743</v>
      </c>
      <c r="C2576" s="81" t="s">
        <v>649</v>
      </c>
      <c r="D2576" s="82">
        <v>2018</v>
      </c>
      <c r="E2576" s="81" t="s">
        <v>650</v>
      </c>
      <c r="F2576" s="58">
        <v>539</v>
      </c>
      <c r="G2576" s="57">
        <v>1</v>
      </c>
      <c r="H2576" s="58">
        <v>1</v>
      </c>
      <c r="I2576" s="58">
        <v>0</v>
      </c>
      <c r="J2576" s="58">
        <v>366</v>
      </c>
      <c r="K2576" s="57">
        <v>0</v>
      </c>
      <c r="L2576" s="58">
        <v>0</v>
      </c>
      <c r="M2576" s="58">
        <v>0</v>
      </c>
      <c r="N2576" s="58">
        <v>411</v>
      </c>
      <c r="O2576" s="58">
        <v>228</v>
      </c>
      <c r="P2576" s="58">
        <v>908</v>
      </c>
      <c r="Q2576" s="58">
        <v>238</v>
      </c>
    </row>
    <row r="2577" spans="1:17" ht="12.75" x14ac:dyDescent="0.2">
      <c r="A2577" s="81" t="s">
        <v>560</v>
      </c>
      <c r="B2577" s="81" t="s">
        <v>743</v>
      </c>
      <c r="C2577" s="81" t="s">
        <v>649</v>
      </c>
      <c r="D2577" s="82">
        <v>2018</v>
      </c>
      <c r="E2577" s="81" t="s">
        <v>650</v>
      </c>
      <c r="F2577" s="58">
        <v>289</v>
      </c>
      <c r="G2577" s="57">
        <v>0</v>
      </c>
      <c r="H2577" s="58">
        <v>0</v>
      </c>
      <c r="I2577" s="58">
        <v>0</v>
      </c>
      <c r="J2577" s="58">
        <v>197</v>
      </c>
      <c r="K2577" s="57">
        <v>3</v>
      </c>
      <c r="L2577" s="58">
        <v>0</v>
      </c>
      <c r="M2577" s="58">
        <v>3</v>
      </c>
      <c r="N2577" s="58">
        <v>216</v>
      </c>
      <c r="O2577" s="58">
        <v>0</v>
      </c>
      <c r="P2577" s="58">
        <v>462</v>
      </c>
      <c r="Q2577" s="58">
        <v>16</v>
      </c>
    </row>
    <row r="2578" spans="1:17" ht="12.75" x14ac:dyDescent="0.2">
      <c r="A2578" s="81" t="s">
        <v>582</v>
      </c>
      <c r="B2578" s="81" t="s">
        <v>743</v>
      </c>
      <c r="C2578" s="81" t="s">
        <v>649</v>
      </c>
      <c r="D2578" s="82">
        <v>2018</v>
      </c>
      <c r="E2578" s="81" t="s">
        <v>650</v>
      </c>
      <c r="F2578" s="58">
        <v>1688</v>
      </c>
      <c r="G2578" s="57">
        <v>51</v>
      </c>
      <c r="H2578" s="58">
        <v>51</v>
      </c>
      <c r="I2578" s="58">
        <v>0</v>
      </c>
      <c r="J2578" s="58">
        <v>1160</v>
      </c>
      <c r="K2578" s="57">
        <v>230</v>
      </c>
      <c r="L2578" s="58">
        <v>229</v>
      </c>
      <c r="M2578" s="58">
        <v>1</v>
      </c>
      <c r="N2578" s="58">
        <v>1351</v>
      </c>
      <c r="O2578" s="58">
        <v>0</v>
      </c>
      <c r="P2578" s="58">
        <v>3102</v>
      </c>
      <c r="Q2578" s="58">
        <v>146</v>
      </c>
    </row>
    <row r="2579" spans="1:17" ht="12.75" x14ac:dyDescent="0.2">
      <c r="A2579" s="81" t="s">
        <v>604</v>
      </c>
      <c r="B2579" s="81" t="s">
        <v>743</v>
      </c>
      <c r="C2579" s="81" t="s">
        <v>649</v>
      </c>
      <c r="D2579" s="82">
        <v>2018</v>
      </c>
      <c r="E2579" s="81" t="s">
        <v>650</v>
      </c>
      <c r="F2579" s="58">
        <v>1</v>
      </c>
      <c r="G2579" s="85"/>
      <c r="H2579" s="86"/>
      <c r="I2579" s="86"/>
      <c r="J2579" s="58">
        <v>1</v>
      </c>
      <c r="K2579" s="85"/>
      <c r="L2579" s="86"/>
      <c r="M2579" s="86"/>
      <c r="N2579" s="58">
        <v>0</v>
      </c>
      <c r="O2579" s="86"/>
      <c r="P2579" s="58">
        <v>0</v>
      </c>
      <c r="Q2579" s="86"/>
    </row>
    <row r="2580" spans="1:17" ht="12.75" x14ac:dyDescent="0.2">
      <c r="A2580" s="81" t="s">
        <v>642</v>
      </c>
      <c r="B2580" s="81" t="s">
        <v>743</v>
      </c>
      <c r="C2580" s="81" t="s">
        <v>649</v>
      </c>
      <c r="D2580" s="82">
        <v>2018</v>
      </c>
      <c r="E2580" s="81" t="s">
        <v>650</v>
      </c>
      <c r="F2580" s="58">
        <v>861</v>
      </c>
      <c r="G2580" s="57">
        <v>24</v>
      </c>
      <c r="H2580" s="58">
        <v>24</v>
      </c>
      <c r="I2580" s="58">
        <v>0</v>
      </c>
      <c r="J2580" s="58">
        <v>591</v>
      </c>
      <c r="K2580" s="57">
        <v>12</v>
      </c>
      <c r="L2580" s="58">
        <v>12</v>
      </c>
      <c r="M2580" s="58">
        <v>0</v>
      </c>
      <c r="N2580" s="58">
        <v>673</v>
      </c>
      <c r="O2580" s="58">
        <v>15</v>
      </c>
      <c r="P2580" s="58">
        <v>1529</v>
      </c>
      <c r="Q2580" s="58">
        <v>291</v>
      </c>
    </row>
    <row r="2581" spans="1:17" ht="12.75" x14ac:dyDescent="0.2">
      <c r="A2581" s="81" t="s">
        <v>670</v>
      </c>
      <c r="B2581" s="81" t="s">
        <v>743</v>
      </c>
      <c r="C2581" s="81" t="s">
        <v>649</v>
      </c>
      <c r="D2581" s="82">
        <v>2018</v>
      </c>
      <c r="E2581" s="81" t="s">
        <v>650</v>
      </c>
      <c r="F2581" s="58">
        <v>288</v>
      </c>
      <c r="G2581" s="85"/>
      <c r="H2581" s="86"/>
      <c r="I2581" s="86"/>
      <c r="J2581" s="58">
        <v>201</v>
      </c>
      <c r="K2581" s="85"/>
      <c r="L2581" s="86"/>
      <c r="M2581" s="86"/>
      <c r="N2581" s="58">
        <v>241</v>
      </c>
      <c r="O2581" s="86"/>
      <c r="P2581" s="58">
        <v>555</v>
      </c>
      <c r="Q2581" s="86"/>
    </row>
    <row r="2582" spans="1:17" ht="12.75" x14ac:dyDescent="0.2">
      <c r="A2582" s="81" t="s">
        <v>686</v>
      </c>
      <c r="B2582" s="81" t="s">
        <v>743</v>
      </c>
      <c r="C2582" s="81" t="s">
        <v>649</v>
      </c>
      <c r="D2582" s="82">
        <v>2018</v>
      </c>
      <c r="E2582" s="81" t="s">
        <v>650</v>
      </c>
      <c r="F2582" s="58">
        <v>310</v>
      </c>
      <c r="G2582" s="57">
        <v>5</v>
      </c>
      <c r="H2582" s="58">
        <v>5</v>
      </c>
      <c r="I2582" s="58">
        <v>0</v>
      </c>
      <c r="J2582" s="58">
        <v>208</v>
      </c>
      <c r="K2582" s="57">
        <v>2</v>
      </c>
      <c r="L2582" s="58">
        <v>2</v>
      </c>
      <c r="M2582" s="58">
        <v>0</v>
      </c>
      <c r="N2582" s="58">
        <v>229</v>
      </c>
      <c r="O2582" s="58">
        <v>27</v>
      </c>
      <c r="P2582" s="58">
        <v>509</v>
      </c>
      <c r="Q2582" s="58">
        <v>174</v>
      </c>
    </row>
    <row r="2583" spans="1:17" ht="12.75" x14ac:dyDescent="0.2">
      <c r="A2583" s="81" t="s">
        <v>707</v>
      </c>
      <c r="B2583" s="81" t="s">
        <v>743</v>
      </c>
      <c r="C2583" s="81" t="s">
        <v>649</v>
      </c>
      <c r="D2583" s="82">
        <v>2018</v>
      </c>
      <c r="E2583" s="81" t="s">
        <v>650</v>
      </c>
      <c r="F2583" s="58">
        <v>47</v>
      </c>
      <c r="G2583" s="57">
        <v>3</v>
      </c>
      <c r="H2583" s="58">
        <v>3</v>
      </c>
      <c r="I2583" s="58">
        <v>0</v>
      </c>
      <c r="J2583" s="58">
        <v>32</v>
      </c>
      <c r="K2583" s="57">
        <v>0</v>
      </c>
      <c r="L2583" s="58">
        <v>0</v>
      </c>
      <c r="M2583" s="58">
        <v>0</v>
      </c>
      <c r="N2583" s="58">
        <v>36</v>
      </c>
      <c r="O2583" s="58">
        <v>47</v>
      </c>
      <c r="P2583" s="58">
        <v>77</v>
      </c>
      <c r="Q2583" s="58">
        <v>32</v>
      </c>
    </row>
    <row r="2584" spans="1:17" ht="12.75" x14ac:dyDescent="0.2">
      <c r="A2584" s="81" t="s">
        <v>726</v>
      </c>
      <c r="B2584" s="81" t="s">
        <v>743</v>
      </c>
      <c r="C2584" s="81" t="s">
        <v>649</v>
      </c>
      <c r="D2584" s="82">
        <v>2018</v>
      </c>
      <c r="E2584" s="81" t="s">
        <v>650</v>
      </c>
      <c r="F2584" s="58">
        <v>246</v>
      </c>
      <c r="G2584" s="57">
        <v>11</v>
      </c>
      <c r="H2584" s="58">
        <v>0</v>
      </c>
      <c r="I2584" s="58">
        <v>11</v>
      </c>
      <c r="J2584" s="58">
        <v>168</v>
      </c>
      <c r="K2584" s="57">
        <v>43</v>
      </c>
      <c r="L2584" s="58">
        <v>0</v>
      </c>
      <c r="M2584" s="58">
        <v>43</v>
      </c>
      <c r="N2584" s="58">
        <v>189</v>
      </c>
      <c r="O2584" s="58">
        <v>20</v>
      </c>
      <c r="P2584" s="58">
        <v>412</v>
      </c>
      <c r="Q2584" s="58">
        <v>38</v>
      </c>
    </row>
    <row r="2585" spans="1:17" ht="12.75" x14ac:dyDescent="0.2">
      <c r="A2585" s="85" t="s">
        <v>332</v>
      </c>
      <c r="B2585" s="85" t="s">
        <v>757</v>
      </c>
      <c r="C2585" s="85" t="s">
        <v>685</v>
      </c>
      <c r="D2585" s="56">
        <v>2013</v>
      </c>
      <c r="E2585" s="85" t="s">
        <v>650</v>
      </c>
      <c r="F2585" s="57">
        <v>248</v>
      </c>
      <c r="G2585" s="57">
        <v>0</v>
      </c>
      <c r="H2585" s="58">
        <v>0</v>
      </c>
      <c r="I2585" s="57">
        <v>0</v>
      </c>
      <c r="J2585" s="57">
        <v>174</v>
      </c>
      <c r="K2585" s="57">
        <v>3</v>
      </c>
      <c r="L2585" s="57">
        <v>0</v>
      </c>
      <c r="M2585" s="57">
        <v>3</v>
      </c>
      <c r="N2585" s="57">
        <v>198</v>
      </c>
      <c r="O2585" s="57">
        <v>13</v>
      </c>
      <c r="P2585" s="57">
        <v>446</v>
      </c>
      <c r="Q2585" s="58">
        <v>38</v>
      </c>
    </row>
    <row r="2586" spans="1:17" ht="12.75" x14ac:dyDescent="0.2">
      <c r="A2586" s="85" t="s">
        <v>332</v>
      </c>
      <c r="B2586" s="85" t="s">
        <v>757</v>
      </c>
      <c r="C2586" s="85" t="s">
        <v>685</v>
      </c>
      <c r="D2586" s="56">
        <v>2014</v>
      </c>
      <c r="E2586" s="85" t="s">
        <v>650</v>
      </c>
      <c r="F2586" s="57">
        <v>248</v>
      </c>
      <c r="G2586" s="57">
        <v>0</v>
      </c>
      <c r="H2586" s="58">
        <v>0</v>
      </c>
      <c r="I2586" s="57">
        <v>0</v>
      </c>
      <c r="J2586" s="57">
        <v>174</v>
      </c>
      <c r="K2586" s="57">
        <v>2</v>
      </c>
      <c r="L2586" s="57">
        <v>0</v>
      </c>
      <c r="M2586" s="57">
        <v>2</v>
      </c>
      <c r="N2586" s="57">
        <v>198</v>
      </c>
      <c r="O2586" s="57">
        <v>5</v>
      </c>
      <c r="P2586" s="57">
        <v>446</v>
      </c>
      <c r="Q2586" s="58">
        <v>6</v>
      </c>
    </row>
    <row r="2587" spans="1:17" ht="12.75" x14ac:dyDescent="0.2">
      <c r="A2587" s="85" t="s">
        <v>332</v>
      </c>
      <c r="B2587" s="85" t="s">
        <v>757</v>
      </c>
      <c r="C2587" s="85" t="s">
        <v>685</v>
      </c>
      <c r="D2587" s="56">
        <v>2015</v>
      </c>
      <c r="E2587" s="85" t="s">
        <v>650</v>
      </c>
      <c r="F2587" s="57">
        <v>248</v>
      </c>
      <c r="G2587" s="57">
        <v>0</v>
      </c>
      <c r="H2587" s="58">
        <v>0</v>
      </c>
      <c r="I2587" s="57">
        <v>0</v>
      </c>
      <c r="J2587" s="57">
        <v>174</v>
      </c>
      <c r="K2587" s="57">
        <v>8</v>
      </c>
      <c r="L2587" s="57">
        <v>0</v>
      </c>
      <c r="M2587" s="57">
        <v>8</v>
      </c>
      <c r="N2587" s="57">
        <v>198</v>
      </c>
      <c r="O2587" s="57">
        <v>3</v>
      </c>
      <c r="P2587" s="57">
        <v>446</v>
      </c>
      <c r="Q2587" s="58">
        <v>94</v>
      </c>
    </row>
    <row r="2588" spans="1:17" ht="12.75" x14ac:dyDescent="0.2">
      <c r="A2588" s="85" t="s">
        <v>332</v>
      </c>
      <c r="B2588" s="85" t="s">
        <v>757</v>
      </c>
      <c r="C2588" s="85" t="s">
        <v>685</v>
      </c>
      <c r="D2588" s="56">
        <v>2016</v>
      </c>
      <c r="E2588" s="85" t="s">
        <v>650</v>
      </c>
      <c r="F2588" s="57">
        <v>248</v>
      </c>
      <c r="G2588" s="57">
        <v>42</v>
      </c>
      <c r="H2588" s="58">
        <v>42</v>
      </c>
      <c r="I2588" s="57">
        <v>0</v>
      </c>
      <c r="J2588" s="57">
        <v>174</v>
      </c>
      <c r="K2588" s="57">
        <v>27</v>
      </c>
      <c r="L2588" s="57">
        <v>19</v>
      </c>
      <c r="M2588" s="57">
        <v>8</v>
      </c>
      <c r="N2588" s="57">
        <v>198</v>
      </c>
      <c r="O2588" s="57">
        <v>16</v>
      </c>
      <c r="P2588" s="57">
        <v>446</v>
      </c>
      <c r="Q2588" s="58">
        <v>183</v>
      </c>
    </row>
    <row r="2589" spans="1:17" ht="12.75" x14ac:dyDescent="0.2">
      <c r="A2589" s="85" t="s">
        <v>332</v>
      </c>
      <c r="B2589" s="85" t="s">
        <v>757</v>
      </c>
      <c r="C2589" s="85" t="s">
        <v>685</v>
      </c>
      <c r="D2589" s="56">
        <v>2017</v>
      </c>
      <c r="E2589" s="85" t="s">
        <v>650</v>
      </c>
      <c r="F2589" s="57">
        <v>248</v>
      </c>
      <c r="G2589" s="57">
        <v>1</v>
      </c>
      <c r="H2589" s="58">
        <v>1</v>
      </c>
      <c r="I2589" s="57">
        <v>0</v>
      </c>
      <c r="J2589" s="57">
        <v>174</v>
      </c>
      <c r="K2589" s="57">
        <v>10</v>
      </c>
      <c r="L2589" s="57">
        <v>10</v>
      </c>
      <c r="M2589" s="57">
        <v>0</v>
      </c>
      <c r="N2589" s="57">
        <v>198</v>
      </c>
      <c r="O2589" s="57">
        <v>15</v>
      </c>
      <c r="P2589" s="57">
        <v>446</v>
      </c>
      <c r="Q2589" s="58">
        <v>188</v>
      </c>
    </row>
    <row r="2590" spans="1:17" ht="12.75" x14ac:dyDescent="0.2">
      <c r="A2590" s="81" t="s">
        <v>737</v>
      </c>
      <c r="B2590" s="81" t="s">
        <v>757</v>
      </c>
      <c r="C2590" s="81" t="s">
        <v>685</v>
      </c>
      <c r="D2590" s="82">
        <v>2013</v>
      </c>
      <c r="E2590" s="81" t="s">
        <v>650</v>
      </c>
      <c r="F2590" s="58">
        <v>1316</v>
      </c>
      <c r="G2590" s="57">
        <v>69</v>
      </c>
      <c r="H2590" s="58">
        <v>69</v>
      </c>
      <c r="I2590" s="58">
        <v>0</v>
      </c>
      <c r="J2590" s="58">
        <v>923</v>
      </c>
      <c r="K2590" s="57">
        <v>0</v>
      </c>
      <c r="L2590" s="58">
        <v>0</v>
      </c>
      <c r="M2590" s="58">
        <v>0</v>
      </c>
      <c r="N2590" s="58">
        <v>1111</v>
      </c>
      <c r="O2590" s="58">
        <v>437</v>
      </c>
      <c r="P2590" s="58">
        <v>2627</v>
      </c>
      <c r="Q2590" s="58">
        <v>76</v>
      </c>
    </row>
    <row r="2591" spans="1:17" ht="12.75" x14ac:dyDescent="0.2">
      <c r="A2591" s="81" t="s">
        <v>737</v>
      </c>
      <c r="B2591" s="81" t="s">
        <v>757</v>
      </c>
      <c r="C2591" s="81" t="s">
        <v>685</v>
      </c>
      <c r="D2591" s="82">
        <v>2014</v>
      </c>
      <c r="E2591" s="81" t="s">
        <v>650</v>
      </c>
      <c r="F2591" s="58">
        <v>1316</v>
      </c>
      <c r="G2591" s="57">
        <v>0</v>
      </c>
      <c r="H2591" s="58">
        <v>0</v>
      </c>
      <c r="I2591" s="58">
        <v>0</v>
      </c>
      <c r="J2591" s="58">
        <v>923</v>
      </c>
      <c r="K2591" s="57">
        <v>0</v>
      </c>
      <c r="L2591" s="58">
        <v>0</v>
      </c>
      <c r="M2591" s="58">
        <v>0</v>
      </c>
      <c r="N2591" s="58">
        <v>1111</v>
      </c>
      <c r="O2591" s="58">
        <v>42</v>
      </c>
      <c r="P2591" s="58">
        <v>2627</v>
      </c>
      <c r="Q2591" s="58">
        <v>20</v>
      </c>
    </row>
    <row r="2592" spans="1:17" ht="12.75" x14ac:dyDescent="0.2">
      <c r="A2592" s="81" t="s">
        <v>737</v>
      </c>
      <c r="B2592" s="81" t="s">
        <v>757</v>
      </c>
      <c r="C2592" s="81" t="s">
        <v>685</v>
      </c>
      <c r="D2592" s="82">
        <v>2015</v>
      </c>
      <c r="E2592" s="81" t="s">
        <v>650</v>
      </c>
      <c r="F2592" s="58">
        <v>1316</v>
      </c>
      <c r="G2592" s="57">
        <v>58</v>
      </c>
      <c r="H2592" s="58">
        <v>58</v>
      </c>
      <c r="I2592" s="58">
        <v>0</v>
      </c>
      <c r="J2592" s="58">
        <v>923</v>
      </c>
      <c r="K2592" s="57">
        <v>18</v>
      </c>
      <c r="L2592" s="58">
        <v>18</v>
      </c>
      <c r="M2592" s="58">
        <v>0</v>
      </c>
      <c r="N2592" s="58">
        <v>1111</v>
      </c>
      <c r="O2592" s="58">
        <v>42</v>
      </c>
      <c r="P2592" s="58">
        <v>2627</v>
      </c>
      <c r="Q2592" s="58">
        <v>19</v>
      </c>
    </row>
    <row r="2593" spans="1:17" ht="12.75" x14ac:dyDescent="0.2">
      <c r="A2593" s="81" t="s">
        <v>737</v>
      </c>
      <c r="B2593" s="81" t="s">
        <v>757</v>
      </c>
      <c r="C2593" s="81" t="s">
        <v>685</v>
      </c>
      <c r="D2593" s="82">
        <v>2016</v>
      </c>
      <c r="E2593" s="81" t="s">
        <v>650</v>
      </c>
      <c r="F2593" s="58">
        <v>1316</v>
      </c>
      <c r="G2593" s="57">
        <v>0</v>
      </c>
      <c r="H2593" s="58">
        <v>0</v>
      </c>
      <c r="I2593" s="58">
        <v>0</v>
      </c>
      <c r="J2593" s="58">
        <v>923</v>
      </c>
      <c r="K2593" s="57">
        <v>0</v>
      </c>
      <c r="L2593" s="58">
        <v>0</v>
      </c>
      <c r="M2593" s="58">
        <v>0</v>
      </c>
      <c r="N2593" s="58">
        <v>1111</v>
      </c>
      <c r="O2593" s="58">
        <v>83</v>
      </c>
      <c r="P2593" s="58">
        <v>2627</v>
      </c>
      <c r="Q2593" s="58">
        <v>20</v>
      </c>
    </row>
    <row r="2594" spans="1:17" ht="12.75" x14ac:dyDescent="0.2">
      <c r="A2594" s="81" t="s">
        <v>737</v>
      </c>
      <c r="B2594" s="81" t="s">
        <v>757</v>
      </c>
      <c r="C2594" s="81" t="s">
        <v>685</v>
      </c>
      <c r="D2594" s="82">
        <v>2017</v>
      </c>
      <c r="E2594" s="81" t="s">
        <v>650</v>
      </c>
      <c r="F2594" s="58">
        <v>1316</v>
      </c>
      <c r="G2594" s="57">
        <v>0</v>
      </c>
      <c r="H2594" s="58">
        <v>0</v>
      </c>
      <c r="I2594" s="58">
        <v>0</v>
      </c>
      <c r="J2594" s="58">
        <v>923</v>
      </c>
      <c r="K2594" s="57">
        <v>0</v>
      </c>
      <c r="L2594" s="58">
        <v>0</v>
      </c>
      <c r="M2594" s="58">
        <v>0</v>
      </c>
      <c r="N2594" s="58">
        <v>1111</v>
      </c>
      <c r="O2594" s="58">
        <v>125</v>
      </c>
      <c r="P2594" s="58">
        <v>2627</v>
      </c>
      <c r="Q2594" s="58">
        <v>12</v>
      </c>
    </row>
    <row r="2595" spans="1:17" ht="12.75" x14ac:dyDescent="0.2">
      <c r="A2595" s="81" t="s">
        <v>745</v>
      </c>
      <c r="B2595" s="81" t="s">
        <v>757</v>
      </c>
      <c r="C2595" s="81" t="s">
        <v>685</v>
      </c>
      <c r="D2595" s="82">
        <v>2013</v>
      </c>
      <c r="E2595" s="81" t="s">
        <v>650</v>
      </c>
      <c r="F2595" s="58">
        <v>76</v>
      </c>
      <c r="G2595" s="57">
        <v>0</v>
      </c>
      <c r="H2595" s="58">
        <v>0</v>
      </c>
      <c r="I2595" s="58">
        <v>0</v>
      </c>
      <c r="J2595" s="58">
        <v>54</v>
      </c>
      <c r="K2595" s="57">
        <v>0</v>
      </c>
      <c r="L2595" s="58">
        <v>0</v>
      </c>
      <c r="M2595" s="58">
        <v>0</v>
      </c>
      <c r="N2595" s="58">
        <v>59</v>
      </c>
      <c r="O2595" s="58">
        <v>1</v>
      </c>
      <c r="P2595" s="58">
        <v>130</v>
      </c>
      <c r="Q2595" s="58">
        <v>0</v>
      </c>
    </row>
    <row r="2596" spans="1:17" ht="12.75" x14ac:dyDescent="0.2">
      <c r="A2596" s="81" t="s">
        <v>745</v>
      </c>
      <c r="B2596" s="81" t="s">
        <v>757</v>
      </c>
      <c r="C2596" s="81" t="s">
        <v>685</v>
      </c>
      <c r="D2596" s="82">
        <v>2014</v>
      </c>
      <c r="E2596" s="81" t="s">
        <v>650</v>
      </c>
      <c r="F2596" s="58">
        <v>76</v>
      </c>
      <c r="G2596" s="57">
        <v>0</v>
      </c>
      <c r="H2596" s="58">
        <v>0</v>
      </c>
      <c r="I2596" s="58">
        <v>0</v>
      </c>
      <c r="J2596" s="58">
        <v>54</v>
      </c>
      <c r="K2596" s="57">
        <v>0</v>
      </c>
      <c r="L2596" s="58">
        <v>0</v>
      </c>
      <c r="M2596" s="58">
        <v>0</v>
      </c>
      <c r="N2596" s="58">
        <v>59</v>
      </c>
      <c r="O2596" s="58">
        <v>0</v>
      </c>
      <c r="P2596" s="58">
        <v>130</v>
      </c>
      <c r="Q2596" s="58">
        <v>0</v>
      </c>
    </row>
    <row r="2597" spans="1:17" ht="12.75" x14ac:dyDescent="0.2">
      <c r="A2597" s="81" t="s">
        <v>745</v>
      </c>
      <c r="B2597" s="81" t="s">
        <v>757</v>
      </c>
      <c r="C2597" s="81" t="s">
        <v>685</v>
      </c>
      <c r="D2597" s="82">
        <v>2015</v>
      </c>
      <c r="E2597" s="81" t="s">
        <v>650</v>
      </c>
      <c r="F2597" s="58">
        <v>76</v>
      </c>
      <c r="G2597" s="57">
        <v>0</v>
      </c>
      <c r="H2597" s="58">
        <v>0</v>
      </c>
      <c r="I2597" s="58">
        <v>0</v>
      </c>
      <c r="J2597" s="58">
        <v>54</v>
      </c>
      <c r="K2597" s="57">
        <v>0</v>
      </c>
      <c r="L2597" s="58">
        <v>0</v>
      </c>
      <c r="M2597" s="58">
        <v>0</v>
      </c>
      <c r="N2597" s="58">
        <v>59</v>
      </c>
      <c r="O2597" s="58">
        <v>0</v>
      </c>
      <c r="P2597" s="58">
        <v>130</v>
      </c>
      <c r="Q2597" s="58">
        <v>32</v>
      </c>
    </row>
    <row r="2598" spans="1:17" ht="12.75" x14ac:dyDescent="0.2">
      <c r="A2598" s="81" t="s">
        <v>745</v>
      </c>
      <c r="B2598" s="81" t="s">
        <v>757</v>
      </c>
      <c r="C2598" s="81" t="s">
        <v>685</v>
      </c>
      <c r="D2598" s="82">
        <v>2016</v>
      </c>
      <c r="E2598" s="81" t="s">
        <v>650</v>
      </c>
      <c r="F2598" s="58">
        <v>76</v>
      </c>
      <c r="G2598" s="57">
        <v>0</v>
      </c>
      <c r="H2598" s="58">
        <v>0</v>
      </c>
      <c r="I2598" s="58">
        <v>0</v>
      </c>
      <c r="J2598" s="58">
        <v>54</v>
      </c>
      <c r="K2598" s="57">
        <v>0</v>
      </c>
      <c r="L2598" s="58">
        <v>0</v>
      </c>
      <c r="M2598" s="58">
        <v>0</v>
      </c>
      <c r="N2598" s="58">
        <v>59</v>
      </c>
      <c r="O2598" s="58">
        <v>7</v>
      </c>
      <c r="P2598" s="58">
        <v>130</v>
      </c>
      <c r="Q2598" s="58">
        <v>26</v>
      </c>
    </row>
    <row r="2599" spans="1:17" ht="12.75" x14ac:dyDescent="0.2">
      <c r="A2599" s="81" t="s">
        <v>745</v>
      </c>
      <c r="B2599" s="81" t="s">
        <v>757</v>
      </c>
      <c r="C2599" s="81" t="s">
        <v>685</v>
      </c>
      <c r="D2599" s="82">
        <v>2017</v>
      </c>
      <c r="E2599" s="81" t="s">
        <v>650</v>
      </c>
      <c r="F2599" s="58">
        <v>76</v>
      </c>
      <c r="G2599" s="57">
        <v>0</v>
      </c>
      <c r="H2599" s="58">
        <v>0</v>
      </c>
      <c r="I2599" s="58">
        <v>0</v>
      </c>
      <c r="J2599" s="58">
        <v>54</v>
      </c>
      <c r="K2599" s="57">
        <v>0</v>
      </c>
      <c r="L2599" s="58">
        <v>0</v>
      </c>
      <c r="M2599" s="58">
        <v>0</v>
      </c>
      <c r="N2599" s="58">
        <v>59</v>
      </c>
      <c r="O2599" s="58">
        <v>0</v>
      </c>
      <c r="P2599" s="58">
        <v>130</v>
      </c>
      <c r="Q2599" s="58">
        <v>11</v>
      </c>
    </row>
    <row r="2600" spans="1:17" ht="12.75" x14ac:dyDescent="0.2">
      <c r="A2600" s="81" t="s">
        <v>747</v>
      </c>
      <c r="B2600" s="81" t="s">
        <v>757</v>
      </c>
      <c r="C2600" s="81" t="s">
        <v>685</v>
      </c>
      <c r="D2600" s="82">
        <v>2013</v>
      </c>
      <c r="E2600" s="81" t="s">
        <v>650</v>
      </c>
      <c r="F2600" s="58">
        <v>390</v>
      </c>
      <c r="G2600" s="57">
        <v>46</v>
      </c>
      <c r="H2600" s="58">
        <v>46</v>
      </c>
      <c r="I2600" s="58">
        <v>0</v>
      </c>
      <c r="J2600" s="58">
        <v>274</v>
      </c>
      <c r="K2600" s="57">
        <v>16</v>
      </c>
      <c r="L2600" s="58">
        <v>16</v>
      </c>
      <c r="M2600" s="58">
        <v>0</v>
      </c>
      <c r="N2600" s="58">
        <v>349</v>
      </c>
      <c r="O2600" s="58">
        <v>1</v>
      </c>
      <c r="P2600" s="58">
        <v>864</v>
      </c>
      <c r="Q2600" s="58">
        <v>97</v>
      </c>
    </row>
    <row r="2601" spans="1:17" ht="12.75" x14ac:dyDescent="0.2">
      <c r="A2601" s="81" t="s">
        <v>747</v>
      </c>
      <c r="B2601" s="81" t="s">
        <v>757</v>
      </c>
      <c r="C2601" s="81" t="s">
        <v>685</v>
      </c>
      <c r="D2601" s="82">
        <v>2014</v>
      </c>
      <c r="E2601" s="81" t="s">
        <v>650</v>
      </c>
      <c r="F2601" s="58">
        <v>390</v>
      </c>
      <c r="G2601" s="57">
        <v>0</v>
      </c>
      <c r="H2601" s="58">
        <v>0</v>
      </c>
      <c r="I2601" s="58">
        <v>0</v>
      </c>
      <c r="J2601" s="58">
        <v>274</v>
      </c>
      <c r="K2601" s="57">
        <v>0</v>
      </c>
      <c r="L2601" s="58">
        <v>0</v>
      </c>
      <c r="M2601" s="58">
        <v>0</v>
      </c>
      <c r="N2601" s="58">
        <v>349</v>
      </c>
      <c r="O2601" s="58">
        <v>32</v>
      </c>
      <c r="P2601" s="58">
        <v>864</v>
      </c>
      <c r="Q2601" s="58">
        <v>96</v>
      </c>
    </row>
    <row r="2602" spans="1:17" ht="12.75" x14ac:dyDescent="0.2">
      <c r="A2602" s="81" t="s">
        <v>747</v>
      </c>
      <c r="B2602" s="81" t="s">
        <v>757</v>
      </c>
      <c r="C2602" s="81" t="s">
        <v>685</v>
      </c>
      <c r="D2602" s="82">
        <v>2015</v>
      </c>
      <c r="E2602" s="81" t="s">
        <v>650</v>
      </c>
      <c r="F2602" s="58">
        <v>390</v>
      </c>
      <c r="G2602" s="57">
        <v>0</v>
      </c>
      <c r="H2602" s="58">
        <v>0</v>
      </c>
      <c r="I2602" s="58">
        <v>0</v>
      </c>
      <c r="J2602" s="58">
        <v>274</v>
      </c>
      <c r="K2602" s="57">
        <v>1</v>
      </c>
      <c r="L2602" s="58">
        <v>1</v>
      </c>
      <c r="M2602" s="58">
        <v>0</v>
      </c>
      <c r="N2602" s="58">
        <v>349</v>
      </c>
      <c r="O2602" s="58">
        <v>37</v>
      </c>
      <c r="P2602" s="58">
        <v>864</v>
      </c>
      <c r="Q2602" s="58">
        <v>114</v>
      </c>
    </row>
    <row r="2603" spans="1:17" ht="12.75" x14ac:dyDescent="0.2">
      <c r="A2603" s="81" t="s">
        <v>747</v>
      </c>
      <c r="B2603" s="81" t="s">
        <v>757</v>
      </c>
      <c r="C2603" s="81" t="s">
        <v>685</v>
      </c>
      <c r="D2603" s="82">
        <v>2016</v>
      </c>
      <c r="E2603" s="81" t="s">
        <v>650</v>
      </c>
      <c r="F2603" s="58">
        <v>390</v>
      </c>
      <c r="G2603" s="57">
        <v>0</v>
      </c>
      <c r="H2603" s="58">
        <v>0</v>
      </c>
      <c r="I2603" s="58">
        <v>0</v>
      </c>
      <c r="J2603" s="58">
        <v>274</v>
      </c>
      <c r="K2603" s="57">
        <v>1</v>
      </c>
      <c r="L2603" s="58">
        <v>1</v>
      </c>
      <c r="M2603" s="58">
        <v>0</v>
      </c>
      <c r="N2603" s="58">
        <v>349</v>
      </c>
      <c r="O2603" s="58">
        <v>67</v>
      </c>
      <c r="P2603" s="58">
        <v>864</v>
      </c>
      <c r="Q2603" s="58">
        <v>199</v>
      </c>
    </row>
    <row r="2604" spans="1:17" ht="12.75" x14ac:dyDescent="0.2">
      <c r="A2604" s="81" t="s">
        <v>747</v>
      </c>
      <c r="B2604" s="81" t="s">
        <v>757</v>
      </c>
      <c r="C2604" s="81" t="s">
        <v>685</v>
      </c>
      <c r="D2604" s="82">
        <v>2017</v>
      </c>
      <c r="E2604" s="81" t="s">
        <v>650</v>
      </c>
      <c r="F2604" s="58">
        <v>390</v>
      </c>
      <c r="G2604" s="57">
        <v>79</v>
      </c>
      <c r="H2604" s="58">
        <v>79</v>
      </c>
      <c r="I2604" s="58">
        <v>0</v>
      </c>
      <c r="J2604" s="58">
        <v>274</v>
      </c>
      <c r="K2604" s="57">
        <v>0</v>
      </c>
      <c r="L2604" s="58">
        <v>0</v>
      </c>
      <c r="M2604" s="58">
        <v>0</v>
      </c>
      <c r="N2604" s="58">
        <v>349</v>
      </c>
      <c r="O2604" s="58">
        <v>32</v>
      </c>
      <c r="P2604" s="58">
        <v>864</v>
      </c>
      <c r="Q2604" s="58">
        <v>99</v>
      </c>
    </row>
    <row r="2605" spans="1:17" ht="12.75" x14ac:dyDescent="0.2">
      <c r="A2605" s="81" t="s">
        <v>749</v>
      </c>
      <c r="B2605" s="81" t="s">
        <v>757</v>
      </c>
      <c r="C2605" s="81" t="s">
        <v>685</v>
      </c>
      <c r="D2605" s="82">
        <v>2014</v>
      </c>
      <c r="E2605" s="81" t="s">
        <v>650</v>
      </c>
      <c r="F2605" s="58">
        <v>427</v>
      </c>
      <c r="G2605" s="57">
        <v>6</v>
      </c>
      <c r="H2605" s="58">
        <v>6</v>
      </c>
      <c r="I2605" s="58">
        <v>0</v>
      </c>
      <c r="J2605" s="58">
        <v>299</v>
      </c>
      <c r="K2605" s="57">
        <v>3</v>
      </c>
      <c r="L2605" s="58">
        <v>3</v>
      </c>
      <c r="M2605" s="58">
        <v>0</v>
      </c>
      <c r="N2605" s="58">
        <v>351</v>
      </c>
      <c r="O2605" s="58">
        <v>4</v>
      </c>
      <c r="P2605" s="58">
        <v>813</v>
      </c>
      <c r="Q2605" s="58">
        <v>10</v>
      </c>
    </row>
    <row r="2606" spans="1:17" ht="12.75" x14ac:dyDescent="0.2">
      <c r="A2606" s="81" t="s">
        <v>749</v>
      </c>
      <c r="B2606" s="81" t="s">
        <v>757</v>
      </c>
      <c r="C2606" s="81" t="s">
        <v>685</v>
      </c>
      <c r="D2606" s="82">
        <v>2015</v>
      </c>
      <c r="E2606" s="81" t="s">
        <v>650</v>
      </c>
      <c r="F2606" s="58">
        <v>427</v>
      </c>
      <c r="G2606" s="57">
        <v>0</v>
      </c>
      <c r="H2606" s="58">
        <v>0</v>
      </c>
      <c r="I2606" s="58">
        <v>0</v>
      </c>
      <c r="J2606" s="58">
        <v>299</v>
      </c>
      <c r="K2606" s="57">
        <v>1</v>
      </c>
      <c r="L2606" s="58">
        <v>0</v>
      </c>
      <c r="M2606" s="58">
        <v>1</v>
      </c>
      <c r="N2606" s="58">
        <v>351</v>
      </c>
      <c r="O2606" s="58">
        <v>2</v>
      </c>
      <c r="P2606" s="58">
        <v>813</v>
      </c>
      <c r="Q2606" s="58">
        <v>8</v>
      </c>
    </row>
    <row r="2607" spans="1:17" ht="12.75" x14ac:dyDescent="0.2">
      <c r="A2607" s="81" t="s">
        <v>749</v>
      </c>
      <c r="B2607" s="81" t="s">
        <v>757</v>
      </c>
      <c r="C2607" s="81" t="s">
        <v>685</v>
      </c>
      <c r="D2607" s="82">
        <v>2016</v>
      </c>
      <c r="E2607" s="81" t="s">
        <v>650</v>
      </c>
      <c r="F2607" s="58">
        <v>427</v>
      </c>
      <c r="G2607" s="57">
        <v>40</v>
      </c>
      <c r="H2607" s="58">
        <v>40</v>
      </c>
      <c r="I2607" s="58">
        <v>0</v>
      </c>
      <c r="J2607" s="58">
        <v>299</v>
      </c>
      <c r="K2607" s="57">
        <v>4</v>
      </c>
      <c r="L2607" s="58">
        <v>0</v>
      </c>
      <c r="M2607" s="58">
        <v>4</v>
      </c>
      <c r="N2607" s="58">
        <v>351</v>
      </c>
      <c r="O2607" s="58">
        <v>7</v>
      </c>
      <c r="P2607" s="58">
        <v>813</v>
      </c>
      <c r="Q2607" s="58">
        <v>3</v>
      </c>
    </row>
    <row r="2608" spans="1:17" ht="12.75" x14ac:dyDescent="0.2">
      <c r="A2608" s="81" t="s">
        <v>749</v>
      </c>
      <c r="B2608" s="81" t="s">
        <v>757</v>
      </c>
      <c r="C2608" s="81" t="s">
        <v>685</v>
      </c>
      <c r="D2608" s="82">
        <v>2017</v>
      </c>
      <c r="E2608" s="81" t="s">
        <v>650</v>
      </c>
      <c r="F2608" s="58">
        <v>427</v>
      </c>
      <c r="G2608" s="57">
        <v>3</v>
      </c>
      <c r="H2608" s="58">
        <v>0</v>
      </c>
      <c r="I2608" s="58">
        <v>3</v>
      </c>
      <c r="J2608" s="58">
        <v>299</v>
      </c>
      <c r="K2608" s="57">
        <v>4</v>
      </c>
      <c r="L2608" s="58">
        <v>0</v>
      </c>
      <c r="M2608" s="58">
        <v>4</v>
      </c>
      <c r="N2608" s="58">
        <v>351</v>
      </c>
      <c r="O2608" s="58">
        <v>3</v>
      </c>
      <c r="P2608" s="58">
        <v>813</v>
      </c>
      <c r="Q2608" s="58">
        <v>0</v>
      </c>
    </row>
    <row r="2609" spans="1:17" ht="12.75" x14ac:dyDescent="0.2">
      <c r="A2609" s="81" t="s">
        <v>332</v>
      </c>
      <c r="B2609" s="81" t="s">
        <v>757</v>
      </c>
      <c r="C2609" s="81" t="s">
        <v>685</v>
      </c>
      <c r="D2609" s="82">
        <v>2018</v>
      </c>
      <c r="E2609" s="81" t="s">
        <v>650</v>
      </c>
      <c r="F2609" s="58">
        <v>248</v>
      </c>
      <c r="G2609" s="57">
        <v>58</v>
      </c>
      <c r="H2609" s="58">
        <v>58</v>
      </c>
      <c r="I2609" s="58">
        <v>0</v>
      </c>
      <c r="J2609" s="58">
        <v>174</v>
      </c>
      <c r="K2609" s="57">
        <v>32</v>
      </c>
      <c r="L2609" s="58">
        <v>32</v>
      </c>
      <c r="M2609" s="58">
        <v>0</v>
      </c>
      <c r="N2609" s="58">
        <v>198</v>
      </c>
      <c r="O2609" s="58">
        <v>16</v>
      </c>
      <c r="P2609" s="58">
        <v>446</v>
      </c>
      <c r="Q2609" s="58">
        <v>263</v>
      </c>
    </row>
    <row r="2610" spans="1:17" ht="12.75" x14ac:dyDescent="0.2">
      <c r="A2610" s="81" t="s">
        <v>737</v>
      </c>
      <c r="B2610" s="81" t="s">
        <v>757</v>
      </c>
      <c r="C2610" s="81" t="s">
        <v>685</v>
      </c>
      <c r="D2610" s="82">
        <v>2018</v>
      </c>
      <c r="E2610" s="81" t="s">
        <v>650</v>
      </c>
      <c r="F2610" s="58">
        <v>1316</v>
      </c>
      <c r="G2610" s="57">
        <v>0</v>
      </c>
      <c r="H2610" s="58">
        <v>0</v>
      </c>
      <c r="I2610" s="58">
        <v>0</v>
      </c>
      <c r="J2610" s="58">
        <v>923</v>
      </c>
      <c r="K2610" s="57">
        <v>4</v>
      </c>
      <c r="L2610" s="58">
        <v>0</v>
      </c>
      <c r="M2610" s="58">
        <v>4</v>
      </c>
      <c r="N2610" s="58">
        <v>1111</v>
      </c>
      <c r="O2610" s="58">
        <v>106</v>
      </c>
      <c r="P2610" s="58">
        <v>2627</v>
      </c>
      <c r="Q2610" s="58">
        <v>44</v>
      </c>
    </row>
    <row r="2611" spans="1:17" ht="12.75" x14ac:dyDescent="0.2">
      <c r="A2611" s="81" t="s">
        <v>745</v>
      </c>
      <c r="B2611" s="81" t="s">
        <v>757</v>
      </c>
      <c r="C2611" s="81" t="s">
        <v>685</v>
      </c>
      <c r="D2611" s="82">
        <v>2018</v>
      </c>
      <c r="E2611" s="81" t="s">
        <v>650</v>
      </c>
      <c r="F2611" s="58">
        <v>76</v>
      </c>
      <c r="G2611" s="57">
        <v>0</v>
      </c>
      <c r="H2611" s="58">
        <v>0</v>
      </c>
      <c r="I2611" s="58">
        <v>0</v>
      </c>
      <c r="J2611" s="58">
        <v>54</v>
      </c>
      <c r="K2611" s="57">
        <v>0</v>
      </c>
      <c r="L2611" s="58">
        <v>0</v>
      </c>
      <c r="M2611" s="58">
        <v>0</v>
      </c>
      <c r="N2611" s="58">
        <v>59</v>
      </c>
      <c r="O2611" s="58">
        <v>0</v>
      </c>
      <c r="P2611" s="58">
        <v>130</v>
      </c>
      <c r="Q2611" s="58">
        <v>36</v>
      </c>
    </row>
    <row r="2612" spans="1:17" ht="12.75" x14ac:dyDescent="0.2">
      <c r="A2612" s="81" t="s">
        <v>747</v>
      </c>
      <c r="B2612" s="81" t="s">
        <v>757</v>
      </c>
      <c r="C2612" s="81" t="s">
        <v>685</v>
      </c>
      <c r="D2612" s="82">
        <v>2018</v>
      </c>
      <c r="E2612" s="81" t="s">
        <v>650</v>
      </c>
      <c r="F2612" s="58">
        <v>390</v>
      </c>
      <c r="G2612" s="57">
        <v>0</v>
      </c>
      <c r="H2612" s="58">
        <v>0</v>
      </c>
      <c r="I2612" s="58">
        <v>0</v>
      </c>
      <c r="J2612" s="58">
        <v>274</v>
      </c>
      <c r="K2612" s="57">
        <v>39</v>
      </c>
      <c r="L2612" s="58">
        <v>39</v>
      </c>
      <c r="M2612" s="58">
        <v>0</v>
      </c>
      <c r="N2612" s="58">
        <v>349</v>
      </c>
      <c r="O2612" s="58">
        <v>38</v>
      </c>
      <c r="P2612" s="58">
        <v>864</v>
      </c>
      <c r="Q2612" s="58">
        <v>174</v>
      </c>
    </row>
    <row r="2613" spans="1:17" ht="12.75" x14ac:dyDescent="0.2">
      <c r="A2613" s="81" t="s">
        <v>749</v>
      </c>
      <c r="B2613" s="81" t="s">
        <v>757</v>
      </c>
      <c r="C2613" s="81" t="s">
        <v>685</v>
      </c>
      <c r="D2613" s="82">
        <v>2018</v>
      </c>
      <c r="E2613" s="81" t="s">
        <v>650</v>
      </c>
      <c r="F2613" s="58">
        <v>427</v>
      </c>
      <c r="G2613" s="57">
        <v>2</v>
      </c>
      <c r="H2613" s="58">
        <v>0</v>
      </c>
      <c r="I2613" s="58">
        <v>2</v>
      </c>
      <c r="J2613" s="58">
        <v>299</v>
      </c>
      <c r="K2613" s="57">
        <v>1</v>
      </c>
      <c r="L2613" s="58">
        <v>0</v>
      </c>
      <c r="M2613" s="58">
        <v>1</v>
      </c>
      <c r="N2613" s="58">
        <v>351</v>
      </c>
      <c r="O2613" s="58">
        <v>8</v>
      </c>
      <c r="P2613" s="58">
        <v>813</v>
      </c>
      <c r="Q2613" s="58">
        <v>4</v>
      </c>
    </row>
    <row r="2614" spans="1:17" ht="12.75" x14ac:dyDescent="0.2">
      <c r="A2614" s="85" t="s">
        <v>536</v>
      </c>
      <c r="B2614" s="85" t="s">
        <v>759</v>
      </c>
      <c r="C2614" s="85" t="s">
        <v>685</v>
      </c>
      <c r="D2614" s="56">
        <v>2017</v>
      </c>
      <c r="E2614" s="85" t="s">
        <v>650</v>
      </c>
      <c r="F2614" s="57">
        <v>12</v>
      </c>
      <c r="G2614" s="57">
        <v>0</v>
      </c>
      <c r="H2614" s="58">
        <v>0</v>
      </c>
      <c r="I2614" s="57">
        <v>0</v>
      </c>
      <c r="J2614" s="57">
        <v>8</v>
      </c>
      <c r="K2614" s="57">
        <v>0</v>
      </c>
      <c r="L2614" s="57">
        <v>0</v>
      </c>
      <c r="M2614" s="57">
        <v>0</v>
      </c>
      <c r="N2614" s="57">
        <v>13</v>
      </c>
      <c r="O2614" s="57">
        <v>0</v>
      </c>
      <c r="P2614" s="57">
        <v>39</v>
      </c>
      <c r="Q2614" s="58">
        <v>1</v>
      </c>
    </row>
    <row r="2615" spans="1:17" ht="12.75" x14ac:dyDescent="0.2">
      <c r="A2615" s="81" t="s">
        <v>739</v>
      </c>
      <c r="B2615" s="81" t="s">
        <v>759</v>
      </c>
      <c r="C2615" s="81" t="s">
        <v>685</v>
      </c>
      <c r="D2615" s="82">
        <v>2017</v>
      </c>
      <c r="E2615" s="81" t="s">
        <v>650</v>
      </c>
      <c r="F2615" s="58">
        <v>109</v>
      </c>
      <c r="G2615" s="57">
        <v>0</v>
      </c>
      <c r="H2615" s="58">
        <v>0</v>
      </c>
      <c r="I2615" s="58">
        <v>0</v>
      </c>
      <c r="J2615" s="58">
        <v>76</v>
      </c>
      <c r="K2615" s="57">
        <v>0</v>
      </c>
      <c r="L2615" s="58">
        <v>0</v>
      </c>
      <c r="M2615" s="58">
        <v>0</v>
      </c>
      <c r="N2615" s="58">
        <v>90</v>
      </c>
      <c r="O2615" s="58">
        <v>0</v>
      </c>
      <c r="P2615" s="58">
        <v>208</v>
      </c>
      <c r="Q2615" s="58">
        <v>0</v>
      </c>
    </row>
    <row r="2616" spans="1:17" ht="12.75" x14ac:dyDescent="0.2">
      <c r="A2616" s="81" t="s">
        <v>754</v>
      </c>
      <c r="B2616" s="81" t="s">
        <v>759</v>
      </c>
      <c r="C2616" s="81" t="s">
        <v>685</v>
      </c>
      <c r="D2616" s="82">
        <v>2013</v>
      </c>
      <c r="E2616" s="81" t="s">
        <v>650</v>
      </c>
      <c r="F2616" s="58">
        <v>1036</v>
      </c>
      <c r="G2616" s="57">
        <v>0</v>
      </c>
      <c r="H2616" s="58">
        <v>0</v>
      </c>
      <c r="I2616" s="58">
        <v>0</v>
      </c>
      <c r="J2616" s="58">
        <v>727</v>
      </c>
      <c r="K2616" s="57">
        <v>0</v>
      </c>
      <c r="L2616" s="58">
        <v>0</v>
      </c>
      <c r="M2616" s="58">
        <v>0</v>
      </c>
      <c r="N2616" s="58">
        <v>870</v>
      </c>
      <c r="O2616" s="58">
        <v>1</v>
      </c>
      <c r="P2616" s="58">
        <v>2043</v>
      </c>
      <c r="Q2616" s="58">
        <v>85</v>
      </c>
    </row>
    <row r="2617" spans="1:17" ht="12.75" x14ac:dyDescent="0.2">
      <c r="A2617" s="81" t="s">
        <v>536</v>
      </c>
      <c r="B2617" s="81" t="s">
        <v>759</v>
      </c>
      <c r="C2617" s="81" t="s">
        <v>685</v>
      </c>
      <c r="D2617" s="82">
        <v>2018</v>
      </c>
      <c r="E2617" s="81" t="s">
        <v>650</v>
      </c>
      <c r="F2617" s="58">
        <v>12</v>
      </c>
      <c r="G2617" s="57">
        <v>0</v>
      </c>
      <c r="H2617" s="58">
        <v>0</v>
      </c>
      <c r="I2617" s="58">
        <v>0</v>
      </c>
      <c r="J2617" s="58">
        <v>8</v>
      </c>
      <c r="K2617" s="57">
        <v>0</v>
      </c>
      <c r="L2617" s="58">
        <v>0</v>
      </c>
      <c r="M2617" s="58">
        <v>0</v>
      </c>
      <c r="N2617" s="58">
        <v>13</v>
      </c>
      <c r="O2617" s="58">
        <v>0</v>
      </c>
      <c r="P2617" s="58">
        <v>39</v>
      </c>
      <c r="Q2617" s="58">
        <v>4</v>
      </c>
    </row>
    <row r="2618" spans="1:17" ht="12.75" x14ac:dyDescent="0.2">
      <c r="A2618" s="268"/>
      <c r="B2618" s="268"/>
      <c r="C2618" s="269"/>
      <c r="D2618" s="270"/>
      <c r="E2618" s="271"/>
      <c r="F2618" s="270"/>
      <c r="G2618" s="270"/>
      <c r="H2618" s="270"/>
      <c r="I2618" s="271"/>
      <c r="J2618" s="270"/>
      <c r="K2618" s="270"/>
      <c r="L2618" s="270"/>
      <c r="M2618" s="270"/>
      <c r="N2618" s="270"/>
      <c r="O2618" s="270"/>
      <c r="P2618" s="270"/>
      <c r="Q2618" s="270"/>
    </row>
    <row r="2619" spans="1:17" ht="12.75" x14ac:dyDescent="0.2">
      <c r="A2619" s="85"/>
      <c r="B2619" s="85"/>
      <c r="C2619" s="56"/>
      <c r="D2619" s="57"/>
      <c r="E2619" s="57"/>
      <c r="F2619" s="57"/>
      <c r="G2619" s="57"/>
      <c r="H2619" s="57"/>
      <c r="I2619" s="57"/>
      <c r="J2619" s="57"/>
      <c r="K2619" s="57"/>
      <c r="L2619" s="57"/>
      <c r="M2619" s="57"/>
      <c r="N2619" s="57"/>
      <c r="O2619" s="58"/>
      <c r="P2619" s="58"/>
      <c r="Q2619" s="58"/>
    </row>
    <row r="2620" spans="1:17" ht="12.75" x14ac:dyDescent="0.2">
      <c r="A2620" s="85"/>
      <c r="B2620" s="85"/>
      <c r="C2620" s="56"/>
      <c r="D2620" s="57">
        <f t="shared" ref="D2620:Q2620" si="31">SUM(D2563:D2619)</f>
        <v>110882</v>
      </c>
      <c r="E2620" s="89">
        <f t="shared" si="31"/>
        <v>0</v>
      </c>
      <c r="F2620" s="57">
        <f t="shared" si="31"/>
        <v>22453</v>
      </c>
      <c r="G2620" s="57">
        <f t="shared" si="31"/>
        <v>609</v>
      </c>
      <c r="H2620" s="57">
        <f t="shared" si="31"/>
        <v>530</v>
      </c>
      <c r="I2620" s="89">
        <f t="shared" si="31"/>
        <v>79</v>
      </c>
      <c r="J2620" s="57">
        <f t="shared" si="31"/>
        <v>15621</v>
      </c>
      <c r="K2620" s="57">
        <f t="shared" si="31"/>
        <v>548</v>
      </c>
      <c r="L2620" s="57">
        <f t="shared" si="31"/>
        <v>395</v>
      </c>
      <c r="M2620" s="89">
        <f t="shared" si="31"/>
        <v>153</v>
      </c>
      <c r="N2620" s="57">
        <f t="shared" si="31"/>
        <v>18446</v>
      </c>
      <c r="O2620" s="57">
        <f t="shared" si="31"/>
        <v>1649</v>
      </c>
      <c r="P2620" s="57">
        <f t="shared" si="31"/>
        <v>42897</v>
      </c>
      <c r="Q2620" s="89">
        <f t="shared" si="31"/>
        <v>3575</v>
      </c>
    </row>
    <row r="2621" spans="1:17" ht="12.75" x14ac:dyDescent="0.2">
      <c r="A2621" s="85"/>
      <c r="B2621" s="85"/>
      <c r="C2621" s="56"/>
      <c r="D2621" s="57">
        <f t="shared" ref="D2621:Q2621" si="32">SUM(D2565:D2620)</f>
        <v>217733</v>
      </c>
      <c r="E2621" s="89">
        <f t="shared" si="32"/>
        <v>0</v>
      </c>
      <c r="F2621" s="57">
        <f t="shared" si="32"/>
        <v>44308</v>
      </c>
      <c r="G2621" s="57">
        <f t="shared" si="32"/>
        <v>1218</v>
      </c>
      <c r="H2621" s="57">
        <f t="shared" si="32"/>
        <v>1060</v>
      </c>
      <c r="I2621" s="89">
        <f t="shared" si="32"/>
        <v>158</v>
      </c>
      <c r="J2621" s="57">
        <f t="shared" si="32"/>
        <v>30833</v>
      </c>
      <c r="K2621" s="57">
        <f t="shared" si="32"/>
        <v>1086</v>
      </c>
      <c r="L2621" s="57">
        <f t="shared" si="32"/>
        <v>780</v>
      </c>
      <c r="M2621" s="57">
        <f t="shared" si="32"/>
        <v>306</v>
      </c>
      <c r="N2621" s="57">
        <f t="shared" si="32"/>
        <v>36422</v>
      </c>
      <c r="O2621" s="57">
        <f t="shared" si="32"/>
        <v>3292</v>
      </c>
      <c r="P2621" s="57">
        <f t="shared" si="32"/>
        <v>84730</v>
      </c>
      <c r="Q2621" s="89">
        <f t="shared" si="32"/>
        <v>7107</v>
      </c>
    </row>
    <row r="2622" spans="1:17" ht="12.75" x14ac:dyDescent="0.2">
      <c r="A2622" s="85"/>
      <c r="B2622" s="85"/>
      <c r="C2622" s="56"/>
      <c r="D2622" s="57">
        <f t="shared" ref="D2622:Q2622" si="33">SUM(D2564:D2621)</f>
        <v>437480</v>
      </c>
      <c r="E2622" s="89">
        <f t="shared" si="33"/>
        <v>0</v>
      </c>
      <c r="F2622" s="57">
        <f t="shared" si="33"/>
        <v>88926</v>
      </c>
      <c r="G2622" s="57">
        <f t="shared" si="33"/>
        <v>2436</v>
      </c>
      <c r="H2622" s="57">
        <f t="shared" si="33"/>
        <v>2120</v>
      </c>
      <c r="I2622" s="89">
        <f t="shared" si="33"/>
        <v>316</v>
      </c>
      <c r="J2622" s="57">
        <f t="shared" si="33"/>
        <v>61874</v>
      </c>
      <c r="K2622" s="57">
        <f t="shared" si="33"/>
        <v>2172</v>
      </c>
      <c r="L2622" s="57">
        <f t="shared" si="33"/>
        <v>1560</v>
      </c>
      <c r="M2622" s="89">
        <f t="shared" si="33"/>
        <v>612</v>
      </c>
      <c r="N2622" s="57">
        <f t="shared" si="33"/>
        <v>73073</v>
      </c>
      <c r="O2622" s="57">
        <f t="shared" si="33"/>
        <v>6584</v>
      </c>
      <c r="P2622" s="57">
        <f t="shared" si="33"/>
        <v>169969</v>
      </c>
      <c r="Q2622" s="89">
        <f t="shared" si="33"/>
        <v>14256</v>
      </c>
    </row>
    <row r="2623" spans="1:17" ht="12.75" x14ac:dyDescent="0.2">
      <c r="A2623" s="81"/>
      <c r="B2623" s="81"/>
      <c r="C2623" s="185"/>
      <c r="D2623" s="58">
        <f t="shared" ref="D2623:Q2623" si="34">SUM(D2555:D2622)</f>
        <v>893104</v>
      </c>
      <c r="E2623" s="90">
        <f t="shared" si="34"/>
        <v>0</v>
      </c>
      <c r="F2623" s="58">
        <f t="shared" si="34"/>
        <v>186649</v>
      </c>
      <c r="G2623" s="58">
        <f t="shared" si="34"/>
        <v>5065</v>
      </c>
      <c r="H2623" s="58">
        <f t="shared" si="34"/>
        <v>4433</v>
      </c>
      <c r="I2623" s="90">
        <f t="shared" si="34"/>
        <v>632</v>
      </c>
      <c r="J2623" s="58">
        <f t="shared" si="34"/>
        <v>129794</v>
      </c>
      <c r="K2623" s="58">
        <f t="shared" si="34"/>
        <v>4841</v>
      </c>
      <c r="L2623" s="58">
        <f t="shared" si="34"/>
        <v>3528</v>
      </c>
      <c r="M2623" s="90">
        <f t="shared" si="34"/>
        <v>1313</v>
      </c>
      <c r="N2623" s="58">
        <f t="shared" si="34"/>
        <v>153132</v>
      </c>
      <c r="O2623" s="58">
        <f t="shared" si="34"/>
        <v>13609</v>
      </c>
      <c r="P2623" s="58">
        <f t="shared" si="34"/>
        <v>355915</v>
      </c>
      <c r="Q2623" s="90">
        <f t="shared" si="34"/>
        <v>29749</v>
      </c>
    </row>
    <row r="2624" spans="1:17" ht="12.75" x14ac:dyDescent="0.2">
      <c r="A2624" s="86"/>
      <c r="B2624" s="86"/>
      <c r="C2624" s="86"/>
      <c r="D2624" s="185"/>
      <c r="E2624" s="86"/>
      <c r="F2624" s="58">
        <v>58</v>
      </c>
      <c r="G2624" s="86"/>
      <c r="H2624" s="86"/>
      <c r="I2624" s="86"/>
      <c r="J2624" s="86"/>
      <c r="K2624" s="86"/>
      <c r="L2624" s="86"/>
      <c r="M2624" s="86"/>
      <c r="N2624" s="86"/>
      <c r="O2624" s="86"/>
      <c r="P2624" s="86"/>
      <c r="Q2624" s="86"/>
    </row>
    <row r="2625" spans="1:17" ht="12.75" x14ac:dyDescent="0.2">
      <c r="A2625" s="86"/>
      <c r="B2625" s="86"/>
      <c r="C2625" s="86"/>
      <c r="D2625" s="185"/>
      <c r="E2625" s="86"/>
      <c r="F2625" s="86"/>
      <c r="G2625" s="86"/>
      <c r="H2625" s="86"/>
      <c r="I2625" s="86"/>
      <c r="J2625" s="86"/>
      <c r="K2625" s="86"/>
      <c r="L2625" s="86"/>
      <c r="M2625" s="86"/>
      <c r="N2625" s="86"/>
      <c r="O2625" s="86"/>
      <c r="P2625" s="86"/>
      <c r="Q2625" s="86"/>
    </row>
    <row r="2626" spans="1:17" ht="12.75" x14ac:dyDescent="0.2">
      <c r="A2626" s="86"/>
      <c r="B2626" s="86"/>
      <c r="C2626" s="86"/>
      <c r="D2626" s="185"/>
      <c r="E2626" s="86"/>
      <c r="F2626" s="86"/>
      <c r="G2626" s="86"/>
      <c r="H2626" s="86"/>
      <c r="I2626" s="86"/>
      <c r="J2626" s="86"/>
      <c r="K2626" s="86"/>
      <c r="L2626" s="86"/>
      <c r="M2626" s="86"/>
      <c r="N2626" s="86"/>
      <c r="O2626" s="86"/>
      <c r="P2626" s="86"/>
      <c r="Q2626" s="86"/>
    </row>
  </sheetData>
  <sheetProtection algorithmName="SHA-512" hashValue="a+oJyKtv+62S7JMCn7FHr5lBCt2cNBcMFTRw+kCUHZBSxlSJAoqAMBi+IYCiLAa6ptzVEl0mx3DvHuhoAMyBnw==" saltValue="CbVkYRjxLiVxEjCX4FKQHQ==" spinCount="100000" sheet="1" objects="1" scenarios="1"/>
  <sortState xmlns:xlrd2="http://schemas.microsoft.com/office/spreadsheetml/2017/richdata2" ref="A4:Q2623">
    <sortCondition ref="B4:B2623"/>
  </sortState>
  <mergeCells count="1">
    <mergeCell ref="A1:L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outlinePr summaryBelow="0" summaryRight="0"/>
  </sheetPr>
  <dimension ref="A1:AD999"/>
  <sheetViews>
    <sheetView workbookViewId="0">
      <selection activeCell="AG6" sqref="AG6"/>
    </sheetView>
  </sheetViews>
  <sheetFormatPr defaultColWidth="14.42578125" defaultRowHeight="15.75" customHeight="1" x14ac:dyDescent="0.2"/>
  <cols>
    <col min="1" max="1" width="21.42578125" customWidth="1"/>
    <col min="30" max="30" width="13.85546875" customWidth="1"/>
  </cols>
  <sheetData>
    <row r="1" spans="1:30" ht="86.25" customHeight="1" x14ac:dyDescent="0.2">
      <c r="A1" s="342" t="s">
        <v>147</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row>
    <row r="2" spans="1:30" ht="25.5" x14ac:dyDescent="0.2">
      <c r="A2" s="62" t="s">
        <v>127</v>
      </c>
      <c r="B2" s="63" t="s">
        <v>149</v>
      </c>
      <c r="C2" s="63" t="s">
        <v>150</v>
      </c>
      <c r="D2" s="63" t="s">
        <v>151</v>
      </c>
      <c r="E2" s="63" t="s">
        <v>152</v>
      </c>
      <c r="F2" s="63" t="s">
        <v>153</v>
      </c>
      <c r="G2" s="64" t="s">
        <v>154</v>
      </c>
      <c r="H2" s="63" t="s">
        <v>155</v>
      </c>
      <c r="I2" s="63" t="s">
        <v>156</v>
      </c>
      <c r="J2" s="65" t="s">
        <v>158</v>
      </c>
      <c r="K2" s="65" t="s">
        <v>159</v>
      </c>
      <c r="L2" s="65" t="s">
        <v>160</v>
      </c>
      <c r="M2" s="65" t="s">
        <v>161</v>
      </c>
      <c r="N2" s="65" t="s">
        <v>162</v>
      </c>
      <c r="O2" s="65" t="s">
        <v>163</v>
      </c>
      <c r="P2" s="65" t="s">
        <v>164</v>
      </c>
      <c r="Q2" s="66" t="s">
        <v>165</v>
      </c>
      <c r="R2" s="66" t="s">
        <v>166</v>
      </c>
      <c r="S2" s="67" t="s">
        <v>167</v>
      </c>
      <c r="T2" s="67" t="s">
        <v>169</v>
      </c>
      <c r="U2" s="67" t="s">
        <v>170</v>
      </c>
      <c r="V2" s="68" t="s">
        <v>172</v>
      </c>
      <c r="W2" s="69" t="s">
        <v>173</v>
      </c>
      <c r="X2" s="69" t="s">
        <v>174</v>
      </c>
      <c r="Y2" s="69" t="s">
        <v>175</v>
      </c>
      <c r="Z2" s="70" t="s">
        <v>176</v>
      </c>
      <c r="AA2" s="62" t="s">
        <v>177</v>
      </c>
      <c r="AB2" s="62" t="s">
        <v>178</v>
      </c>
      <c r="AC2" s="62" t="s">
        <v>179</v>
      </c>
      <c r="AD2" s="71" t="s">
        <v>181</v>
      </c>
    </row>
    <row r="3" spans="1:30" ht="12.75" x14ac:dyDescent="0.2">
      <c r="A3" s="72" t="s">
        <v>182</v>
      </c>
      <c r="B3" s="72">
        <v>633</v>
      </c>
      <c r="C3" s="72">
        <v>0</v>
      </c>
      <c r="D3" s="72">
        <v>0</v>
      </c>
      <c r="E3" s="72">
        <v>0</v>
      </c>
      <c r="F3" s="72">
        <v>633</v>
      </c>
      <c r="G3" s="73">
        <v>0</v>
      </c>
      <c r="H3" s="74">
        <v>317</v>
      </c>
      <c r="I3" s="74">
        <v>0</v>
      </c>
      <c r="J3" s="72">
        <v>459</v>
      </c>
      <c r="K3" s="72">
        <v>0</v>
      </c>
      <c r="L3" s="72">
        <v>0</v>
      </c>
      <c r="M3" s="72">
        <v>0</v>
      </c>
      <c r="N3" s="72">
        <v>459</v>
      </c>
      <c r="O3" s="72">
        <v>0</v>
      </c>
      <c r="P3" s="72">
        <v>459</v>
      </c>
      <c r="Q3" s="75">
        <v>0</v>
      </c>
      <c r="R3" s="75">
        <v>0</v>
      </c>
      <c r="S3" s="72">
        <v>513</v>
      </c>
      <c r="T3" s="72">
        <v>0</v>
      </c>
      <c r="U3" s="72">
        <v>513</v>
      </c>
      <c r="V3" s="75">
        <v>0</v>
      </c>
      <c r="W3" s="76">
        <v>1236</v>
      </c>
      <c r="X3" s="72">
        <v>0</v>
      </c>
      <c r="Y3" s="76">
        <v>1236</v>
      </c>
      <c r="Z3" s="75">
        <v>0</v>
      </c>
      <c r="AA3" s="76">
        <v>2841</v>
      </c>
      <c r="AB3" s="72">
        <v>0</v>
      </c>
      <c r="AC3" s="76">
        <v>2841</v>
      </c>
      <c r="AD3" s="77">
        <v>0.5</v>
      </c>
    </row>
    <row r="4" spans="1:30" ht="12.75" x14ac:dyDescent="0.2">
      <c r="A4" s="72" t="s">
        <v>184</v>
      </c>
      <c r="B4" s="72">
        <v>31</v>
      </c>
      <c r="C4" s="72">
        <v>0</v>
      </c>
      <c r="D4" s="72">
        <v>0</v>
      </c>
      <c r="E4" s="72">
        <v>0</v>
      </c>
      <c r="F4" s="72">
        <v>31</v>
      </c>
      <c r="G4" s="73">
        <v>0</v>
      </c>
      <c r="H4" s="74">
        <v>16</v>
      </c>
      <c r="I4" s="74">
        <v>0</v>
      </c>
      <c r="J4" s="72">
        <v>19</v>
      </c>
      <c r="K4" s="72">
        <v>0</v>
      </c>
      <c r="L4" s="72">
        <v>0</v>
      </c>
      <c r="M4" s="72">
        <v>0</v>
      </c>
      <c r="N4" s="72">
        <v>19</v>
      </c>
      <c r="O4" s="72">
        <v>0</v>
      </c>
      <c r="P4" s="72">
        <v>19</v>
      </c>
      <c r="Q4" s="75">
        <v>0</v>
      </c>
      <c r="R4" s="75">
        <v>0</v>
      </c>
      <c r="S4" s="72">
        <v>20</v>
      </c>
      <c r="T4" s="72">
        <v>0</v>
      </c>
      <c r="U4" s="72">
        <v>20</v>
      </c>
      <c r="V4" s="75">
        <v>0</v>
      </c>
      <c r="W4" s="72">
        <v>45</v>
      </c>
      <c r="X4" s="72">
        <v>45</v>
      </c>
      <c r="Y4" s="72">
        <v>0</v>
      </c>
      <c r="Z4" s="78">
        <v>1</v>
      </c>
      <c r="AA4" s="72">
        <v>115</v>
      </c>
      <c r="AB4" s="72">
        <v>45</v>
      </c>
      <c r="AC4" s="72">
        <v>70</v>
      </c>
      <c r="AD4" s="77">
        <v>0.5</v>
      </c>
    </row>
    <row r="5" spans="1:30" ht="12.75" x14ac:dyDescent="0.2">
      <c r="A5" s="72" t="s">
        <v>40</v>
      </c>
      <c r="B5" s="72">
        <v>444</v>
      </c>
      <c r="C5" s="72">
        <v>55</v>
      </c>
      <c r="D5" s="72">
        <v>55</v>
      </c>
      <c r="E5" s="72">
        <v>0</v>
      </c>
      <c r="F5" s="72">
        <v>389</v>
      </c>
      <c r="G5" s="73">
        <v>0.124</v>
      </c>
      <c r="H5" s="74">
        <v>222</v>
      </c>
      <c r="I5" s="74">
        <v>0</v>
      </c>
      <c r="J5" s="72">
        <v>248</v>
      </c>
      <c r="K5" s="72">
        <v>40</v>
      </c>
      <c r="L5" s="72">
        <v>40</v>
      </c>
      <c r="M5" s="72">
        <v>0</v>
      </c>
      <c r="N5" s="72">
        <v>208</v>
      </c>
      <c r="O5" s="72">
        <v>40</v>
      </c>
      <c r="P5" s="72">
        <v>208</v>
      </c>
      <c r="Q5" s="75">
        <v>0.161</v>
      </c>
      <c r="R5" s="75">
        <v>0.161</v>
      </c>
      <c r="S5" s="72">
        <v>283</v>
      </c>
      <c r="T5" s="72">
        <v>26</v>
      </c>
      <c r="U5" s="72">
        <v>257</v>
      </c>
      <c r="V5" s="75">
        <v>9.1999999999999998E-2</v>
      </c>
      <c r="W5" s="72">
        <v>748</v>
      </c>
      <c r="X5" s="72">
        <v>499</v>
      </c>
      <c r="Y5" s="72">
        <v>249</v>
      </c>
      <c r="Z5" s="78">
        <v>0.66700000000000004</v>
      </c>
      <c r="AA5" s="76">
        <v>1723</v>
      </c>
      <c r="AB5" s="72">
        <v>620</v>
      </c>
      <c r="AC5" s="76">
        <v>1103</v>
      </c>
      <c r="AD5" s="77">
        <v>0.5</v>
      </c>
    </row>
    <row r="6" spans="1:30" ht="12.75" x14ac:dyDescent="0.2">
      <c r="A6" s="72" t="s">
        <v>144</v>
      </c>
      <c r="B6" s="72">
        <v>430</v>
      </c>
      <c r="C6" s="72">
        <v>120</v>
      </c>
      <c r="D6" s="72">
        <v>120</v>
      </c>
      <c r="E6" s="72">
        <v>0</v>
      </c>
      <c r="F6" s="72">
        <v>310</v>
      </c>
      <c r="G6" s="73">
        <v>0.27900000000000003</v>
      </c>
      <c r="H6" s="74">
        <v>215</v>
      </c>
      <c r="I6" s="74">
        <v>0</v>
      </c>
      <c r="J6" s="72">
        <v>227</v>
      </c>
      <c r="K6" s="72">
        <v>90</v>
      </c>
      <c r="L6" s="72">
        <v>73</v>
      </c>
      <c r="M6" s="72">
        <v>17</v>
      </c>
      <c r="N6" s="72">
        <v>137</v>
      </c>
      <c r="O6" s="72">
        <v>90</v>
      </c>
      <c r="P6" s="72">
        <v>137</v>
      </c>
      <c r="Q6" s="75">
        <v>0.39600000000000002</v>
      </c>
      <c r="R6" s="75">
        <v>0.39600000000000002</v>
      </c>
      <c r="S6" s="72">
        <v>295</v>
      </c>
      <c r="T6" s="72">
        <v>35</v>
      </c>
      <c r="U6" s="72">
        <v>260</v>
      </c>
      <c r="V6" s="75">
        <v>0.11899999999999999</v>
      </c>
      <c r="W6" s="72">
        <v>817</v>
      </c>
      <c r="X6" s="72">
        <v>178</v>
      </c>
      <c r="Y6" s="72">
        <v>639</v>
      </c>
      <c r="Z6" s="75">
        <v>0.218</v>
      </c>
      <c r="AA6" s="76">
        <v>1769</v>
      </c>
      <c r="AB6" s="72">
        <v>423</v>
      </c>
      <c r="AC6" s="76">
        <v>1346</v>
      </c>
      <c r="AD6" s="77">
        <v>0.5</v>
      </c>
    </row>
    <row r="7" spans="1:30" ht="12.75" x14ac:dyDescent="0.2">
      <c r="A7" s="72" t="s">
        <v>145</v>
      </c>
      <c r="B7" s="72">
        <v>80</v>
      </c>
      <c r="C7" s="72">
        <v>0</v>
      </c>
      <c r="D7" s="72">
        <v>0</v>
      </c>
      <c r="E7" s="72">
        <v>0</v>
      </c>
      <c r="F7" s="72">
        <v>80</v>
      </c>
      <c r="G7" s="73">
        <v>0</v>
      </c>
      <c r="H7" s="74">
        <v>40</v>
      </c>
      <c r="I7" s="74">
        <v>0</v>
      </c>
      <c r="J7" s="72">
        <v>53</v>
      </c>
      <c r="K7" s="72">
        <v>0</v>
      </c>
      <c r="L7" s="72">
        <v>0</v>
      </c>
      <c r="M7" s="72">
        <v>0</v>
      </c>
      <c r="N7" s="72">
        <v>53</v>
      </c>
      <c r="O7" s="72">
        <v>0</v>
      </c>
      <c r="P7" s="72">
        <v>53</v>
      </c>
      <c r="Q7" s="75">
        <v>0</v>
      </c>
      <c r="R7" s="75">
        <v>0</v>
      </c>
      <c r="S7" s="72">
        <v>57</v>
      </c>
      <c r="T7" s="72">
        <v>21</v>
      </c>
      <c r="U7" s="72">
        <v>36</v>
      </c>
      <c r="V7" s="75">
        <v>0.36799999999999999</v>
      </c>
      <c r="W7" s="72">
        <v>145</v>
      </c>
      <c r="X7" s="72">
        <v>194</v>
      </c>
      <c r="Y7" s="72">
        <v>0</v>
      </c>
      <c r="Z7" s="78">
        <v>1.3380000000000001</v>
      </c>
      <c r="AA7" s="72">
        <v>335</v>
      </c>
      <c r="AB7" s="72">
        <v>215</v>
      </c>
      <c r="AC7" s="72">
        <v>169</v>
      </c>
      <c r="AD7" s="77">
        <v>0.5</v>
      </c>
    </row>
    <row r="8" spans="1:30" ht="12.75" x14ac:dyDescent="0.2">
      <c r="A8" s="72" t="s">
        <v>188</v>
      </c>
      <c r="B8" s="72">
        <v>380</v>
      </c>
      <c r="C8" s="72">
        <v>0</v>
      </c>
      <c r="D8" s="72">
        <v>0</v>
      </c>
      <c r="E8" s="72">
        <v>0</v>
      </c>
      <c r="F8" s="72">
        <v>380</v>
      </c>
      <c r="G8" s="73">
        <v>0</v>
      </c>
      <c r="H8" s="74">
        <v>190</v>
      </c>
      <c r="I8" s="74">
        <v>0</v>
      </c>
      <c r="J8" s="72">
        <v>224</v>
      </c>
      <c r="K8" s="72">
        <v>2</v>
      </c>
      <c r="L8" s="72">
        <v>2</v>
      </c>
      <c r="M8" s="72">
        <v>0</v>
      </c>
      <c r="N8" s="72">
        <v>222</v>
      </c>
      <c r="O8" s="72">
        <v>2</v>
      </c>
      <c r="P8" s="72">
        <v>222</v>
      </c>
      <c r="Q8" s="75">
        <v>8.9999999999999993E-3</v>
      </c>
      <c r="R8" s="75">
        <v>8.9999999999999993E-3</v>
      </c>
      <c r="S8" s="72">
        <v>246</v>
      </c>
      <c r="T8" s="72">
        <v>3</v>
      </c>
      <c r="U8" s="72">
        <v>243</v>
      </c>
      <c r="V8" s="75">
        <v>1.2E-2</v>
      </c>
      <c r="W8" s="72">
        <v>642</v>
      </c>
      <c r="X8" s="72">
        <v>152</v>
      </c>
      <c r="Y8" s="72">
        <v>490</v>
      </c>
      <c r="Z8" s="75">
        <v>0.23699999999999999</v>
      </c>
      <c r="AA8" s="76">
        <v>1492</v>
      </c>
      <c r="AB8" s="72">
        <v>157</v>
      </c>
      <c r="AC8" s="76">
        <v>1335</v>
      </c>
      <c r="AD8" s="77">
        <v>0.5</v>
      </c>
    </row>
    <row r="9" spans="1:30" ht="12.75" x14ac:dyDescent="0.2">
      <c r="A9" s="72" t="s">
        <v>191</v>
      </c>
      <c r="B9" s="72">
        <v>9</v>
      </c>
      <c r="C9" s="72">
        <v>83</v>
      </c>
      <c r="D9" s="72">
        <v>83</v>
      </c>
      <c r="E9" s="72">
        <v>0</v>
      </c>
      <c r="F9" s="72">
        <v>0</v>
      </c>
      <c r="G9" s="79">
        <v>9.2219999999999995</v>
      </c>
      <c r="H9" s="74">
        <v>5</v>
      </c>
      <c r="I9" s="74">
        <v>78</v>
      </c>
      <c r="J9" s="72">
        <v>7</v>
      </c>
      <c r="K9" s="72">
        <v>335</v>
      </c>
      <c r="L9" s="72">
        <v>335</v>
      </c>
      <c r="M9" s="72">
        <v>0</v>
      </c>
      <c r="N9" s="72">
        <v>0</v>
      </c>
      <c r="O9" s="72">
        <v>413</v>
      </c>
      <c r="P9" s="72">
        <v>0</v>
      </c>
      <c r="Q9" s="78">
        <v>47.856999999999999</v>
      </c>
      <c r="R9" s="78">
        <v>59</v>
      </c>
      <c r="S9" s="72">
        <v>7</v>
      </c>
      <c r="T9" s="72">
        <v>424</v>
      </c>
      <c r="U9" s="72">
        <v>0</v>
      </c>
      <c r="V9" s="78">
        <v>60.570999999999998</v>
      </c>
      <c r="W9" s="72">
        <v>16</v>
      </c>
      <c r="X9" s="72">
        <v>0</v>
      </c>
      <c r="Y9" s="72">
        <v>16</v>
      </c>
      <c r="Z9" s="75">
        <v>0</v>
      </c>
      <c r="AA9" s="72">
        <v>39</v>
      </c>
      <c r="AB9" s="72">
        <v>842</v>
      </c>
      <c r="AC9" s="72">
        <v>16</v>
      </c>
      <c r="AD9" s="77">
        <v>0.5</v>
      </c>
    </row>
    <row r="10" spans="1:30" ht="12.75" x14ac:dyDescent="0.2">
      <c r="A10" s="72" t="s">
        <v>192</v>
      </c>
      <c r="B10" s="72">
        <v>7</v>
      </c>
      <c r="C10" s="72">
        <v>0</v>
      </c>
      <c r="D10" s="72">
        <v>0</v>
      </c>
      <c r="E10" s="72">
        <v>0</v>
      </c>
      <c r="F10" s="72">
        <v>7</v>
      </c>
      <c r="G10" s="73">
        <v>0</v>
      </c>
      <c r="H10" s="74">
        <v>7</v>
      </c>
      <c r="I10" s="74">
        <v>0</v>
      </c>
      <c r="J10" s="72">
        <v>6</v>
      </c>
      <c r="K10" s="72">
        <v>3</v>
      </c>
      <c r="L10" s="72">
        <v>0</v>
      </c>
      <c r="M10" s="72">
        <v>3</v>
      </c>
      <c r="N10" s="72">
        <v>3</v>
      </c>
      <c r="O10" s="72">
        <v>3</v>
      </c>
      <c r="P10" s="72">
        <v>3</v>
      </c>
      <c r="Q10" s="75">
        <v>0.5</v>
      </c>
      <c r="R10" s="75">
        <v>0.5</v>
      </c>
      <c r="S10" s="72">
        <v>6</v>
      </c>
      <c r="T10" s="72">
        <v>4</v>
      </c>
      <c r="U10" s="72">
        <v>2</v>
      </c>
      <c r="V10" s="75">
        <v>0.66700000000000004</v>
      </c>
      <c r="W10" s="72">
        <v>11</v>
      </c>
      <c r="X10" s="72">
        <v>10</v>
      </c>
      <c r="Y10" s="72">
        <v>1</v>
      </c>
      <c r="Z10" s="75">
        <v>0.90900000000000003</v>
      </c>
      <c r="AA10" s="72">
        <v>30</v>
      </c>
      <c r="AB10" s="72">
        <v>17</v>
      </c>
      <c r="AC10" s="72">
        <v>13</v>
      </c>
      <c r="AD10" s="77">
        <v>1</v>
      </c>
    </row>
    <row r="11" spans="1:30" ht="12.75" x14ac:dyDescent="0.2">
      <c r="A11" s="72" t="s">
        <v>193</v>
      </c>
      <c r="B11" s="72">
        <v>1</v>
      </c>
      <c r="C11" s="72">
        <v>0</v>
      </c>
      <c r="D11" s="72">
        <v>0</v>
      </c>
      <c r="E11" s="72">
        <v>0</v>
      </c>
      <c r="F11" s="72">
        <v>1</v>
      </c>
      <c r="G11" s="73">
        <v>0</v>
      </c>
      <c r="H11" s="74">
        <v>1</v>
      </c>
      <c r="I11" s="74">
        <v>0</v>
      </c>
      <c r="J11" s="72">
        <v>1</v>
      </c>
      <c r="K11" s="72">
        <v>0</v>
      </c>
      <c r="L11" s="72">
        <v>0</v>
      </c>
      <c r="M11" s="72">
        <v>0</v>
      </c>
      <c r="N11" s="72">
        <v>1</v>
      </c>
      <c r="O11" s="72">
        <v>0</v>
      </c>
      <c r="P11" s="72">
        <v>1</v>
      </c>
      <c r="Q11" s="75">
        <v>0</v>
      </c>
      <c r="R11" s="75">
        <v>0</v>
      </c>
      <c r="S11" s="72">
        <v>1</v>
      </c>
      <c r="T11" s="72">
        <v>0</v>
      </c>
      <c r="U11" s="72">
        <v>1</v>
      </c>
      <c r="V11" s="75">
        <v>0</v>
      </c>
      <c r="W11" s="72">
        <v>2</v>
      </c>
      <c r="X11" s="72">
        <v>0</v>
      </c>
      <c r="Y11" s="72">
        <v>2</v>
      </c>
      <c r="Z11" s="75">
        <v>0</v>
      </c>
      <c r="AA11" s="72">
        <v>5</v>
      </c>
      <c r="AB11" s="72">
        <v>0</v>
      </c>
      <c r="AC11" s="72">
        <v>5</v>
      </c>
      <c r="AD11" s="77">
        <v>1</v>
      </c>
    </row>
    <row r="12" spans="1:30" ht="12.75" x14ac:dyDescent="0.2">
      <c r="A12" s="72" t="s">
        <v>195</v>
      </c>
      <c r="B12" s="72">
        <v>1</v>
      </c>
      <c r="C12" s="72">
        <v>0</v>
      </c>
      <c r="D12" s="72">
        <v>0</v>
      </c>
      <c r="E12" s="72">
        <v>0</v>
      </c>
      <c r="F12" s="72">
        <v>1</v>
      </c>
      <c r="G12" s="73">
        <v>0</v>
      </c>
      <c r="H12" s="74">
        <v>1</v>
      </c>
      <c r="I12" s="74">
        <v>0</v>
      </c>
      <c r="J12" s="72">
        <v>1</v>
      </c>
      <c r="K12" s="72">
        <v>0</v>
      </c>
      <c r="L12" s="72">
        <v>0</v>
      </c>
      <c r="M12" s="72">
        <v>0</v>
      </c>
      <c r="N12" s="72">
        <v>1</v>
      </c>
      <c r="O12" s="72">
        <v>0</v>
      </c>
      <c r="P12" s="72">
        <v>1</v>
      </c>
      <c r="Q12" s="75">
        <v>0</v>
      </c>
      <c r="R12" s="75">
        <v>0</v>
      </c>
      <c r="S12" s="72">
        <v>0</v>
      </c>
      <c r="T12" s="72">
        <v>0</v>
      </c>
      <c r="U12" s="72">
        <v>0</v>
      </c>
      <c r="V12" s="80" t="s">
        <v>196</v>
      </c>
      <c r="W12" s="72">
        <v>0</v>
      </c>
      <c r="X12" s="72">
        <v>0</v>
      </c>
      <c r="Y12" s="72">
        <v>0</v>
      </c>
      <c r="Z12" s="80" t="s">
        <v>196</v>
      </c>
      <c r="AA12" s="72">
        <v>2</v>
      </c>
      <c r="AB12" s="72">
        <v>0</v>
      </c>
      <c r="AC12" s="72">
        <v>2</v>
      </c>
      <c r="AD12" s="77">
        <v>1</v>
      </c>
    </row>
    <row r="13" spans="1:30" ht="12.75" x14ac:dyDescent="0.2">
      <c r="A13" s="72" t="s">
        <v>198</v>
      </c>
      <c r="B13" s="72">
        <v>10</v>
      </c>
      <c r="C13" s="72">
        <v>1</v>
      </c>
      <c r="D13" s="72">
        <v>0</v>
      </c>
      <c r="E13" s="72">
        <v>1</v>
      </c>
      <c r="F13" s="72">
        <v>9</v>
      </c>
      <c r="G13" s="73">
        <v>0.1</v>
      </c>
      <c r="H13" s="74">
        <v>10</v>
      </c>
      <c r="I13" s="74">
        <v>0</v>
      </c>
      <c r="J13" s="72">
        <v>7</v>
      </c>
      <c r="K13" s="72">
        <v>6</v>
      </c>
      <c r="L13" s="72">
        <v>1</v>
      </c>
      <c r="M13" s="72">
        <v>5</v>
      </c>
      <c r="N13" s="72">
        <v>1</v>
      </c>
      <c r="O13" s="72">
        <v>6</v>
      </c>
      <c r="P13" s="72">
        <v>1</v>
      </c>
      <c r="Q13" s="75">
        <v>0.85699999999999998</v>
      </c>
      <c r="R13" s="75">
        <v>0.85699999999999998</v>
      </c>
      <c r="S13" s="72">
        <v>9</v>
      </c>
      <c r="T13" s="72">
        <v>34</v>
      </c>
      <c r="U13" s="72">
        <v>0</v>
      </c>
      <c r="V13" s="78">
        <v>3.778</v>
      </c>
      <c r="W13" s="72">
        <v>23</v>
      </c>
      <c r="X13" s="72">
        <v>24</v>
      </c>
      <c r="Y13" s="72">
        <v>0</v>
      </c>
      <c r="Z13" s="78">
        <v>1.0429999999999999</v>
      </c>
      <c r="AA13" s="72">
        <v>49</v>
      </c>
      <c r="AB13" s="72">
        <v>65</v>
      </c>
      <c r="AC13" s="72">
        <v>10</v>
      </c>
      <c r="AD13" s="77">
        <v>1</v>
      </c>
    </row>
    <row r="14" spans="1:30" ht="12.75" x14ac:dyDescent="0.2">
      <c r="A14" s="72" t="s">
        <v>199</v>
      </c>
      <c r="B14" s="72">
        <v>116</v>
      </c>
      <c r="C14" s="72">
        <v>57</v>
      </c>
      <c r="D14" s="72">
        <v>57</v>
      </c>
      <c r="E14" s="72">
        <v>0</v>
      </c>
      <c r="F14" s="72">
        <v>59</v>
      </c>
      <c r="G14" s="73">
        <v>0.49099999999999999</v>
      </c>
      <c r="H14" s="74">
        <v>58</v>
      </c>
      <c r="I14" s="74">
        <v>0</v>
      </c>
      <c r="J14" s="72">
        <v>54</v>
      </c>
      <c r="K14" s="72">
        <v>40</v>
      </c>
      <c r="L14" s="72">
        <v>37</v>
      </c>
      <c r="M14" s="72">
        <v>3</v>
      </c>
      <c r="N14" s="72">
        <v>14</v>
      </c>
      <c r="O14" s="72">
        <v>40</v>
      </c>
      <c r="P14" s="72">
        <v>14</v>
      </c>
      <c r="Q14" s="78">
        <v>0.74099999999999999</v>
      </c>
      <c r="R14" s="78">
        <v>0.74099999999999999</v>
      </c>
      <c r="S14" s="72">
        <v>58</v>
      </c>
      <c r="T14" s="72">
        <v>141</v>
      </c>
      <c r="U14" s="72">
        <v>0</v>
      </c>
      <c r="V14" s="78">
        <v>2.431</v>
      </c>
      <c r="W14" s="72">
        <v>164</v>
      </c>
      <c r="X14" s="72">
        <v>143</v>
      </c>
      <c r="Y14" s="72">
        <v>21</v>
      </c>
      <c r="Z14" s="78">
        <v>0.872</v>
      </c>
      <c r="AA14" s="72">
        <v>392</v>
      </c>
      <c r="AB14" s="72">
        <v>381</v>
      </c>
      <c r="AC14" s="72">
        <v>94</v>
      </c>
      <c r="AD14" s="77">
        <v>0.5</v>
      </c>
    </row>
    <row r="15" spans="1:30" ht="12.75" x14ac:dyDescent="0.2">
      <c r="A15" s="72" t="s">
        <v>200</v>
      </c>
      <c r="B15" s="76">
        <v>1256</v>
      </c>
      <c r="C15" s="72">
        <v>71</v>
      </c>
      <c r="D15" s="72">
        <v>71</v>
      </c>
      <c r="E15" s="72">
        <v>0</v>
      </c>
      <c r="F15" s="76">
        <v>1185</v>
      </c>
      <c r="G15" s="73">
        <v>5.7000000000000002E-2</v>
      </c>
      <c r="H15" s="74">
        <v>628</v>
      </c>
      <c r="I15" s="74">
        <v>0</v>
      </c>
      <c r="J15" s="72">
        <v>907</v>
      </c>
      <c r="K15" s="72">
        <v>22</v>
      </c>
      <c r="L15" s="72">
        <v>22</v>
      </c>
      <c r="M15" s="72">
        <v>0</v>
      </c>
      <c r="N15" s="72">
        <v>885</v>
      </c>
      <c r="O15" s="72">
        <v>22</v>
      </c>
      <c r="P15" s="72">
        <v>885</v>
      </c>
      <c r="Q15" s="75">
        <v>2.4E-2</v>
      </c>
      <c r="R15" s="75">
        <v>2.4E-2</v>
      </c>
      <c r="S15" s="76">
        <v>1038</v>
      </c>
      <c r="T15" s="72">
        <v>49</v>
      </c>
      <c r="U15" s="72">
        <v>989</v>
      </c>
      <c r="V15" s="75">
        <v>4.7E-2</v>
      </c>
      <c r="W15" s="76">
        <v>2501</v>
      </c>
      <c r="X15" s="76">
        <v>6234</v>
      </c>
      <c r="Y15" s="72">
        <v>0</v>
      </c>
      <c r="Z15" s="78">
        <v>2.4929999999999999</v>
      </c>
      <c r="AA15" s="76">
        <v>5702</v>
      </c>
      <c r="AB15" s="76">
        <v>6376</v>
      </c>
      <c r="AC15" s="76">
        <v>3059</v>
      </c>
      <c r="AD15" s="77">
        <v>0.5</v>
      </c>
    </row>
    <row r="16" spans="1:30" ht="12.75" x14ac:dyDescent="0.2">
      <c r="A16" s="72" t="s">
        <v>201</v>
      </c>
      <c r="B16" s="72">
        <v>32</v>
      </c>
      <c r="C16" s="72">
        <v>23</v>
      </c>
      <c r="D16" s="72">
        <v>23</v>
      </c>
      <c r="E16" s="72">
        <v>0</v>
      </c>
      <c r="F16" s="72">
        <v>9</v>
      </c>
      <c r="G16" s="73">
        <v>0.71899999999999997</v>
      </c>
      <c r="H16" s="74">
        <v>32</v>
      </c>
      <c r="I16" s="74">
        <v>0</v>
      </c>
      <c r="J16" s="72">
        <v>21</v>
      </c>
      <c r="K16" s="72">
        <v>20</v>
      </c>
      <c r="L16" s="72">
        <v>19</v>
      </c>
      <c r="M16" s="72">
        <v>1</v>
      </c>
      <c r="N16" s="72">
        <v>1</v>
      </c>
      <c r="O16" s="72">
        <v>20</v>
      </c>
      <c r="P16" s="72">
        <v>1</v>
      </c>
      <c r="Q16" s="75">
        <v>0.95199999999999996</v>
      </c>
      <c r="R16" s="75">
        <v>0.95199999999999996</v>
      </c>
      <c r="S16" s="72">
        <v>24</v>
      </c>
      <c r="T16" s="72">
        <v>93</v>
      </c>
      <c r="U16" s="72">
        <v>0</v>
      </c>
      <c r="V16" s="78">
        <v>3.875</v>
      </c>
      <c r="W16" s="72">
        <v>59</v>
      </c>
      <c r="X16" s="72">
        <v>60</v>
      </c>
      <c r="Y16" s="72">
        <v>0</v>
      </c>
      <c r="Z16" s="78">
        <v>1.0169999999999999</v>
      </c>
      <c r="AA16" s="72">
        <v>136</v>
      </c>
      <c r="AB16" s="72">
        <v>196</v>
      </c>
      <c r="AC16" s="72">
        <v>10</v>
      </c>
      <c r="AD16" s="77">
        <v>1</v>
      </c>
    </row>
    <row r="17" spans="1:30" ht="12.75" x14ac:dyDescent="0.2">
      <c r="A17" s="72" t="s">
        <v>202</v>
      </c>
      <c r="B17" s="72">
        <v>39</v>
      </c>
      <c r="C17" s="72">
        <v>1</v>
      </c>
      <c r="D17" s="72">
        <v>0</v>
      </c>
      <c r="E17" s="72">
        <v>1</v>
      </c>
      <c r="F17" s="72">
        <v>38</v>
      </c>
      <c r="G17" s="73">
        <v>2.5999999999999999E-2</v>
      </c>
      <c r="H17" s="74">
        <v>39</v>
      </c>
      <c r="I17" s="74">
        <v>0</v>
      </c>
      <c r="J17" s="72">
        <v>25</v>
      </c>
      <c r="K17" s="72">
        <v>0</v>
      </c>
      <c r="L17" s="72">
        <v>0</v>
      </c>
      <c r="M17" s="72">
        <v>0</v>
      </c>
      <c r="N17" s="72">
        <v>25</v>
      </c>
      <c r="O17" s="72">
        <v>0</v>
      </c>
      <c r="P17" s="72">
        <v>25</v>
      </c>
      <c r="Q17" s="75">
        <v>0</v>
      </c>
      <c r="R17" s="75">
        <v>0</v>
      </c>
      <c r="S17" s="72">
        <v>28</v>
      </c>
      <c r="T17" s="72">
        <v>1</v>
      </c>
      <c r="U17" s="72">
        <v>27</v>
      </c>
      <c r="V17" s="75">
        <v>3.5999999999999997E-2</v>
      </c>
      <c r="W17" s="72">
        <v>69</v>
      </c>
      <c r="X17" s="72">
        <v>19</v>
      </c>
      <c r="Y17" s="72">
        <v>50</v>
      </c>
      <c r="Z17" s="75">
        <v>0.27500000000000002</v>
      </c>
      <c r="AA17" s="72">
        <v>161</v>
      </c>
      <c r="AB17" s="72">
        <v>21</v>
      </c>
      <c r="AC17" s="72">
        <v>140</v>
      </c>
      <c r="AD17" s="77">
        <v>1</v>
      </c>
    </row>
    <row r="18" spans="1:30" ht="12.75" x14ac:dyDescent="0.2">
      <c r="A18" s="72" t="s">
        <v>203</v>
      </c>
      <c r="B18" s="72">
        <v>349</v>
      </c>
      <c r="C18" s="72">
        <v>88</v>
      </c>
      <c r="D18" s="72">
        <v>86</v>
      </c>
      <c r="E18" s="72">
        <v>2</v>
      </c>
      <c r="F18" s="72">
        <v>261</v>
      </c>
      <c r="G18" s="73">
        <v>0.252</v>
      </c>
      <c r="H18" s="74">
        <v>175</v>
      </c>
      <c r="I18" s="74">
        <v>0</v>
      </c>
      <c r="J18" s="72">
        <v>205</v>
      </c>
      <c r="K18" s="72">
        <v>1</v>
      </c>
      <c r="L18" s="72">
        <v>0</v>
      </c>
      <c r="M18" s="72">
        <v>1</v>
      </c>
      <c r="N18" s="72">
        <v>204</v>
      </c>
      <c r="O18" s="72">
        <v>1</v>
      </c>
      <c r="P18" s="72">
        <v>204</v>
      </c>
      <c r="Q18" s="75">
        <v>5.0000000000000001E-3</v>
      </c>
      <c r="R18" s="75">
        <v>5.0000000000000001E-3</v>
      </c>
      <c r="S18" s="72">
        <v>214</v>
      </c>
      <c r="T18" s="72">
        <v>77</v>
      </c>
      <c r="U18" s="72">
        <v>137</v>
      </c>
      <c r="V18" s="75">
        <v>0.36</v>
      </c>
      <c r="W18" s="72">
        <v>680</v>
      </c>
      <c r="X18" s="72">
        <v>423</v>
      </c>
      <c r="Y18" s="72">
        <v>257</v>
      </c>
      <c r="Z18" s="78">
        <v>0.622</v>
      </c>
      <c r="AA18" s="76">
        <v>1448</v>
      </c>
      <c r="AB18" s="72">
        <v>589</v>
      </c>
      <c r="AC18" s="72">
        <v>859</v>
      </c>
      <c r="AD18" s="77">
        <v>0.5</v>
      </c>
    </row>
    <row r="19" spans="1:30" ht="12.75" x14ac:dyDescent="0.2">
      <c r="A19" s="72" t="s">
        <v>205</v>
      </c>
      <c r="B19" s="72">
        <v>764</v>
      </c>
      <c r="C19" s="72">
        <v>0</v>
      </c>
      <c r="D19" s="72">
        <v>0</v>
      </c>
      <c r="E19" s="72">
        <v>0</v>
      </c>
      <c r="F19" s="72">
        <v>764</v>
      </c>
      <c r="G19" s="73">
        <v>0</v>
      </c>
      <c r="H19" s="74">
        <v>382</v>
      </c>
      <c r="I19" s="74">
        <v>0</v>
      </c>
      <c r="J19" s="72">
        <v>541</v>
      </c>
      <c r="K19" s="72">
        <v>0</v>
      </c>
      <c r="L19" s="72">
        <v>0</v>
      </c>
      <c r="M19" s="72">
        <v>0</v>
      </c>
      <c r="N19" s="72">
        <v>541</v>
      </c>
      <c r="O19" s="72">
        <v>0</v>
      </c>
      <c r="P19" s="72">
        <v>541</v>
      </c>
      <c r="Q19" s="75">
        <v>0</v>
      </c>
      <c r="R19" s="75">
        <v>0</v>
      </c>
      <c r="S19" s="72">
        <v>622</v>
      </c>
      <c r="T19" s="72">
        <v>0</v>
      </c>
      <c r="U19" s="72">
        <v>622</v>
      </c>
      <c r="V19" s="75">
        <v>0</v>
      </c>
      <c r="W19" s="76">
        <v>1407</v>
      </c>
      <c r="X19" s="72">
        <v>0</v>
      </c>
      <c r="Y19" s="76">
        <v>1407</v>
      </c>
      <c r="Z19" s="75">
        <v>0</v>
      </c>
      <c r="AA19" s="76">
        <v>3334</v>
      </c>
      <c r="AB19" s="72">
        <v>0</v>
      </c>
      <c r="AC19" s="76">
        <v>3334</v>
      </c>
      <c r="AD19" s="77">
        <v>0.5</v>
      </c>
    </row>
    <row r="20" spans="1:30" ht="12.75" x14ac:dyDescent="0.2">
      <c r="A20" s="72" t="s">
        <v>206</v>
      </c>
      <c r="B20" s="72">
        <v>276</v>
      </c>
      <c r="C20" s="72">
        <v>0</v>
      </c>
      <c r="D20" s="72">
        <v>0</v>
      </c>
      <c r="E20" s="72">
        <v>0</v>
      </c>
      <c r="F20" s="72">
        <v>276</v>
      </c>
      <c r="G20" s="73">
        <v>0</v>
      </c>
      <c r="H20" s="74">
        <v>138</v>
      </c>
      <c r="I20" s="74">
        <v>0</v>
      </c>
      <c r="J20" s="72">
        <v>167</v>
      </c>
      <c r="K20" s="72">
        <v>0</v>
      </c>
      <c r="L20" s="72">
        <v>0</v>
      </c>
      <c r="M20" s="72">
        <v>0</v>
      </c>
      <c r="N20" s="72">
        <v>167</v>
      </c>
      <c r="O20" s="72">
        <v>0</v>
      </c>
      <c r="P20" s="72">
        <v>167</v>
      </c>
      <c r="Q20" s="75">
        <v>0</v>
      </c>
      <c r="R20" s="75">
        <v>0</v>
      </c>
      <c r="S20" s="72">
        <v>177</v>
      </c>
      <c r="T20" s="72">
        <v>38</v>
      </c>
      <c r="U20" s="72">
        <v>139</v>
      </c>
      <c r="V20" s="75">
        <v>0.215</v>
      </c>
      <c r="W20" s="72">
        <v>434</v>
      </c>
      <c r="X20" s="72">
        <v>170</v>
      </c>
      <c r="Y20" s="72">
        <v>264</v>
      </c>
      <c r="Z20" s="75">
        <v>0.39200000000000002</v>
      </c>
      <c r="AA20" s="76">
        <v>1054</v>
      </c>
      <c r="AB20" s="72">
        <v>208</v>
      </c>
      <c r="AC20" s="72">
        <v>846</v>
      </c>
      <c r="AD20" s="77">
        <v>0.5</v>
      </c>
    </row>
    <row r="21" spans="1:30" ht="12.75" x14ac:dyDescent="0.2">
      <c r="A21" s="72" t="s">
        <v>207</v>
      </c>
      <c r="B21" s="72">
        <v>85</v>
      </c>
      <c r="C21" s="72">
        <v>43</v>
      </c>
      <c r="D21" s="72">
        <v>43</v>
      </c>
      <c r="E21" s="72">
        <v>0</v>
      </c>
      <c r="F21" s="72">
        <v>42</v>
      </c>
      <c r="G21" s="73">
        <v>0.50600000000000001</v>
      </c>
      <c r="H21" s="74">
        <v>85</v>
      </c>
      <c r="I21" s="74">
        <v>0</v>
      </c>
      <c r="J21" s="72">
        <v>56</v>
      </c>
      <c r="K21" s="72">
        <v>5</v>
      </c>
      <c r="L21" s="72">
        <v>5</v>
      </c>
      <c r="M21" s="72">
        <v>0</v>
      </c>
      <c r="N21" s="72">
        <v>51</v>
      </c>
      <c r="O21" s="72">
        <v>5</v>
      </c>
      <c r="P21" s="72">
        <v>51</v>
      </c>
      <c r="Q21" s="75">
        <v>8.8999999999999996E-2</v>
      </c>
      <c r="R21" s="75">
        <v>8.8999999999999996E-2</v>
      </c>
      <c r="S21" s="72">
        <v>62</v>
      </c>
      <c r="T21" s="72">
        <v>258</v>
      </c>
      <c r="U21" s="72">
        <v>0</v>
      </c>
      <c r="V21" s="78">
        <v>4.1609999999999996</v>
      </c>
      <c r="W21" s="72">
        <v>160</v>
      </c>
      <c r="X21" s="72">
        <v>53</v>
      </c>
      <c r="Y21" s="72">
        <v>107</v>
      </c>
      <c r="Z21" s="75">
        <v>0.33100000000000002</v>
      </c>
      <c r="AA21" s="72">
        <v>363</v>
      </c>
      <c r="AB21" s="72">
        <v>359</v>
      </c>
      <c r="AC21" s="72">
        <v>200</v>
      </c>
      <c r="AD21" s="77">
        <v>1</v>
      </c>
    </row>
    <row r="22" spans="1:30" ht="12.75" x14ac:dyDescent="0.2">
      <c r="A22" s="72" t="s">
        <v>208</v>
      </c>
      <c r="B22" s="72">
        <v>60</v>
      </c>
      <c r="C22" s="72">
        <v>0</v>
      </c>
      <c r="D22" s="72">
        <v>0</v>
      </c>
      <c r="E22" s="72">
        <v>0</v>
      </c>
      <c r="F22" s="72">
        <v>60</v>
      </c>
      <c r="G22" s="73">
        <v>0</v>
      </c>
      <c r="H22" s="74">
        <v>60</v>
      </c>
      <c r="I22" s="74">
        <v>0</v>
      </c>
      <c r="J22" s="72">
        <v>38</v>
      </c>
      <c r="K22" s="72">
        <v>17</v>
      </c>
      <c r="L22" s="72">
        <v>0</v>
      </c>
      <c r="M22" s="72">
        <v>17</v>
      </c>
      <c r="N22" s="72">
        <v>21</v>
      </c>
      <c r="O22" s="72">
        <v>17</v>
      </c>
      <c r="P22" s="72">
        <v>21</v>
      </c>
      <c r="Q22" s="75">
        <v>0.44700000000000001</v>
      </c>
      <c r="R22" s="75">
        <v>0.44700000000000001</v>
      </c>
      <c r="S22" s="72">
        <v>43</v>
      </c>
      <c r="T22" s="72">
        <v>0</v>
      </c>
      <c r="U22" s="72">
        <v>43</v>
      </c>
      <c r="V22" s="75">
        <v>0</v>
      </c>
      <c r="W22" s="72">
        <v>101</v>
      </c>
      <c r="X22" s="72">
        <v>59</v>
      </c>
      <c r="Y22" s="72">
        <v>42</v>
      </c>
      <c r="Z22" s="75">
        <v>0.58399999999999996</v>
      </c>
      <c r="AA22" s="72">
        <v>242</v>
      </c>
      <c r="AB22" s="72">
        <v>76</v>
      </c>
      <c r="AC22" s="72">
        <v>166</v>
      </c>
      <c r="AD22" s="77">
        <v>1</v>
      </c>
    </row>
    <row r="23" spans="1:30" ht="12.75" x14ac:dyDescent="0.2">
      <c r="A23" s="72" t="s">
        <v>209</v>
      </c>
      <c r="B23" s="72">
        <v>31</v>
      </c>
      <c r="C23" s="72">
        <v>0</v>
      </c>
      <c r="D23" s="72">
        <v>0</v>
      </c>
      <c r="E23" s="72">
        <v>0</v>
      </c>
      <c r="F23" s="72">
        <v>31</v>
      </c>
      <c r="G23" s="73">
        <v>0</v>
      </c>
      <c r="H23" s="74">
        <v>16</v>
      </c>
      <c r="I23" s="74">
        <v>0</v>
      </c>
      <c r="J23" s="72">
        <v>18</v>
      </c>
      <c r="K23" s="72">
        <v>0</v>
      </c>
      <c r="L23" s="72">
        <v>0</v>
      </c>
      <c r="M23" s="72">
        <v>0</v>
      </c>
      <c r="N23" s="72">
        <v>18</v>
      </c>
      <c r="O23" s="72">
        <v>0</v>
      </c>
      <c r="P23" s="72">
        <v>18</v>
      </c>
      <c r="Q23" s="75">
        <v>0</v>
      </c>
      <c r="R23" s="75">
        <v>0</v>
      </c>
      <c r="S23" s="72">
        <v>20</v>
      </c>
      <c r="T23" s="72">
        <v>0</v>
      </c>
      <c r="U23" s="72">
        <v>20</v>
      </c>
      <c r="V23" s="75">
        <v>0</v>
      </c>
      <c r="W23" s="72">
        <v>51</v>
      </c>
      <c r="X23" s="72">
        <v>62</v>
      </c>
      <c r="Y23" s="72">
        <v>0</v>
      </c>
      <c r="Z23" s="78">
        <v>1.216</v>
      </c>
      <c r="AA23" s="72">
        <v>120</v>
      </c>
      <c r="AB23" s="72">
        <v>62</v>
      </c>
      <c r="AC23" s="72">
        <v>69</v>
      </c>
      <c r="AD23" s="77">
        <v>0.5</v>
      </c>
    </row>
    <row r="24" spans="1:30" ht="12.75" x14ac:dyDescent="0.2">
      <c r="A24" s="72" t="s">
        <v>210</v>
      </c>
      <c r="B24" s="72">
        <v>398</v>
      </c>
      <c r="C24" s="72">
        <v>0</v>
      </c>
      <c r="D24" s="72">
        <v>0</v>
      </c>
      <c r="E24" s="72">
        <v>0</v>
      </c>
      <c r="F24" s="72">
        <v>398</v>
      </c>
      <c r="G24" s="73">
        <v>0</v>
      </c>
      <c r="H24" s="74">
        <v>149</v>
      </c>
      <c r="I24" s="74">
        <v>0</v>
      </c>
      <c r="J24" s="72">
        <v>239</v>
      </c>
      <c r="K24" s="72">
        <v>56</v>
      </c>
      <c r="L24" s="72">
        <v>20</v>
      </c>
      <c r="M24" s="72">
        <v>36</v>
      </c>
      <c r="N24" s="72">
        <v>183</v>
      </c>
      <c r="O24" s="72">
        <v>56</v>
      </c>
      <c r="P24" s="72">
        <v>183</v>
      </c>
      <c r="Q24" s="75">
        <v>0.23400000000000001</v>
      </c>
      <c r="R24" s="75">
        <v>0.23400000000000001</v>
      </c>
      <c r="S24" s="72">
        <v>183</v>
      </c>
      <c r="T24" s="72">
        <v>270</v>
      </c>
      <c r="U24" s="72">
        <v>0</v>
      </c>
      <c r="V24" s="78">
        <v>1.4750000000000001</v>
      </c>
      <c r="W24" s="72">
        <v>349</v>
      </c>
      <c r="X24" s="72">
        <v>0</v>
      </c>
      <c r="Y24" s="72">
        <v>349</v>
      </c>
      <c r="Z24" s="75">
        <v>0</v>
      </c>
      <c r="AA24" s="76">
        <v>1169</v>
      </c>
      <c r="AB24" s="72">
        <v>326</v>
      </c>
      <c r="AC24" s="72">
        <v>930</v>
      </c>
      <c r="AD24" s="77">
        <v>0.375</v>
      </c>
    </row>
    <row r="25" spans="1:30" ht="12.75" x14ac:dyDescent="0.2">
      <c r="A25" s="72" t="s">
        <v>211</v>
      </c>
      <c r="B25" s="72">
        <v>98</v>
      </c>
      <c r="C25" s="72">
        <v>48</v>
      </c>
      <c r="D25" s="72">
        <v>48</v>
      </c>
      <c r="E25" s="72">
        <v>0</v>
      </c>
      <c r="F25" s="72">
        <v>50</v>
      </c>
      <c r="G25" s="73">
        <v>0.49</v>
      </c>
      <c r="H25" s="74">
        <v>98</v>
      </c>
      <c r="I25" s="74">
        <v>0</v>
      </c>
      <c r="J25" s="72">
        <v>62</v>
      </c>
      <c r="K25" s="72">
        <v>26</v>
      </c>
      <c r="L25" s="72">
        <v>26</v>
      </c>
      <c r="M25" s="72">
        <v>0</v>
      </c>
      <c r="N25" s="72">
        <v>36</v>
      </c>
      <c r="O25" s="72">
        <v>26</v>
      </c>
      <c r="P25" s="72">
        <v>36</v>
      </c>
      <c r="Q25" s="75">
        <v>0.41899999999999998</v>
      </c>
      <c r="R25" s="75">
        <v>0.41899999999999998</v>
      </c>
      <c r="S25" s="72">
        <v>69</v>
      </c>
      <c r="T25" s="72">
        <v>171</v>
      </c>
      <c r="U25" s="72">
        <v>0</v>
      </c>
      <c r="V25" s="78">
        <v>2.4780000000000002</v>
      </c>
      <c r="W25" s="72">
        <v>164</v>
      </c>
      <c r="X25" s="72">
        <v>244</v>
      </c>
      <c r="Y25" s="72">
        <v>0</v>
      </c>
      <c r="Z25" s="78">
        <v>1.488</v>
      </c>
      <c r="AA25" s="72">
        <v>393</v>
      </c>
      <c r="AB25" s="72">
        <v>489</v>
      </c>
      <c r="AC25" s="72">
        <v>86</v>
      </c>
      <c r="AD25" s="77">
        <v>1</v>
      </c>
    </row>
    <row r="26" spans="1:30" ht="12.75" x14ac:dyDescent="0.2">
      <c r="A26" s="72" t="s">
        <v>212</v>
      </c>
      <c r="B26" s="72">
        <v>35</v>
      </c>
      <c r="C26" s="72">
        <v>27</v>
      </c>
      <c r="D26" s="72">
        <v>12</v>
      </c>
      <c r="E26" s="72">
        <v>15</v>
      </c>
      <c r="F26" s="72">
        <v>8</v>
      </c>
      <c r="G26" s="79">
        <v>0.77100000000000002</v>
      </c>
      <c r="H26" s="74">
        <v>18</v>
      </c>
      <c r="I26" s="74">
        <v>9</v>
      </c>
      <c r="J26" s="72">
        <v>26</v>
      </c>
      <c r="K26" s="72">
        <v>13</v>
      </c>
      <c r="L26" s="72">
        <v>0</v>
      </c>
      <c r="M26" s="72">
        <v>13</v>
      </c>
      <c r="N26" s="72">
        <v>13</v>
      </c>
      <c r="O26" s="72">
        <v>22</v>
      </c>
      <c r="P26" s="72">
        <v>4</v>
      </c>
      <c r="Q26" s="78">
        <v>0.5</v>
      </c>
      <c r="R26" s="78">
        <v>0.84599999999999997</v>
      </c>
      <c r="S26" s="72">
        <v>29</v>
      </c>
      <c r="T26" s="72">
        <v>3</v>
      </c>
      <c r="U26" s="72">
        <v>26</v>
      </c>
      <c r="V26" s="75">
        <v>0.10299999999999999</v>
      </c>
      <c r="W26" s="72">
        <v>3</v>
      </c>
      <c r="X26" s="72">
        <v>59</v>
      </c>
      <c r="Y26" s="72">
        <v>0</v>
      </c>
      <c r="Z26" s="78">
        <v>19.667000000000002</v>
      </c>
      <c r="AA26" s="72">
        <v>93</v>
      </c>
      <c r="AB26" s="72">
        <v>102</v>
      </c>
      <c r="AC26" s="72">
        <v>47</v>
      </c>
      <c r="AD26" s="77">
        <v>0.5</v>
      </c>
    </row>
    <row r="27" spans="1:30" ht="12.75" x14ac:dyDescent="0.2">
      <c r="A27" s="72" t="s">
        <v>213</v>
      </c>
      <c r="B27" s="72">
        <v>429</v>
      </c>
      <c r="C27" s="72">
        <v>0</v>
      </c>
      <c r="D27" s="72">
        <v>0</v>
      </c>
      <c r="E27" s="72">
        <v>0</v>
      </c>
      <c r="F27" s="72">
        <v>429</v>
      </c>
      <c r="G27" s="73">
        <v>0</v>
      </c>
      <c r="H27" s="74">
        <v>161</v>
      </c>
      <c r="I27" s="74">
        <v>0</v>
      </c>
      <c r="J27" s="72">
        <v>307</v>
      </c>
      <c r="K27" s="72">
        <v>0</v>
      </c>
      <c r="L27" s="72">
        <v>0</v>
      </c>
      <c r="M27" s="72">
        <v>0</v>
      </c>
      <c r="N27" s="72">
        <v>307</v>
      </c>
      <c r="O27" s="72">
        <v>0</v>
      </c>
      <c r="P27" s="72">
        <v>307</v>
      </c>
      <c r="Q27" s="75">
        <v>0</v>
      </c>
      <c r="R27" s="75">
        <v>0</v>
      </c>
      <c r="S27" s="72">
        <v>281</v>
      </c>
      <c r="T27" s="72">
        <v>0</v>
      </c>
      <c r="U27" s="72">
        <v>281</v>
      </c>
      <c r="V27" s="75">
        <v>0</v>
      </c>
      <c r="W27" s="72">
        <v>748</v>
      </c>
      <c r="X27" s="72">
        <v>384</v>
      </c>
      <c r="Y27" s="72">
        <v>364</v>
      </c>
      <c r="Z27" s="78">
        <v>0.51300000000000001</v>
      </c>
      <c r="AA27" s="76">
        <v>1765</v>
      </c>
      <c r="AB27" s="72">
        <v>384</v>
      </c>
      <c r="AC27" s="76">
        <v>1381</v>
      </c>
      <c r="AD27" s="77">
        <v>0.375</v>
      </c>
    </row>
    <row r="28" spans="1:30" ht="12.75" x14ac:dyDescent="0.2">
      <c r="A28" s="72" t="s">
        <v>214</v>
      </c>
      <c r="B28" s="72">
        <v>74</v>
      </c>
      <c r="C28" s="72">
        <v>0</v>
      </c>
      <c r="D28" s="72">
        <v>0</v>
      </c>
      <c r="E28" s="72">
        <v>0</v>
      </c>
      <c r="F28" s="72">
        <v>74</v>
      </c>
      <c r="G28" s="73">
        <v>0</v>
      </c>
      <c r="H28" s="74">
        <v>37</v>
      </c>
      <c r="I28" s="74">
        <v>0</v>
      </c>
      <c r="J28" s="72">
        <v>52</v>
      </c>
      <c r="K28" s="72">
        <v>1</v>
      </c>
      <c r="L28" s="72">
        <v>0</v>
      </c>
      <c r="M28" s="72">
        <v>1</v>
      </c>
      <c r="N28" s="72">
        <v>51</v>
      </c>
      <c r="O28" s="72">
        <v>1</v>
      </c>
      <c r="P28" s="72">
        <v>51</v>
      </c>
      <c r="Q28" s="75">
        <v>1.9E-2</v>
      </c>
      <c r="R28" s="75">
        <v>1.9E-2</v>
      </c>
      <c r="S28" s="72">
        <v>57</v>
      </c>
      <c r="T28" s="72">
        <v>39</v>
      </c>
      <c r="U28" s="72">
        <v>18</v>
      </c>
      <c r="V28" s="78">
        <v>0.68400000000000005</v>
      </c>
      <c r="W28" s="72">
        <v>125</v>
      </c>
      <c r="X28" s="72">
        <v>89</v>
      </c>
      <c r="Y28" s="72">
        <v>36</v>
      </c>
      <c r="Z28" s="78">
        <v>0.71199999999999997</v>
      </c>
      <c r="AA28" s="72">
        <v>308</v>
      </c>
      <c r="AB28" s="72">
        <v>129</v>
      </c>
      <c r="AC28" s="72">
        <v>179</v>
      </c>
      <c r="AD28" s="77">
        <v>0.5</v>
      </c>
    </row>
    <row r="29" spans="1:30" ht="12.75" x14ac:dyDescent="0.2">
      <c r="A29" s="72" t="s">
        <v>215</v>
      </c>
      <c r="B29" s="72">
        <v>20</v>
      </c>
      <c r="C29" s="72">
        <v>0</v>
      </c>
      <c r="D29" s="72">
        <v>0</v>
      </c>
      <c r="E29" s="72">
        <v>0</v>
      </c>
      <c r="F29" s="72">
        <v>20</v>
      </c>
      <c r="G29" s="73">
        <v>0</v>
      </c>
      <c r="H29" s="74">
        <v>10</v>
      </c>
      <c r="I29" s="74">
        <v>0</v>
      </c>
      <c r="J29" s="72">
        <v>12</v>
      </c>
      <c r="K29" s="72">
        <v>0</v>
      </c>
      <c r="L29" s="72">
        <v>0</v>
      </c>
      <c r="M29" s="72">
        <v>0</v>
      </c>
      <c r="N29" s="72">
        <v>12</v>
      </c>
      <c r="O29" s="72">
        <v>0</v>
      </c>
      <c r="P29" s="72">
        <v>12</v>
      </c>
      <c r="Q29" s="75">
        <v>0</v>
      </c>
      <c r="R29" s="75">
        <v>0</v>
      </c>
      <c r="S29" s="72">
        <v>14</v>
      </c>
      <c r="T29" s="72">
        <v>0</v>
      </c>
      <c r="U29" s="72">
        <v>14</v>
      </c>
      <c r="V29" s="75">
        <v>0</v>
      </c>
      <c r="W29" s="72">
        <v>34</v>
      </c>
      <c r="X29" s="72">
        <v>4</v>
      </c>
      <c r="Y29" s="72">
        <v>30</v>
      </c>
      <c r="Z29" s="75">
        <v>0.11799999999999999</v>
      </c>
      <c r="AA29" s="72">
        <v>80</v>
      </c>
      <c r="AB29" s="72">
        <v>4</v>
      </c>
      <c r="AC29" s="72">
        <v>76</v>
      </c>
      <c r="AD29" s="77">
        <v>0.5</v>
      </c>
    </row>
    <row r="30" spans="1:30" ht="12.75" x14ac:dyDescent="0.2">
      <c r="A30" s="72" t="s">
        <v>216</v>
      </c>
      <c r="B30" s="72">
        <v>145</v>
      </c>
      <c r="C30" s="72">
        <v>0</v>
      </c>
      <c r="D30" s="72">
        <v>0</v>
      </c>
      <c r="E30" s="72">
        <v>0</v>
      </c>
      <c r="F30" s="72">
        <v>145</v>
      </c>
      <c r="G30" s="73">
        <v>0</v>
      </c>
      <c r="H30" s="74">
        <v>54</v>
      </c>
      <c r="I30" s="74">
        <v>0</v>
      </c>
      <c r="J30" s="72">
        <v>108</v>
      </c>
      <c r="K30" s="72">
        <v>38</v>
      </c>
      <c r="L30" s="72">
        <v>38</v>
      </c>
      <c r="M30" s="72">
        <v>0</v>
      </c>
      <c r="N30" s="72">
        <v>70</v>
      </c>
      <c r="O30" s="72">
        <v>38</v>
      </c>
      <c r="P30" s="72">
        <v>70</v>
      </c>
      <c r="Q30" s="75">
        <v>0.35199999999999998</v>
      </c>
      <c r="R30" s="75">
        <v>0.35199999999999998</v>
      </c>
      <c r="S30" s="72">
        <v>115</v>
      </c>
      <c r="T30" s="72">
        <v>21</v>
      </c>
      <c r="U30" s="72">
        <v>94</v>
      </c>
      <c r="V30" s="75">
        <v>0.183</v>
      </c>
      <c r="W30" s="72">
        <v>271</v>
      </c>
      <c r="X30" s="72">
        <v>0</v>
      </c>
      <c r="Y30" s="72">
        <v>271</v>
      </c>
      <c r="Z30" s="75">
        <v>0</v>
      </c>
      <c r="AA30" s="72">
        <v>639</v>
      </c>
      <c r="AB30" s="72">
        <v>59</v>
      </c>
      <c r="AC30" s="72">
        <v>580</v>
      </c>
      <c r="AD30" s="77">
        <v>0.375</v>
      </c>
    </row>
    <row r="31" spans="1:30" ht="12.75" x14ac:dyDescent="0.2">
      <c r="A31" s="72" t="s">
        <v>218</v>
      </c>
      <c r="B31" s="72">
        <v>198</v>
      </c>
      <c r="C31" s="72">
        <v>0</v>
      </c>
      <c r="D31" s="72">
        <v>0</v>
      </c>
      <c r="E31" s="72">
        <v>0</v>
      </c>
      <c r="F31" s="72">
        <v>198</v>
      </c>
      <c r="G31" s="73">
        <v>0</v>
      </c>
      <c r="H31" s="74">
        <v>99</v>
      </c>
      <c r="I31" s="74">
        <v>0</v>
      </c>
      <c r="J31" s="72">
        <v>118</v>
      </c>
      <c r="K31" s="72">
        <v>6</v>
      </c>
      <c r="L31" s="72">
        <v>6</v>
      </c>
      <c r="M31" s="72">
        <v>0</v>
      </c>
      <c r="N31" s="72">
        <v>112</v>
      </c>
      <c r="O31" s="72">
        <v>6</v>
      </c>
      <c r="P31" s="72">
        <v>112</v>
      </c>
      <c r="Q31" s="75">
        <v>5.0999999999999997E-2</v>
      </c>
      <c r="R31" s="75">
        <v>5.0999999999999997E-2</v>
      </c>
      <c r="S31" s="72">
        <v>127</v>
      </c>
      <c r="T31" s="72">
        <v>861</v>
      </c>
      <c r="U31" s="72">
        <v>0</v>
      </c>
      <c r="V31" s="78">
        <v>6.78</v>
      </c>
      <c r="W31" s="72">
        <v>336</v>
      </c>
      <c r="X31" s="72">
        <v>0</v>
      </c>
      <c r="Y31" s="72">
        <v>336</v>
      </c>
      <c r="Z31" s="75">
        <v>0</v>
      </c>
      <c r="AA31" s="72">
        <v>779</v>
      </c>
      <c r="AB31" s="72">
        <v>867</v>
      </c>
      <c r="AC31" s="72">
        <v>646</v>
      </c>
      <c r="AD31" s="77">
        <v>0.5</v>
      </c>
    </row>
    <row r="32" spans="1:30" ht="12.75" x14ac:dyDescent="0.2">
      <c r="A32" s="72" t="s">
        <v>221</v>
      </c>
      <c r="B32" s="76">
        <v>9706</v>
      </c>
      <c r="C32" s="72">
        <v>182</v>
      </c>
      <c r="D32" s="72">
        <v>182</v>
      </c>
      <c r="E32" s="72">
        <v>0</v>
      </c>
      <c r="F32" s="76">
        <v>9524</v>
      </c>
      <c r="G32" s="73">
        <v>1.9E-2</v>
      </c>
      <c r="H32" s="74">
        <v>3640</v>
      </c>
      <c r="I32" s="74">
        <v>0</v>
      </c>
      <c r="J32" s="76">
        <v>5800</v>
      </c>
      <c r="K32" s="72">
        <v>77</v>
      </c>
      <c r="L32" s="72">
        <v>77</v>
      </c>
      <c r="M32" s="72">
        <v>0</v>
      </c>
      <c r="N32" s="76">
        <v>5723</v>
      </c>
      <c r="O32" s="72">
        <v>77</v>
      </c>
      <c r="P32" s="76">
        <v>5723</v>
      </c>
      <c r="Q32" s="75">
        <v>1.2999999999999999E-2</v>
      </c>
      <c r="R32" s="75">
        <v>1.2999999999999999E-2</v>
      </c>
      <c r="S32" s="76">
        <v>6453</v>
      </c>
      <c r="T32" s="76">
        <v>4389</v>
      </c>
      <c r="U32" s="76">
        <v>2064</v>
      </c>
      <c r="V32" s="78">
        <v>0.68</v>
      </c>
      <c r="W32" s="76">
        <v>14331</v>
      </c>
      <c r="X32" s="76">
        <v>4295</v>
      </c>
      <c r="Y32" s="76">
        <v>10036</v>
      </c>
      <c r="Z32" s="75">
        <v>0.3</v>
      </c>
      <c r="AA32" s="76">
        <v>36290</v>
      </c>
      <c r="AB32" s="76">
        <v>8943</v>
      </c>
      <c r="AC32" s="76">
        <v>27347</v>
      </c>
      <c r="AD32" s="77">
        <v>0.375</v>
      </c>
    </row>
    <row r="33" spans="1:30" ht="12.75" x14ac:dyDescent="0.2">
      <c r="A33" s="72" t="s">
        <v>222</v>
      </c>
      <c r="B33" s="72">
        <v>142</v>
      </c>
      <c r="C33" s="72">
        <v>47</v>
      </c>
      <c r="D33" s="72">
        <v>47</v>
      </c>
      <c r="E33" s="72">
        <v>0</v>
      </c>
      <c r="F33" s="72">
        <v>95</v>
      </c>
      <c r="G33" s="73">
        <v>0.33100000000000002</v>
      </c>
      <c r="H33" s="74">
        <v>71</v>
      </c>
      <c r="I33" s="74">
        <v>0</v>
      </c>
      <c r="J33" s="72">
        <v>83</v>
      </c>
      <c r="K33" s="72">
        <v>17</v>
      </c>
      <c r="L33" s="72">
        <v>17</v>
      </c>
      <c r="M33" s="72">
        <v>0</v>
      </c>
      <c r="N33" s="72">
        <v>66</v>
      </c>
      <c r="O33" s="72">
        <v>17</v>
      </c>
      <c r="P33" s="72">
        <v>66</v>
      </c>
      <c r="Q33" s="75">
        <v>0.20499999999999999</v>
      </c>
      <c r="R33" s="75">
        <v>0.20499999999999999</v>
      </c>
      <c r="S33" s="72">
        <v>90</v>
      </c>
      <c r="T33" s="72">
        <v>2</v>
      </c>
      <c r="U33" s="72">
        <v>88</v>
      </c>
      <c r="V33" s="75">
        <v>2.1999999999999999E-2</v>
      </c>
      <c r="W33" s="72">
        <v>242</v>
      </c>
      <c r="X33" s="72">
        <v>213</v>
      </c>
      <c r="Y33" s="72">
        <v>29</v>
      </c>
      <c r="Z33" s="78">
        <v>0.88</v>
      </c>
      <c r="AA33" s="72">
        <v>557</v>
      </c>
      <c r="AB33" s="72">
        <v>279</v>
      </c>
      <c r="AC33" s="72">
        <v>278</v>
      </c>
      <c r="AD33" s="77">
        <v>0.5</v>
      </c>
    </row>
    <row r="34" spans="1:30" ht="12.75" x14ac:dyDescent="0.2">
      <c r="A34" s="83" t="s">
        <v>224</v>
      </c>
      <c r="B34" s="72">
        <v>872</v>
      </c>
      <c r="C34" s="72">
        <v>0</v>
      </c>
      <c r="D34" s="72">
        <v>0</v>
      </c>
      <c r="E34" s="72">
        <v>0</v>
      </c>
      <c r="F34" s="72">
        <v>872</v>
      </c>
      <c r="G34" s="73">
        <v>0</v>
      </c>
      <c r="H34" s="74">
        <v>436</v>
      </c>
      <c r="I34" s="74">
        <v>0</v>
      </c>
      <c r="J34" s="72">
        <v>593</v>
      </c>
      <c r="K34" s="72">
        <v>0</v>
      </c>
      <c r="L34" s="72">
        <v>0</v>
      </c>
      <c r="M34" s="72">
        <v>0</v>
      </c>
      <c r="N34" s="72">
        <v>593</v>
      </c>
      <c r="O34" s="72">
        <v>0</v>
      </c>
      <c r="P34" s="72">
        <v>593</v>
      </c>
      <c r="Q34" s="75">
        <v>0</v>
      </c>
      <c r="R34" s="75">
        <v>0</v>
      </c>
      <c r="S34" s="72">
        <v>685</v>
      </c>
      <c r="T34" s="72">
        <v>0</v>
      </c>
      <c r="U34" s="72">
        <v>685</v>
      </c>
      <c r="V34" s="75">
        <v>0</v>
      </c>
      <c r="W34" s="76">
        <v>1642</v>
      </c>
      <c r="X34" s="72">
        <v>1</v>
      </c>
      <c r="Y34" s="76">
        <v>1641</v>
      </c>
      <c r="Z34" s="75">
        <v>1E-3</v>
      </c>
      <c r="AA34" s="76">
        <v>3792</v>
      </c>
      <c r="AB34" s="72">
        <v>1</v>
      </c>
      <c r="AC34" s="76">
        <v>3791</v>
      </c>
      <c r="AD34" s="77">
        <v>0.5</v>
      </c>
    </row>
    <row r="35" spans="1:30" ht="12.75" x14ac:dyDescent="0.2">
      <c r="A35" s="83" t="s">
        <v>226</v>
      </c>
      <c r="B35" s="72">
        <v>188</v>
      </c>
      <c r="C35" s="72">
        <v>0</v>
      </c>
      <c r="D35" s="72">
        <v>0</v>
      </c>
      <c r="E35" s="72">
        <v>0</v>
      </c>
      <c r="F35" s="72">
        <v>188</v>
      </c>
      <c r="G35" s="73">
        <v>0</v>
      </c>
      <c r="H35" s="74">
        <v>94</v>
      </c>
      <c r="I35" s="74">
        <v>0</v>
      </c>
      <c r="J35" s="72">
        <v>138</v>
      </c>
      <c r="K35" s="72">
        <v>0</v>
      </c>
      <c r="L35" s="72">
        <v>0</v>
      </c>
      <c r="M35" s="72">
        <v>0</v>
      </c>
      <c r="N35" s="72">
        <v>138</v>
      </c>
      <c r="O35" s="72">
        <v>0</v>
      </c>
      <c r="P35" s="72">
        <v>138</v>
      </c>
      <c r="Q35" s="75">
        <v>0</v>
      </c>
      <c r="R35" s="75">
        <v>0</v>
      </c>
      <c r="S35" s="72">
        <v>154</v>
      </c>
      <c r="T35" s="72">
        <v>2</v>
      </c>
      <c r="U35" s="72">
        <v>152</v>
      </c>
      <c r="V35" s="75">
        <v>1.2999999999999999E-2</v>
      </c>
      <c r="W35" s="72">
        <v>363</v>
      </c>
      <c r="X35" s="72">
        <v>1</v>
      </c>
      <c r="Y35" s="72">
        <v>362</v>
      </c>
      <c r="Z35" s="75">
        <v>3.0000000000000001E-3</v>
      </c>
      <c r="AA35" s="72">
        <v>843</v>
      </c>
      <c r="AB35" s="72">
        <v>3</v>
      </c>
      <c r="AC35" s="72">
        <v>840</v>
      </c>
      <c r="AD35" s="77">
        <v>0.5</v>
      </c>
    </row>
    <row r="36" spans="1:30" ht="12.75" x14ac:dyDescent="0.2">
      <c r="A36" s="83" t="s">
        <v>227</v>
      </c>
      <c r="B36" s="76">
        <v>1267</v>
      </c>
      <c r="C36" s="72">
        <v>0</v>
      </c>
      <c r="D36" s="72">
        <v>0</v>
      </c>
      <c r="E36" s="72">
        <v>0</v>
      </c>
      <c r="F36" s="76">
        <v>1267</v>
      </c>
      <c r="G36" s="73">
        <v>0</v>
      </c>
      <c r="H36" s="74">
        <v>634</v>
      </c>
      <c r="I36" s="74">
        <v>0</v>
      </c>
      <c r="J36" s="72">
        <v>854</v>
      </c>
      <c r="K36" s="72">
        <v>0</v>
      </c>
      <c r="L36" s="72">
        <v>0</v>
      </c>
      <c r="M36" s="72">
        <v>0</v>
      </c>
      <c r="N36" s="72">
        <v>854</v>
      </c>
      <c r="O36" s="72">
        <v>0</v>
      </c>
      <c r="P36" s="72">
        <v>854</v>
      </c>
      <c r="Q36" s="75">
        <v>0</v>
      </c>
      <c r="R36" s="75">
        <v>0</v>
      </c>
      <c r="S36" s="72">
        <v>969</v>
      </c>
      <c r="T36" s="72">
        <v>323</v>
      </c>
      <c r="U36" s="72">
        <v>646</v>
      </c>
      <c r="V36" s="75">
        <v>0.33300000000000002</v>
      </c>
      <c r="W36" s="76">
        <v>2160</v>
      </c>
      <c r="X36" s="72">
        <v>423</v>
      </c>
      <c r="Y36" s="76">
        <v>1737</v>
      </c>
      <c r="Z36" s="75">
        <v>0.19600000000000001</v>
      </c>
      <c r="AA36" s="76">
        <v>5250</v>
      </c>
      <c r="AB36" s="72">
        <v>746</v>
      </c>
      <c r="AC36" s="76">
        <v>4504</v>
      </c>
      <c r="AD36" s="77">
        <v>0.5</v>
      </c>
    </row>
    <row r="37" spans="1:30" ht="12.75" x14ac:dyDescent="0.2">
      <c r="A37" s="83" t="s">
        <v>228</v>
      </c>
      <c r="B37" s="72">
        <v>11</v>
      </c>
      <c r="C37" s="72">
        <v>65</v>
      </c>
      <c r="D37" s="72">
        <v>65</v>
      </c>
      <c r="E37" s="72">
        <v>0</v>
      </c>
      <c r="F37" s="72">
        <v>0</v>
      </c>
      <c r="G37" s="79">
        <v>5.9089999999999998</v>
      </c>
      <c r="H37" s="74">
        <v>6</v>
      </c>
      <c r="I37" s="74">
        <v>59</v>
      </c>
      <c r="J37" s="72">
        <v>7</v>
      </c>
      <c r="K37" s="72">
        <v>0</v>
      </c>
      <c r="L37" s="72">
        <v>0</v>
      </c>
      <c r="M37" s="72">
        <v>0</v>
      </c>
      <c r="N37" s="72">
        <v>7</v>
      </c>
      <c r="O37" s="72">
        <v>59</v>
      </c>
      <c r="P37" s="72">
        <v>0</v>
      </c>
      <c r="Q37" s="75">
        <v>0</v>
      </c>
      <c r="R37" s="78">
        <v>8.4290000000000003</v>
      </c>
      <c r="S37" s="72">
        <v>8</v>
      </c>
      <c r="T37" s="72">
        <v>3</v>
      </c>
      <c r="U37" s="72">
        <v>5</v>
      </c>
      <c r="V37" s="75">
        <v>0.375</v>
      </c>
      <c r="W37" s="72">
        <v>21</v>
      </c>
      <c r="X37" s="72">
        <v>72</v>
      </c>
      <c r="Y37" s="72">
        <v>0</v>
      </c>
      <c r="Z37" s="78">
        <v>3.4289999999999998</v>
      </c>
      <c r="AA37" s="72">
        <v>47</v>
      </c>
      <c r="AB37" s="72">
        <v>140</v>
      </c>
      <c r="AC37" s="72">
        <v>12</v>
      </c>
      <c r="AD37" s="77">
        <v>0.5</v>
      </c>
    </row>
    <row r="38" spans="1:30" ht="12.75" x14ac:dyDescent="0.2">
      <c r="A38" s="83" t="s">
        <v>232</v>
      </c>
      <c r="B38" s="72">
        <v>11</v>
      </c>
      <c r="C38" s="72">
        <v>0</v>
      </c>
      <c r="D38" s="72">
        <v>0</v>
      </c>
      <c r="E38" s="72">
        <v>0</v>
      </c>
      <c r="F38" s="72">
        <v>11</v>
      </c>
      <c r="G38" s="73">
        <v>0</v>
      </c>
      <c r="H38" s="74">
        <v>6</v>
      </c>
      <c r="I38" s="74">
        <v>0</v>
      </c>
      <c r="J38" s="72">
        <v>7</v>
      </c>
      <c r="K38" s="72">
        <v>0</v>
      </c>
      <c r="L38" s="72">
        <v>0</v>
      </c>
      <c r="M38" s="72">
        <v>0</v>
      </c>
      <c r="N38" s="72">
        <v>7</v>
      </c>
      <c r="O38" s="72">
        <v>0</v>
      </c>
      <c r="P38" s="72">
        <v>7</v>
      </c>
      <c r="Q38" s="75">
        <v>0</v>
      </c>
      <c r="R38" s="75">
        <v>0</v>
      </c>
      <c r="S38" s="72">
        <v>8</v>
      </c>
      <c r="T38" s="72">
        <v>10</v>
      </c>
      <c r="U38" s="72">
        <v>0</v>
      </c>
      <c r="V38" s="78">
        <v>1.25</v>
      </c>
      <c r="W38" s="72">
        <v>20</v>
      </c>
      <c r="X38" s="72">
        <v>17</v>
      </c>
      <c r="Y38" s="72">
        <v>3</v>
      </c>
      <c r="Z38" s="78">
        <v>0.85</v>
      </c>
      <c r="AA38" s="72">
        <v>46</v>
      </c>
      <c r="AB38" s="72">
        <v>27</v>
      </c>
      <c r="AC38" s="72">
        <v>21</v>
      </c>
      <c r="AD38" s="77">
        <v>0.5</v>
      </c>
    </row>
    <row r="39" spans="1:30" ht="12.75" x14ac:dyDescent="0.2">
      <c r="A39" s="83" t="s">
        <v>233</v>
      </c>
      <c r="B39" s="72">
        <v>1</v>
      </c>
      <c r="C39" s="72">
        <v>0</v>
      </c>
      <c r="D39" s="72">
        <v>0</v>
      </c>
      <c r="E39" s="72">
        <v>0</v>
      </c>
      <c r="F39" s="72">
        <v>1</v>
      </c>
      <c r="G39" s="73">
        <v>0</v>
      </c>
      <c r="H39" s="74">
        <v>1</v>
      </c>
      <c r="I39" s="74">
        <v>0</v>
      </c>
      <c r="J39" s="72">
        <v>1</v>
      </c>
      <c r="K39" s="72">
        <v>6</v>
      </c>
      <c r="L39" s="72">
        <v>6</v>
      </c>
      <c r="M39" s="72">
        <v>0</v>
      </c>
      <c r="N39" s="72">
        <v>0</v>
      </c>
      <c r="O39" s="72">
        <v>6</v>
      </c>
      <c r="P39" s="72">
        <v>0</v>
      </c>
      <c r="Q39" s="78">
        <v>6</v>
      </c>
      <c r="R39" s="78">
        <v>6</v>
      </c>
      <c r="S39" s="72">
        <v>0</v>
      </c>
      <c r="T39" s="72">
        <v>6</v>
      </c>
      <c r="U39" s="72">
        <v>0</v>
      </c>
      <c r="V39" s="80" t="s">
        <v>196</v>
      </c>
      <c r="W39" s="72">
        <v>0</v>
      </c>
      <c r="X39" s="72">
        <v>291</v>
      </c>
      <c r="Y39" s="72">
        <v>0</v>
      </c>
      <c r="Z39" s="80" t="s">
        <v>196</v>
      </c>
      <c r="AA39" s="72">
        <v>2</v>
      </c>
      <c r="AB39" s="72">
        <v>303</v>
      </c>
      <c r="AC39" s="72">
        <v>1</v>
      </c>
      <c r="AD39" s="77">
        <v>0.5</v>
      </c>
    </row>
    <row r="40" spans="1:30" ht="12.75" x14ac:dyDescent="0.2">
      <c r="A40" s="83" t="s">
        <v>235</v>
      </c>
      <c r="B40" s="72">
        <v>116</v>
      </c>
      <c r="C40" s="72">
        <v>0</v>
      </c>
      <c r="D40" s="72">
        <v>0</v>
      </c>
      <c r="E40" s="72">
        <v>0</v>
      </c>
      <c r="F40" s="72">
        <v>116</v>
      </c>
      <c r="G40" s="73">
        <v>0</v>
      </c>
      <c r="H40" s="74">
        <v>58</v>
      </c>
      <c r="I40" s="74">
        <v>0</v>
      </c>
      <c r="J40" s="72">
        <v>63</v>
      </c>
      <c r="K40" s="72">
        <v>0</v>
      </c>
      <c r="L40" s="72">
        <v>0</v>
      </c>
      <c r="M40" s="72">
        <v>0</v>
      </c>
      <c r="N40" s="72">
        <v>63</v>
      </c>
      <c r="O40" s="72">
        <v>0</v>
      </c>
      <c r="P40" s="72">
        <v>63</v>
      </c>
      <c r="Q40" s="75">
        <v>0</v>
      </c>
      <c r="R40" s="75">
        <v>0</v>
      </c>
      <c r="S40" s="72">
        <v>67</v>
      </c>
      <c r="T40" s="72">
        <v>13</v>
      </c>
      <c r="U40" s="72">
        <v>54</v>
      </c>
      <c r="V40" s="75">
        <v>0.19400000000000001</v>
      </c>
      <c r="W40" s="72">
        <v>222</v>
      </c>
      <c r="X40" s="72">
        <v>147</v>
      </c>
      <c r="Y40" s="72">
        <v>75</v>
      </c>
      <c r="Z40" s="78">
        <v>0.66200000000000003</v>
      </c>
      <c r="AA40" s="72">
        <v>468</v>
      </c>
      <c r="AB40" s="72">
        <v>160</v>
      </c>
      <c r="AC40" s="72">
        <v>308</v>
      </c>
      <c r="AD40" s="77">
        <v>0.5</v>
      </c>
    </row>
    <row r="41" spans="1:30" ht="12.75" x14ac:dyDescent="0.2">
      <c r="A41" s="83" t="s">
        <v>237</v>
      </c>
      <c r="B41" s="72">
        <v>4</v>
      </c>
      <c r="C41" s="72">
        <v>0</v>
      </c>
      <c r="D41" s="72">
        <v>0</v>
      </c>
      <c r="E41" s="72">
        <v>0</v>
      </c>
      <c r="F41" s="72">
        <v>4</v>
      </c>
      <c r="G41" s="73">
        <v>0</v>
      </c>
      <c r="H41" s="74">
        <v>2</v>
      </c>
      <c r="I41" s="74">
        <v>0</v>
      </c>
      <c r="J41" s="72">
        <v>3</v>
      </c>
      <c r="K41" s="72">
        <v>0</v>
      </c>
      <c r="L41" s="72">
        <v>0</v>
      </c>
      <c r="M41" s="72">
        <v>0</v>
      </c>
      <c r="N41" s="72">
        <v>3</v>
      </c>
      <c r="O41" s="72">
        <v>0</v>
      </c>
      <c r="P41" s="72">
        <v>3</v>
      </c>
      <c r="Q41" s="75">
        <v>0</v>
      </c>
      <c r="R41" s="75">
        <v>0</v>
      </c>
      <c r="S41" s="72">
        <v>4</v>
      </c>
      <c r="T41" s="72">
        <v>2</v>
      </c>
      <c r="U41" s="72">
        <v>2</v>
      </c>
      <c r="V41" s="78">
        <v>0.5</v>
      </c>
      <c r="W41" s="72">
        <v>5</v>
      </c>
      <c r="X41" s="72">
        <v>0</v>
      </c>
      <c r="Y41" s="72">
        <v>5</v>
      </c>
      <c r="Z41" s="75">
        <v>0</v>
      </c>
      <c r="AA41" s="72">
        <v>16</v>
      </c>
      <c r="AB41" s="72">
        <v>2</v>
      </c>
      <c r="AC41" s="72">
        <v>14</v>
      </c>
      <c r="AD41" s="77">
        <v>0.5</v>
      </c>
    </row>
    <row r="42" spans="1:30" ht="12.75" x14ac:dyDescent="0.2">
      <c r="A42" s="83" t="s">
        <v>238</v>
      </c>
      <c r="B42" s="72">
        <v>94</v>
      </c>
      <c r="C42" s="72">
        <v>1</v>
      </c>
      <c r="D42" s="72">
        <v>1</v>
      </c>
      <c r="E42" s="72">
        <v>0</v>
      </c>
      <c r="F42" s="72">
        <v>93</v>
      </c>
      <c r="G42" s="73">
        <v>1.0999999999999999E-2</v>
      </c>
      <c r="H42" s="74">
        <v>47</v>
      </c>
      <c r="I42" s="74">
        <v>0</v>
      </c>
      <c r="J42" s="72">
        <v>54</v>
      </c>
      <c r="K42" s="72">
        <v>3</v>
      </c>
      <c r="L42" s="72">
        <v>3</v>
      </c>
      <c r="M42" s="72">
        <v>0</v>
      </c>
      <c r="N42" s="72">
        <v>51</v>
      </c>
      <c r="O42" s="72">
        <v>3</v>
      </c>
      <c r="P42" s="72">
        <v>51</v>
      </c>
      <c r="Q42" s="75">
        <v>5.6000000000000001E-2</v>
      </c>
      <c r="R42" s="75">
        <v>5.6000000000000001E-2</v>
      </c>
      <c r="S42" s="72">
        <v>56</v>
      </c>
      <c r="T42" s="72">
        <v>3</v>
      </c>
      <c r="U42" s="72">
        <v>53</v>
      </c>
      <c r="V42" s="75">
        <v>5.3999999999999999E-2</v>
      </c>
      <c r="W42" s="72">
        <v>123</v>
      </c>
      <c r="X42" s="72">
        <v>15</v>
      </c>
      <c r="Y42" s="72">
        <v>108</v>
      </c>
      <c r="Z42" s="75">
        <v>0.122</v>
      </c>
      <c r="AA42" s="72">
        <v>327</v>
      </c>
      <c r="AB42" s="72">
        <v>22</v>
      </c>
      <c r="AC42" s="72">
        <v>305</v>
      </c>
      <c r="AD42" s="77">
        <v>0.5</v>
      </c>
    </row>
    <row r="43" spans="1:30" ht="12.75" x14ac:dyDescent="0.2">
      <c r="A43" s="83" t="s">
        <v>146</v>
      </c>
      <c r="B43" s="72">
        <v>532</v>
      </c>
      <c r="C43" s="72">
        <v>86</v>
      </c>
      <c r="D43" s="72">
        <v>86</v>
      </c>
      <c r="E43" s="72">
        <v>0</v>
      </c>
      <c r="F43" s="72">
        <v>446</v>
      </c>
      <c r="G43" s="73">
        <v>0.16200000000000001</v>
      </c>
      <c r="H43" s="74">
        <v>266</v>
      </c>
      <c r="I43" s="74">
        <v>0</v>
      </c>
      <c r="J43" s="72">
        <v>442</v>
      </c>
      <c r="K43" s="72">
        <v>17</v>
      </c>
      <c r="L43" s="72">
        <v>17</v>
      </c>
      <c r="M43" s="72">
        <v>0</v>
      </c>
      <c r="N43" s="72">
        <v>425</v>
      </c>
      <c r="O43" s="72">
        <v>17</v>
      </c>
      <c r="P43" s="72">
        <v>425</v>
      </c>
      <c r="Q43" s="75">
        <v>3.7999999999999999E-2</v>
      </c>
      <c r="R43" s="75">
        <v>3.7999999999999999E-2</v>
      </c>
      <c r="S43" s="72">
        <v>584</v>
      </c>
      <c r="T43" s="72">
        <v>132</v>
      </c>
      <c r="U43" s="72">
        <v>452</v>
      </c>
      <c r="V43" s="75">
        <v>0.22600000000000001</v>
      </c>
      <c r="W43" s="76">
        <v>1401</v>
      </c>
      <c r="X43" s="76">
        <v>1132</v>
      </c>
      <c r="Y43" s="72">
        <v>269</v>
      </c>
      <c r="Z43" s="78">
        <v>0.80800000000000005</v>
      </c>
      <c r="AA43" s="76">
        <v>2959</v>
      </c>
      <c r="AB43" s="76">
        <v>1367</v>
      </c>
      <c r="AC43" s="76">
        <v>1592</v>
      </c>
      <c r="AD43" s="77">
        <v>0.5</v>
      </c>
    </row>
    <row r="44" spans="1:30" ht="12.75" x14ac:dyDescent="0.2">
      <c r="A44" s="83" t="s">
        <v>241</v>
      </c>
      <c r="B44" s="72">
        <v>1</v>
      </c>
      <c r="C44" s="72">
        <v>4</v>
      </c>
      <c r="D44" s="72">
        <v>2</v>
      </c>
      <c r="E44" s="72">
        <v>2</v>
      </c>
      <c r="F44" s="72">
        <v>0</v>
      </c>
      <c r="G44" s="79">
        <v>4</v>
      </c>
      <c r="H44" s="74">
        <v>1</v>
      </c>
      <c r="I44" s="74">
        <v>3</v>
      </c>
      <c r="J44" s="72">
        <v>1</v>
      </c>
      <c r="K44" s="72">
        <v>3</v>
      </c>
      <c r="L44" s="72">
        <v>3</v>
      </c>
      <c r="M44" s="72">
        <v>0</v>
      </c>
      <c r="N44" s="72">
        <v>0</v>
      </c>
      <c r="O44" s="72">
        <v>6</v>
      </c>
      <c r="P44" s="72">
        <v>0</v>
      </c>
      <c r="Q44" s="78">
        <v>3</v>
      </c>
      <c r="R44" s="78">
        <v>6</v>
      </c>
      <c r="S44" s="72">
        <v>1</v>
      </c>
      <c r="T44" s="72">
        <v>2</v>
      </c>
      <c r="U44" s="72">
        <v>0</v>
      </c>
      <c r="V44" s="78">
        <v>2</v>
      </c>
      <c r="W44" s="72">
        <v>0</v>
      </c>
      <c r="X44" s="72">
        <v>98</v>
      </c>
      <c r="Y44" s="72">
        <v>0</v>
      </c>
      <c r="Z44" s="80" t="s">
        <v>196</v>
      </c>
      <c r="AA44" s="72">
        <v>3</v>
      </c>
      <c r="AB44" s="72">
        <v>107</v>
      </c>
      <c r="AC44" s="84">
        <v>0</v>
      </c>
      <c r="AD44" s="77">
        <v>0.5</v>
      </c>
    </row>
    <row r="45" spans="1:30" ht="12.75" x14ac:dyDescent="0.2">
      <c r="A45" s="83" t="s">
        <v>243</v>
      </c>
      <c r="B45" s="72">
        <v>1</v>
      </c>
      <c r="C45" s="72">
        <v>0</v>
      </c>
      <c r="D45" s="72">
        <v>0</v>
      </c>
      <c r="E45" s="72">
        <v>0</v>
      </c>
      <c r="F45" s="72">
        <v>1</v>
      </c>
      <c r="G45" s="73">
        <v>0</v>
      </c>
      <c r="H45" s="74">
        <v>1</v>
      </c>
      <c r="I45" s="74">
        <v>0</v>
      </c>
      <c r="J45" s="72">
        <v>1</v>
      </c>
      <c r="K45" s="72">
        <v>2</v>
      </c>
      <c r="L45" s="72">
        <v>0</v>
      </c>
      <c r="M45" s="72">
        <v>2</v>
      </c>
      <c r="N45" s="72">
        <v>0</v>
      </c>
      <c r="O45" s="72">
        <v>2</v>
      </c>
      <c r="P45" s="72">
        <v>0</v>
      </c>
      <c r="Q45" s="78">
        <v>2</v>
      </c>
      <c r="R45" s="78">
        <v>2</v>
      </c>
      <c r="S45" s="72">
        <v>0</v>
      </c>
      <c r="T45" s="72">
        <v>9</v>
      </c>
      <c r="U45" s="72">
        <v>0</v>
      </c>
      <c r="V45" s="80" t="s">
        <v>196</v>
      </c>
      <c r="W45" s="72">
        <v>0</v>
      </c>
      <c r="X45" s="72">
        <v>50</v>
      </c>
      <c r="Y45" s="72">
        <v>0</v>
      </c>
      <c r="Z45" s="80" t="s">
        <v>196</v>
      </c>
      <c r="AA45" s="72">
        <v>2</v>
      </c>
      <c r="AB45" s="72">
        <v>61</v>
      </c>
      <c r="AC45" s="72">
        <v>1</v>
      </c>
      <c r="AD45" s="77">
        <v>0.5</v>
      </c>
    </row>
    <row r="46" spans="1:30" ht="12.75" x14ac:dyDescent="0.2">
      <c r="A46" s="83" t="s">
        <v>231</v>
      </c>
      <c r="B46" s="72">
        <v>48</v>
      </c>
      <c r="C46" s="72">
        <v>26</v>
      </c>
      <c r="D46" s="72">
        <v>26</v>
      </c>
      <c r="E46" s="72">
        <v>0</v>
      </c>
      <c r="F46" s="72">
        <v>22</v>
      </c>
      <c r="G46" s="79">
        <v>0.54200000000000004</v>
      </c>
      <c r="H46" s="74">
        <v>24</v>
      </c>
      <c r="I46" s="74">
        <v>2</v>
      </c>
      <c r="J46" s="72">
        <v>30</v>
      </c>
      <c r="K46" s="72">
        <v>30</v>
      </c>
      <c r="L46" s="72">
        <v>30</v>
      </c>
      <c r="M46" s="72">
        <v>0</v>
      </c>
      <c r="N46" s="72">
        <v>0</v>
      </c>
      <c r="O46" s="72">
        <v>32</v>
      </c>
      <c r="P46" s="72">
        <v>0</v>
      </c>
      <c r="Q46" s="78">
        <v>1</v>
      </c>
      <c r="R46" s="78">
        <v>1.0669999999999999</v>
      </c>
      <c r="S46" s="72">
        <v>24</v>
      </c>
      <c r="T46" s="72">
        <v>1</v>
      </c>
      <c r="U46" s="72">
        <v>23</v>
      </c>
      <c r="V46" s="75">
        <v>4.2000000000000003E-2</v>
      </c>
      <c r="W46" s="72">
        <v>82</v>
      </c>
      <c r="X46" s="72">
        <v>0</v>
      </c>
      <c r="Y46" s="72">
        <v>82</v>
      </c>
      <c r="Z46" s="75">
        <v>0</v>
      </c>
      <c r="AA46" s="72">
        <v>184</v>
      </c>
      <c r="AB46" s="72">
        <v>57</v>
      </c>
      <c r="AC46" s="72">
        <v>127</v>
      </c>
      <c r="AD46" s="77">
        <v>0.5</v>
      </c>
    </row>
    <row r="47" spans="1:30" ht="12.75" x14ac:dyDescent="0.2">
      <c r="A47" s="83" t="s">
        <v>245</v>
      </c>
      <c r="B47" s="72">
        <v>15</v>
      </c>
      <c r="C47" s="72">
        <v>0</v>
      </c>
      <c r="D47" s="72">
        <v>0</v>
      </c>
      <c r="E47" s="72">
        <v>0</v>
      </c>
      <c r="F47" s="72">
        <v>15</v>
      </c>
      <c r="G47" s="73">
        <v>0</v>
      </c>
      <c r="H47" s="74">
        <v>15</v>
      </c>
      <c r="I47" s="74">
        <v>0</v>
      </c>
      <c r="J47" s="72">
        <v>10</v>
      </c>
      <c r="K47" s="72">
        <v>1</v>
      </c>
      <c r="L47" s="72">
        <v>1</v>
      </c>
      <c r="M47" s="72">
        <v>0</v>
      </c>
      <c r="N47" s="72">
        <v>9</v>
      </c>
      <c r="O47" s="72">
        <v>1</v>
      </c>
      <c r="P47" s="72">
        <v>9</v>
      </c>
      <c r="Q47" s="75">
        <v>0.1</v>
      </c>
      <c r="R47" s="75">
        <v>0.1</v>
      </c>
      <c r="S47" s="72">
        <v>12</v>
      </c>
      <c r="T47" s="72">
        <v>8</v>
      </c>
      <c r="U47" s="72">
        <v>4</v>
      </c>
      <c r="V47" s="75">
        <v>0.66700000000000004</v>
      </c>
      <c r="W47" s="72">
        <v>28</v>
      </c>
      <c r="X47" s="72">
        <v>1</v>
      </c>
      <c r="Y47" s="72">
        <v>27</v>
      </c>
      <c r="Z47" s="75">
        <v>3.5999999999999997E-2</v>
      </c>
      <c r="AA47" s="72">
        <v>65</v>
      </c>
      <c r="AB47" s="72">
        <v>10</v>
      </c>
      <c r="AC47" s="72">
        <v>55</v>
      </c>
      <c r="AD47" s="77">
        <v>1</v>
      </c>
    </row>
    <row r="48" spans="1:30" ht="12.75" x14ac:dyDescent="0.2">
      <c r="A48" s="83" t="s">
        <v>246</v>
      </c>
      <c r="B48" s="72">
        <v>4</v>
      </c>
      <c r="C48" s="72">
        <v>0</v>
      </c>
      <c r="D48" s="72">
        <v>0</v>
      </c>
      <c r="E48" s="72">
        <v>0</v>
      </c>
      <c r="F48" s="72">
        <v>4</v>
      </c>
      <c r="G48" s="73">
        <v>0</v>
      </c>
      <c r="H48" s="74">
        <v>4</v>
      </c>
      <c r="I48" s="74">
        <v>0</v>
      </c>
      <c r="J48" s="72">
        <v>1</v>
      </c>
      <c r="K48" s="72">
        <v>0</v>
      </c>
      <c r="L48" s="72">
        <v>0</v>
      </c>
      <c r="M48" s="72">
        <v>0</v>
      </c>
      <c r="N48" s="72">
        <v>1</v>
      </c>
      <c r="O48" s="72">
        <v>0</v>
      </c>
      <c r="P48" s="72">
        <v>1</v>
      </c>
      <c r="Q48" s="75">
        <v>0</v>
      </c>
      <c r="R48" s="75">
        <v>0</v>
      </c>
      <c r="S48" s="72">
        <v>2</v>
      </c>
      <c r="T48" s="72">
        <v>0</v>
      </c>
      <c r="U48" s="72">
        <v>2</v>
      </c>
      <c r="V48" s="75">
        <v>0</v>
      </c>
      <c r="W48" s="72">
        <v>4</v>
      </c>
      <c r="X48" s="72">
        <v>0</v>
      </c>
      <c r="Y48" s="72">
        <v>4</v>
      </c>
      <c r="Z48" s="75">
        <v>0</v>
      </c>
      <c r="AA48" s="72">
        <v>11</v>
      </c>
      <c r="AB48" s="72">
        <v>0</v>
      </c>
      <c r="AC48" s="72">
        <v>11</v>
      </c>
      <c r="AD48" s="77">
        <v>1</v>
      </c>
    </row>
    <row r="49" spans="1:30" ht="12.75" x14ac:dyDescent="0.2">
      <c r="A49" s="83" t="s">
        <v>247</v>
      </c>
      <c r="B49" s="72">
        <v>91</v>
      </c>
      <c r="C49" s="72">
        <v>0</v>
      </c>
      <c r="D49" s="72">
        <v>0</v>
      </c>
      <c r="E49" s="72">
        <v>0</v>
      </c>
      <c r="F49" s="72">
        <v>91</v>
      </c>
      <c r="G49" s="73">
        <v>0</v>
      </c>
      <c r="H49" s="74">
        <v>46</v>
      </c>
      <c r="I49" s="74">
        <v>0</v>
      </c>
      <c r="J49" s="72">
        <v>64</v>
      </c>
      <c r="K49" s="72">
        <v>0</v>
      </c>
      <c r="L49" s="72">
        <v>0</v>
      </c>
      <c r="M49" s="72">
        <v>0</v>
      </c>
      <c r="N49" s="72">
        <v>64</v>
      </c>
      <c r="O49" s="72">
        <v>0</v>
      </c>
      <c r="P49" s="72">
        <v>64</v>
      </c>
      <c r="Q49" s="75">
        <v>0</v>
      </c>
      <c r="R49" s="75">
        <v>0</v>
      </c>
      <c r="S49" s="72">
        <v>75</v>
      </c>
      <c r="T49" s="72">
        <v>0</v>
      </c>
      <c r="U49" s="72">
        <v>75</v>
      </c>
      <c r="V49" s="75">
        <v>0</v>
      </c>
      <c r="W49" s="72">
        <v>172</v>
      </c>
      <c r="X49" s="72">
        <v>0</v>
      </c>
      <c r="Y49" s="72">
        <v>172</v>
      </c>
      <c r="Z49" s="75">
        <v>0</v>
      </c>
      <c r="AA49" s="72">
        <v>402</v>
      </c>
      <c r="AB49" s="72">
        <v>0</v>
      </c>
      <c r="AC49" s="72">
        <v>402</v>
      </c>
      <c r="AD49" s="77">
        <v>0.5</v>
      </c>
    </row>
    <row r="50" spans="1:30" ht="12.75" x14ac:dyDescent="0.2">
      <c r="A50" s="83" t="s">
        <v>248</v>
      </c>
      <c r="B50" s="72">
        <v>1</v>
      </c>
      <c r="C50" s="72">
        <v>0</v>
      </c>
      <c r="D50" s="72">
        <v>0</v>
      </c>
      <c r="E50" s="72">
        <v>0</v>
      </c>
      <c r="F50" s="72">
        <v>1</v>
      </c>
      <c r="G50" s="73">
        <v>0</v>
      </c>
      <c r="H50" s="74">
        <v>1</v>
      </c>
      <c r="I50" s="74">
        <v>0</v>
      </c>
      <c r="J50" s="72">
        <v>1</v>
      </c>
      <c r="K50" s="72">
        <v>0</v>
      </c>
      <c r="L50" s="72">
        <v>0</v>
      </c>
      <c r="M50" s="72">
        <v>0</v>
      </c>
      <c r="N50" s="72">
        <v>1</v>
      </c>
      <c r="O50" s="72">
        <v>0</v>
      </c>
      <c r="P50" s="72">
        <v>1</v>
      </c>
      <c r="Q50" s="75">
        <v>0</v>
      </c>
      <c r="R50" s="75">
        <v>0</v>
      </c>
      <c r="S50" s="72">
        <v>0</v>
      </c>
      <c r="T50" s="72">
        <v>0</v>
      </c>
      <c r="U50" s="72">
        <v>0</v>
      </c>
      <c r="V50" s="80" t="s">
        <v>196</v>
      </c>
      <c r="W50" s="72">
        <v>0</v>
      </c>
      <c r="X50" s="72">
        <v>0</v>
      </c>
      <c r="Y50" s="72">
        <v>0</v>
      </c>
      <c r="Z50" s="80" t="s">
        <v>196</v>
      </c>
      <c r="AA50" s="72">
        <v>2</v>
      </c>
      <c r="AB50" s="72">
        <v>0</v>
      </c>
      <c r="AC50" s="72">
        <v>2</v>
      </c>
      <c r="AD50" s="77">
        <v>0.5</v>
      </c>
    </row>
    <row r="51" spans="1:30" ht="12.75" x14ac:dyDescent="0.2">
      <c r="A51" s="83" t="s">
        <v>249</v>
      </c>
      <c r="B51" s="72">
        <v>760</v>
      </c>
      <c r="C51" s="72">
        <v>60</v>
      </c>
      <c r="D51" s="72">
        <v>58</v>
      </c>
      <c r="E51" s="72">
        <v>2</v>
      </c>
      <c r="F51" s="72">
        <v>700</v>
      </c>
      <c r="G51" s="73">
        <v>7.9000000000000001E-2</v>
      </c>
      <c r="H51" s="74">
        <v>380</v>
      </c>
      <c r="I51" s="74">
        <v>0</v>
      </c>
      <c r="J51" s="72">
        <v>470</v>
      </c>
      <c r="K51" s="72">
        <v>80</v>
      </c>
      <c r="L51" s="72">
        <v>76</v>
      </c>
      <c r="M51" s="72">
        <v>4</v>
      </c>
      <c r="N51" s="72">
        <v>390</v>
      </c>
      <c r="O51" s="72">
        <v>80</v>
      </c>
      <c r="P51" s="72">
        <v>390</v>
      </c>
      <c r="Q51" s="75">
        <v>0.17</v>
      </c>
      <c r="R51" s="75">
        <v>0.17</v>
      </c>
      <c r="S51" s="72">
        <v>466</v>
      </c>
      <c r="T51" s="72">
        <v>109</v>
      </c>
      <c r="U51" s="72">
        <v>357</v>
      </c>
      <c r="V51" s="75">
        <v>0.23400000000000001</v>
      </c>
      <c r="W51" s="76">
        <v>1338</v>
      </c>
      <c r="X51" s="72">
        <v>38</v>
      </c>
      <c r="Y51" s="76">
        <v>1300</v>
      </c>
      <c r="Z51" s="75">
        <v>2.8000000000000001E-2</v>
      </c>
      <c r="AA51" s="76">
        <v>3034</v>
      </c>
      <c r="AB51" s="72">
        <v>287</v>
      </c>
      <c r="AC51" s="76">
        <v>2747</v>
      </c>
      <c r="AD51" s="77">
        <v>0.5</v>
      </c>
    </row>
    <row r="52" spans="1:30" ht="12.75" x14ac:dyDescent="0.2">
      <c r="A52" s="83" t="s">
        <v>250</v>
      </c>
      <c r="B52" s="72">
        <v>426</v>
      </c>
      <c r="C52" s="72">
        <v>0</v>
      </c>
      <c r="D52" s="72">
        <v>0</v>
      </c>
      <c r="E52" s="72">
        <v>0</v>
      </c>
      <c r="F52" s="72">
        <v>426</v>
      </c>
      <c r="G52" s="73">
        <v>0</v>
      </c>
      <c r="H52" s="74">
        <v>213</v>
      </c>
      <c r="I52" s="74">
        <v>0</v>
      </c>
      <c r="J52" s="72">
        <v>305</v>
      </c>
      <c r="K52" s="72">
        <v>0</v>
      </c>
      <c r="L52" s="72">
        <v>0</v>
      </c>
      <c r="M52" s="72">
        <v>0</v>
      </c>
      <c r="N52" s="72">
        <v>305</v>
      </c>
      <c r="O52" s="72">
        <v>0</v>
      </c>
      <c r="P52" s="72">
        <v>305</v>
      </c>
      <c r="Q52" s="75">
        <v>0</v>
      </c>
      <c r="R52" s="75">
        <v>0</v>
      </c>
      <c r="S52" s="72">
        <v>335</v>
      </c>
      <c r="T52" s="72">
        <v>21</v>
      </c>
      <c r="U52" s="72">
        <v>314</v>
      </c>
      <c r="V52" s="75">
        <v>6.3E-2</v>
      </c>
      <c r="W52" s="72">
        <v>785</v>
      </c>
      <c r="X52" s="76">
        <v>1418</v>
      </c>
      <c r="Y52" s="72">
        <v>0</v>
      </c>
      <c r="Z52" s="78">
        <v>1.806</v>
      </c>
      <c r="AA52" s="76">
        <v>1851</v>
      </c>
      <c r="AB52" s="76">
        <v>1439</v>
      </c>
      <c r="AC52" s="76">
        <v>1045</v>
      </c>
      <c r="AD52" s="77">
        <v>0.5</v>
      </c>
    </row>
    <row r="53" spans="1:30" ht="12.75" x14ac:dyDescent="0.2">
      <c r="A53" s="72" t="s">
        <v>252</v>
      </c>
      <c r="B53" s="72">
        <v>234</v>
      </c>
      <c r="C53" s="72">
        <v>3</v>
      </c>
      <c r="D53" s="72">
        <v>3</v>
      </c>
      <c r="E53" s="72">
        <v>0</v>
      </c>
      <c r="F53" s="72">
        <v>231</v>
      </c>
      <c r="G53" s="73">
        <v>1.2999999999999999E-2</v>
      </c>
      <c r="H53" s="74">
        <v>117</v>
      </c>
      <c r="I53" s="74">
        <v>0</v>
      </c>
      <c r="J53" s="72">
        <v>124</v>
      </c>
      <c r="K53" s="72">
        <v>10</v>
      </c>
      <c r="L53" s="72">
        <v>10</v>
      </c>
      <c r="M53" s="72">
        <v>0</v>
      </c>
      <c r="N53" s="72">
        <v>114</v>
      </c>
      <c r="O53" s="72">
        <v>10</v>
      </c>
      <c r="P53" s="72">
        <v>114</v>
      </c>
      <c r="Q53" s="75">
        <v>8.1000000000000003E-2</v>
      </c>
      <c r="R53" s="75">
        <v>8.1000000000000003E-2</v>
      </c>
      <c r="S53" s="72">
        <v>123</v>
      </c>
      <c r="T53" s="72">
        <v>6</v>
      </c>
      <c r="U53" s="72">
        <v>117</v>
      </c>
      <c r="V53" s="75">
        <v>4.9000000000000002E-2</v>
      </c>
      <c r="W53" s="72">
        <v>279</v>
      </c>
      <c r="X53" s="76">
        <v>1907</v>
      </c>
      <c r="Y53" s="72">
        <v>0</v>
      </c>
      <c r="Z53" s="78">
        <v>6.835</v>
      </c>
      <c r="AA53" s="72">
        <v>760</v>
      </c>
      <c r="AB53" s="76">
        <v>1926</v>
      </c>
      <c r="AC53" s="72">
        <v>462</v>
      </c>
      <c r="AD53" s="77">
        <v>0.5</v>
      </c>
    </row>
    <row r="54" spans="1:30" ht="12.75" x14ac:dyDescent="0.2">
      <c r="A54" s="72" t="s">
        <v>254</v>
      </c>
      <c r="B54" s="72">
        <v>25</v>
      </c>
      <c r="C54" s="72">
        <v>0</v>
      </c>
      <c r="D54" s="72">
        <v>0</v>
      </c>
      <c r="E54" s="72">
        <v>0</v>
      </c>
      <c r="F54" s="72">
        <v>25</v>
      </c>
      <c r="G54" s="73">
        <v>0</v>
      </c>
      <c r="H54" s="74">
        <v>13</v>
      </c>
      <c r="I54" s="74">
        <v>0</v>
      </c>
      <c r="J54" s="72">
        <v>13</v>
      </c>
      <c r="K54" s="72">
        <v>0</v>
      </c>
      <c r="L54" s="72">
        <v>0</v>
      </c>
      <c r="M54" s="72">
        <v>0</v>
      </c>
      <c r="N54" s="72">
        <v>13</v>
      </c>
      <c r="O54" s="72">
        <v>0</v>
      </c>
      <c r="P54" s="72">
        <v>13</v>
      </c>
      <c r="Q54" s="75">
        <v>0</v>
      </c>
      <c r="R54" s="75">
        <v>0</v>
      </c>
      <c r="S54" s="72">
        <v>15</v>
      </c>
      <c r="T54" s="72">
        <v>13</v>
      </c>
      <c r="U54" s="72">
        <v>2</v>
      </c>
      <c r="V54" s="78">
        <v>0.86699999999999999</v>
      </c>
      <c r="W54" s="72">
        <v>30</v>
      </c>
      <c r="X54" s="72">
        <v>49</v>
      </c>
      <c r="Y54" s="72">
        <v>0</v>
      </c>
      <c r="Z54" s="78">
        <v>1.633</v>
      </c>
      <c r="AA54" s="72">
        <v>83</v>
      </c>
      <c r="AB54" s="72">
        <v>62</v>
      </c>
      <c r="AC54" s="72">
        <v>40</v>
      </c>
      <c r="AD54" s="77">
        <v>0.5</v>
      </c>
    </row>
    <row r="55" spans="1:30" ht="12.75" x14ac:dyDescent="0.2">
      <c r="A55" s="72" t="s">
        <v>255</v>
      </c>
      <c r="B55" s="72">
        <v>66</v>
      </c>
      <c r="C55" s="72">
        <v>5</v>
      </c>
      <c r="D55" s="72">
        <v>5</v>
      </c>
      <c r="E55" s="72">
        <v>0</v>
      </c>
      <c r="F55" s="72">
        <v>61</v>
      </c>
      <c r="G55" s="73">
        <v>7.5999999999999998E-2</v>
      </c>
      <c r="H55" s="74">
        <v>33</v>
      </c>
      <c r="I55" s="74">
        <v>0</v>
      </c>
      <c r="J55" s="72">
        <v>44</v>
      </c>
      <c r="K55" s="72">
        <v>4</v>
      </c>
      <c r="L55" s="72">
        <v>4</v>
      </c>
      <c r="M55" s="72">
        <v>0</v>
      </c>
      <c r="N55" s="72">
        <v>40</v>
      </c>
      <c r="O55" s="72">
        <v>4</v>
      </c>
      <c r="P55" s="72">
        <v>40</v>
      </c>
      <c r="Q55" s="75">
        <v>9.0999999999999998E-2</v>
      </c>
      <c r="R55" s="75">
        <v>9.0999999999999998E-2</v>
      </c>
      <c r="S55" s="72">
        <v>41</v>
      </c>
      <c r="T55" s="72">
        <v>61</v>
      </c>
      <c r="U55" s="72">
        <v>0</v>
      </c>
      <c r="V55" s="78">
        <v>1.488</v>
      </c>
      <c r="W55" s="72">
        <v>124</v>
      </c>
      <c r="X55" s="72">
        <v>125</v>
      </c>
      <c r="Y55" s="72">
        <v>0</v>
      </c>
      <c r="Z55" s="78">
        <v>1.008</v>
      </c>
      <c r="AA55" s="72">
        <v>275</v>
      </c>
      <c r="AB55" s="72">
        <v>195</v>
      </c>
      <c r="AC55" s="72">
        <v>101</v>
      </c>
      <c r="AD55" s="77">
        <v>0.5</v>
      </c>
    </row>
    <row r="56" spans="1:30" ht="12.75" x14ac:dyDescent="0.2">
      <c r="A56" s="72" t="s">
        <v>256</v>
      </c>
      <c r="B56" s="72">
        <v>76</v>
      </c>
      <c r="C56" s="72">
        <v>21</v>
      </c>
      <c r="D56" s="72">
        <v>21</v>
      </c>
      <c r="E56" s="72">
        <v>0</v>
      </c>
      <c r="F56" s="72">
        <v>55</v>
      </c>
      <c r="G56" s="73">
        <v>0.27600000000000002</v>
      </c>
      <c r="H56" s="74">
        <v>38</v>
      </c>
      <c r="I56" s="74">
        <v>0</v>
      </c>
      <c r="J56" s="72">
        <v>53</v>
      </c>
      <c r="K56" s="72">
        <v>49</v>
      </c>
      <c r="L56" s="72">
        <v>49</v>
      </c>
      <c r="M56" s="72">
        <v>0</v>
      </c>
      <c r="N56" s="72">
        <v>4</v>
      </c>
      <c r="O56" s="72">
        <v>49</v>
      </c>
      <c r="P56" s="72">
        <v>4</v>
      </c>
      <c r="Q56" s="78">
        <v>0.92500000000000004</v>
      </c>
      <c r="R56" s="78">
        <v>0.92500000000000004</v>
      </c>
      <c r="S56" s="72">
        <v>62</v>
      </c>
      <c r="T56" s="72">
        <v>181</v>
      </c>
      <c r="U56" s="72">
        <v>0</v>
      </c>
      <c r="V56" s="78">
        <v>2.919</v>
      </c>
      <c r="W56" s="72">
        <v>148</v>
      </c>
      <c r="X56" s="72">
        <v>188</v>
      </c>
      <c r="Y56" s="72">
        <v>0</v>
      </c>
      <c r="Z56" s="78">
        <v>1.27</v>
      </c>
      <c r="AA56" s="72">
        <v>339</v>
      </c>
      <c r="AB56" s="72">
        <v>439</v>
      </c>
      <c r="AC56" s="72">
        <v>59</v>
      </c>
      <c r="AD56" s="77">
        <v>0.5</v>
      </c>
    </row>
    <row r="57" spans="1:30" ht="12.75" x14ac:dyDescent="0.2">
      <c r="A57" s="72" t="s">
        <v>257</v>
      </c>
      <c r="B57" s="72">
        <v>694</v>
      </c>
      <c r="C57" s="72">
        <v>11</v>
      </c>
      <c r="D57" s="72">
        <v>11</v>
      </c>
      <c r="E57" s="72">
        <v>0</v>
      </c>
      <c r="F57" s="72">
        <v>683</v>
      </c>
      <c r="G57" s="73">
        <v>1.6E-2</v>
      </c>
      <c r="H57" s="74">
        <v>347</v>
      </c>
      <c r="I57" s="74">
        <v>0</v>
      </c>
      <c r="J57" s="72">
        <v>413</v>
      </c>
      <c r="K57" s="72">
        <v>20</v>
      </c>
      <c r="L57" s="72">
        <v>0</v>
      </c>
      <c r="M57" s="72">
        <v>20</v>
      </c>
      <c r="N57" s="72">
        <v>393</v>
      </c>
      <c r="O57" s="72">
        <v>20</v>
      </c>
      <c r="P57" s="72">
        <v>393</v>
      </c>
      <c r="Q57" s="75">
        <v>4.8000000000000001E-2</v>
      </c>
      <c r="R57" s="75">
        <v>4.8000000000000001E-2</v>
      </c>
      <c r="S57" s="72">
        <v>443</v>
      </c>
      <c r="T57" s="72">
        <v>6</v>
      </c>
      <c r="U57" s="72">
        <v>437</v>
      </c>
      <c r="V57" s="75">
        <v>1.4E-2</v>
      </c>
      <c r="W57" s="76">
        <v>1134</v>
      </c>
      <c r="X57" s="72">
        <v>360</v>
      </c>
      <c r="Y57" s="72">
        <v>774</v>
      </c>
      <c r="Z57" s="75">
        <v>0.317</v>
      </c>
      <c r="AA57" s="76">
        <v>2684</v>
      </c>
      <c r="AB57" s="72">
        <v>397</v>
      </c>
      <c r="AC57" s="76">
        <v>2287</v>
      </c>
      <c r="AD57" s="77">
        <v>0.5</v>
      </c>
    </row>
    <row r="58" spans="1:30" ht="12.75" x14ac:dyDescent="0.2">
      <c r="A58" s="72" t="s">
        <v>259</v>
      </c>
      <c r="B58" s="72">
        <v>276</v>
      </c>
      <c r="C58" s="72">
        <v>0</v>
      </c>
      <c r="D58" s="72">
        <v>0</v>
      </c>
      <c r="E58" s="72">
        <v>0</v>
      </c>
      <c r="F58" s="72">
        <v>276</v>
      </c>
      <c r="G58" s="73">
        <v>0</v>
      </c>
      <c r="H58" s="74">
        <v>138</v>
      </c>
      <c r="I58" s="74">
        <v>0</v>
      </c>
      <c r="J58" s="72">
        <v>144</v>
      </c>
      <c r="K58" s="72">
        <v>0</v>
      </c>
      <c r="L58" s="72">
        <v>0</v>
      </c>
      <c r="M58" s="72">
        <v>0</v>
      </c>
      <c r="N58" s="72">
        <v>144</v>
      </c>
      <c r="O58" s="72">
        <v>0</v>
      </c>
      <c r="P58" s="72">
        <v>144</v>
      </c>
      <c r="Q58" s="75">
        <v>0</v>
      </c>
      <c r="R58" s="75">
        <v>0</v>
      </c>
      <c r="S58" s="72">
        <v>155</v>
      </c>
      <c r="T58" s="72">
        <v>32</v>
      </c>
      <c r="U58" s="72">
        <v>123</v>
      </c>
      <c r="V58" s="75">
        <v>0.20599999999999999</v>
      </c>
      <c r="W58" s="72">
        <v>288</v>
      </c>
      <c r="X58" s="72">
        <v>422</v>
      </c>
      <c r="Y58" s="72">
        <v>0</v>
      </c>
      <c r="Z58" s="78">
        <v>1.4650000000000001</v>
      </c>
      <c r="AA58" s="72">
        <v>863</v>
      </c>
      <c r="AB58" s="72">
        <v>454</v>
      </c>
      <c r="AC58" s="72">
        <v>543</v>
      </c>
      <c r="AD58" s="77">
        <v>0.5</v>
      </c>
    </row>
    <row r="59" spans="1:30" ht="12.75" x14ac:dyDescent="0.2">
      <c r="A59" s="72" t="s">
        <v>234</v>
      </c>
      <c r="B59" s="72">
        <v>682</v>
      </c>
      <c r="C59" s="72">
        <v>0</v>
      </c>
      <c r="D59" s="72">
        <v>0</v>
      </c>
      <c r="E59" s="72">
        <v>0</v>
      </c>
      <c r="F59" s="72">
        <v>682</v>
      </c>
      <c r="G59" s="73">
        <v>0</v>
      </c>
      <c r="H59" s="74">
        <v>341</v>
      </c>
      <c r="I59" s="74">
        <v>0</v>
      </c>
      <c r="J59" s="72">
        <v>545</v>
      </c>
      <c r="K59" s="72">
        <v>17</v>
      </c>
      <c r="L59" s="72">
        <v>8</v>
      </c>
      <c r="M59" s="72">
        <v>9</v>
      </c>
      <c r="N59" s="72">
        <v>528</v>
      </c>
      <c r="O59" s="72">
        <v>17</v>
      </c>
      <c r="P59" s="72">
        <v>528</v>
      </c>
      <c r="Q59" s="75">
        <v>3.1E-2</v>
      </c>
      <c r="R59" s="75">
        <v>3.1E-2</v>
      </c>
      <c r="S59" s="72">
        <v>480</v>
      </c>
      <c r="T59" s="72">
        <v>105</v>
      </c>
      <c r="U59" s="72">
        <v>375</v>
      </c>
      <c r="V59" s="75">
        <v>0.219</v>
      </c>
      <c r="W59" s="76">
        <v>1267</v>
      </c>
      <c r="X59" s="72">
        <v>280</v>
      </c>
      <c r="Y59" s="72">
        <v>987</v>
      </c>
      <c r="Z59" s="75">
        <v>0.221</v>
      </c>
      <c r="AA59" s="76">
        <v>2974</v>
      </c>
      <c r="AB59" s="72">
        <v>402</v>
      </c>
      <c r="AC59" s="76">
        <v>2572</v>
      </c>
      <c r="AD59" s="77">
        <v>0.5</v>
      </c>
    </row>
    <row r="60" spans="1:30" ht="12.75" x14ac:dyDescent="0.2">
      <c r="A60" s="72" t="s">
        <v>260</v>
      </c>
      <c r="B60" s="72">
        <v>88</v>
      </c>
      <c r="C60" s="72">
        <v>12</v>
      </c>
      <c r="D60" s="72">
        <v>12</v>
      </c>
      <c r="E60" s="72">
        <v>0</v>
      </c>
      <c r="F60" s="72">
        <v>76</v>
      </c>
      <c r="G60" s="73">
        <v>0.13600000000000001</v>
      </c>
      <c r="H60" s="74">
        <v>44</v>
      </c>
      <c r="I60" s="74">
        <v>0</v>
      </c>
      <c r="J60" s="72">
        <v>54</v>
      </c>
      <c r="K60" s="72">
        <v>0</v>
      </c>
      <c r="L60" s="72">
        <v>0</v>
      </c>
      <c r="M60" s="72">
        <v>0</v>
      </c>
      <c r="N60" s="72">
        <v>54</v>
      </c>
      <c r="O60" s="72">
        <v>0</v>
      </c>
      <c r="P60" s="72">
        <v>54</v>
      </c>
      <c r="Q60" s="75">
        <v>0</v>
      </c>
      <c r="R60" s="75">
        <v>0</v>
      </c>
      <c r="S60" s="72">
        <v>57</v>
      </c>
      <c r="T60" s="72">
        <v>8</v>
      </c>
      <c r="U60" s="72">
        <v>49</v>
      </c>
      <c r="V60" s="75">
        <v>0.14000000000000001</v>
      </c>
      <c r="W60" s="72">
        <v>131</v>
      </c>
      <c r="X60" s="72">
        <v>169</v>
      </c>
      <c r="Y60" s="72">
        <v>0</v>
      </c>
      <c r="Z60" s="78">
        <v>1.29</v>
      </c>
      <c r="AA60" s="72">
        <v>330</v>
      </c>
      <c r="AB60" s="72">
        <v>189</v>
      </c>
      <c r="AC60" s="72">
        <v>179</v>
      </c>
      <c r="AD60" s="77">
        <v>0.5</v>
      </c>
    </row>
    <row r="61" spans="1:30" ht="12.75" x14ac:dyDescent="0.2">
      <c r="A61" s="72" t="s">
        <v>253</v>
      </c>
      <c r="B61" s="72">
        <v>241</v>
      </c>
      <c r="C61" s="72">
        <v>100</v>
      </c>
      <c r="D61" s="72">
        <v>0</v>
      </c>
      <c r="E61" s="72">
        <v>100</v>
      </c>
      <c r="F61" s="72">
        <v>141</v>
      </c>
      <c r="G61" s="73">
        <v>0.41499999999999998</v>
      </c>
      <c r="H61" s="74">
        <v>241</v>
      </c>
      <c r="I61" s="74">
        <v>0</v>
      </c>
      <c r="J61" s="72">
        <v>175</v>
      </c>
      <c r="K61" s="72">
        <v>91</v>
      </c>
      <c r="L61" s="72">
        <v>0</v>
      </c>
      <c r="M61" s="72">
        <v>91</v>
      </c>
      <c r="N61" s="72">
        <v>84</v>
      </c>
      <c r="O61" s="72">
        <v>91</v>
      </c>
      <c r="P61" s="72">
        <v>84</v>
      </c>
      <c r="Q61" s="75">
        <v>0.52</v>
      </c>
      <c r="R61" s="75">
        <v>0.52</v>
      </c>
      <c r="S61" s="72">
        <v>192</v>
      </c>
      <c r="T61" s="72">
        <v>218</v>
      </c>
      <c r="U61" s="72">
        <v>0</v>
      </c>
      <c r="V61" s="78">
        <v>1.135</v>
      </c>
      <c r="W61" s="72">
        <v>471</v>
      </c>
      <c r="X61" s="72">
        <v>232</v>
      </c>
      <c r="Y61" s="72">
        <v>239</v>
      </c>
      <c r="Z61" s="75">
        <v>0.49299999999999999</v>
      </c>
      <c r="AA61" s="76">
        <v>1079</v>
      </c>
      <c r="AB61" s="72">
        <v>641</v>
      </c>
      <c r="AC61" s="72">
        <v>464</v>
      </c>
      <c r="AD61" s="77">
        <v>1</v>
      </c>
    </row>
    <row r="62" spans="1:30" ht="12.75" x14ac:dyDescent="0.2">
      <c r="A62" s="72" t="s">
        <v>261</v>
      </c>
      <c r="B62" s="72">
        <v>817</v>
      </c>
      <c r="C62" s="72">
        <v>66</v>
      </c>
      <c r="D62" s="72">
        <v>23</v>
      </c>
      <c r="E62" s="72">
        <v>43</v>
      </c>
      <c r="F62" s="72">
        <v>751</v>
      </c>
      <c r="G62" s="73">
        <v>8.1000000000000003E-2</v>
      </c>
      <c r="H62" s="74">
        <v>409</v>
      </c>
      <c r="I62" s="74">
        <v>0</v>
      </c>
      <c r="J62" s="72">
        <v>489</v>
      </c>
      <c r="K62" s="72">
        <v>10</v>
      </c>
      <c r="L62" s="72">
        <v>0</v>
      </c>
      <c r="M62" s="72">
        <v>10</v>
      </c>
      <c r="N62" s="72">
        <v>479</v>
      </c>
      <c r="O62" s="72">
        <v>10</v>
      </c>
      <c r="P62" s="72">
        <v>479</v>
      </c>
      <c r="Q62" s="75">
        <v>0.02</v>
      </c>
      <c r="R62" s="75">
        <v>0.02</v>
      </c>
      <c r="S62" s="72">
        <v>490</v>
      </c>
      <c r="T62" s="72">
        <v>64</v>
      </c>
      <c r="U62" s="72">
        <v>426</v>
      </c>
      <c r="V62" s="75">
        <v>0.13100000000000001</v>
      </c>
      <c r="W62" s="76">
        <v>1428</v>
      </c>
      <c r="X62" s="72">
        <v>0</v>
      </c>
      <c r="Y62" s="76">
        <v>1428</v>
      </c>
      <c r="Z62" s="75">
        <v>0</v>
      </c>
      <c r="AA62" s="76">
        <v>3224</v>
      </c>
      <c r="AB62" s="72">
        <v>140</v>
      </c>
      <c r="AC62" s="76">
        <v>3084</v>
      </c>
      <c r="AD62" s="77">
        <v>0.5</v>
      </c>
    </row>
    <row r="63" spans="1:30" ht="12.75" x14ac:dyDescent="0.2">
      <c r="A63" s="72" t="s">
        <v>263</v>
      </c>
      <c r="B63" s="72">
        <v>254</v>
      </c>
      <c r="C63" s="72">
        <v>0</v>
      </c>
      <c r="D63" s="72">
        <v>0</v>
      </c>
      <c r="E63" s="72">
        <v>0</v>
      </c>
      <c r="F63" s="72">
        <v>254</v>
      </c>
      <c r="G63" s="73">
        <v>0</v>
      </c>
      <c r="H63" s="74">
        <v>95</v>
      </c>
      <c r="I63" s="74">
        <v>0</v>
      </c>
      <c r="J63" s="72">
        <v>131</v>
      </c>
      <c r="K63" s="72">
        <v>0</v>
      </c>
      <c r="L63" s="72">
        <v>0</v>
      </c>
      <c r="M63" s="72">
        <v>0</v>
      </c>
      <c r="N63" s="72">
        <v>131</v>
      </c>
      <c r="O63" s="72">
        <v>0</v>
      </c>
      <c r="P63" s="72">
        <v>131</v>
      </c>
      <c r="Q63" s="75">
        <v>0</v>
      </c>
      <c r="R63" s="75">
        <v>0</v>
      </c>
      <c r="S63" s="72">
        <v>155</v>
      </c>
      <c r="T63" s="72">
        <v>0</v>
      </c>
      <c r="U63" s="72">
        <v>155</v>
      </c>
      <c r="V63" s="75">
        <v>0</v>
      </c>
      <c r="W63" s="72">
        <v>726</v>
      </c>
      <c r="X63" s="72">
        <v>0</v>
      </c>
      <c r="Y63" s="72">
        <v>726</v>
      </c>
      <c r="Z63" s="75">
        <v>0</v>
      </c>
      <c r="AA63" s="76">
        <v>1266</v>
      </c>
      <c r="AB63" s="72">
        <v>0</v>
      </c>
      <c r="AC63" s="76">
        <v>1266</v>
      </c>
      <c r="AD63" s="77">
        <v>0.375</v>
      </c>
    </row>
    <row r="64" spans="1:30" ht="12.75" x14ac:dyDescent="0.2">
      <c r="A64" s="72" t="s">
        <v>265</v>
      </c>
      <c r="B64" s="72">
        <v>543</v>
      </c>
      <c r="C64" s="72">
        <v>0</v>
      </c>
      <c r="D64" s="72">
        <v>0</v>
      </c>
      <c r="E64" s="72">
        <v>0</v>
      </c>
      <c r="F64" s="72">
        <v>543</v>
      </c>
      <c r="G64" s="73">
        <v>0</v>
      </c>
      <c r="H64" s="74">
        <v>272</v>
      </c>
      <c r="I64" s="74">
        <v>0</v>
      </c>
      <c r="J64" s="72">
        <v>383</v>
      </c>
      <c r="K64" s="72">
        <v>0</v>
      </c>
      <c r="L64" s="72">
        <v>0</v>
      </c>
      <c r="M64" s="72">
        <v>0</v>
      </c>
      <c r="N64" s="72">
        <v>383</v>
      </c>
      <c r="O64" s="72">
        <v>0</v>
      </c>
      <c r="P64" s="72">
        <v>383</v>
      </c>
      <c r="Q64" s="75">
        <v>0</v>
      </c>
      <c r="R64" s="75">
        <v>0</v>
      </c>
      <c r="S64" s="72">
        <v>433</v>
      </c>
      <c r="T64" s="72">
        <v>0</v>
      </c>
      <c r="U64" s="72">
        <v>433</v>
      </c>
      <c r="V64" s="75">
        <v>0</v>
      </c>
      <c r="W64" s="72">
        <v>982</v>
      </c>
      <c r="X64" s="72">
        <v>359</v>
      </c>
      <c r="Y64" s="72">
        <v>623</v>
      </c>
      <c r="Z64" s="75">
        <v>0.36599999999999999</v>
      </c>
      <c r="AA64" s="76">
        <v>2341</v>
      </c>
      <c r="AB64" s="72">
        <v>359</v>
      </c>
      <c r="AC64" s="76">
        <v>1982</v>
      </c>
      <c r="AD64" s="77">
        <v>0.5</v>
      </c>
    </row>
    <row r="65" spans="1:30" ht="12.75" x14ac:dyDescent="0.2">
      <c r="A65" s="72" t="s">
        <v>267</v>
      </c>
      <c r="B65" s="72">
        <v>37</v>
      </c>
      <c r="C65" s="72">
        <v>0</v>
      </c>
      <c r="D65" s="72">
        <v>0</v>
      </c>
      <c r="E65" s="72">
        <v>0</v>
      </c>
      <c r="F65" s="72">
        <v>37</v>
      </c>
      <c r="G65" s="73">
        <v>0</v>
      </c>
      <c r="H65" s="74">
        <v>19</v>
      </c>
      <c r="I65" s="74">
        <v>0</v>
      </c>
      <c r="J65" s="72">
        <v>22</v>
      </c>
      <c r="K65" s="72">
        <v>0</v>
      </c>
      <c r="L65" s="72">
        <v>0</v>
      </c>
      <c r="M65" s="72">
        <v>0</v>
      </c>
      <c r="N65" s="72">
        <v>22</v>
      </c>
      <c r="O65" s="72">
        <v>0</v>
      </c>
      <c r="P65" s="72">
        <v>22</v>
      </c>
      <c r="Q65" s="75">
        <v>0</v>
      </c>
      <c r="R65" s="75">
        <v>0</v>
      </c>
      <c r="S65" s="72">
        <v>22</v>
      </c>
      <c r="T65" s="72">
        <v>0</v>
      </c>
      <c r="U65" s="72">
        <v>22</v>
      </c>
      <c r="V65" s="75">
        <v>0</v>
      </c>
      <c r="W65" s="72">
        <v>63</v>
      </c>
      <c r="X65" s="72">
        <v>0</v>
      </c>
      <c r="Y65" s="72">
        <v>63</v>
      </c>
      <c r="Z65" s="75">
        <v>0</v>
      </c>
      <c r="AA65" s="72">
        <v>144</v>
      </c>
      <c r="AB65" s="72">
        <v>0</v>
      </c>
      <c r="AC65" s="72">
        <v>144</v>
      </c>
      <c r="AD65" s="77">
        <v>0.5</v>
      </c>
    </row>
    <row r="66" spans="1:30" ht="12.75" x14ac:dyDescent="0.2">
      <c r="A66" s="72" t="s">
        <v>268</v>
      </c>
      <c r="B66" s="72">
        <v>6</v>
      </c>
      <c r="C66" s="72">
        <v>23</v>
      </c>
      <c r="D66" s="72">
        <v>23</v>
      </c>
      <c r="E66" s="72">
        <v>0</v>
      </c>
      <c r="F66" s="72">
        <v>0</v>
      </c>
      <c r="G66" s="79">
        <v>3.8330000000000002</v>
      </c>
      <c r="H66" s="74">
        <v>3</v>
      </c>
      <c r="I66" s="74">
        <v>20</v>
      </c>
      <c r="J66" s="72">
        <v>2</v>
      </c>
      <c r="K66" s="72">
        <v>7</v>
      </c>
      <c r="L66" s="72">
        <v>6</v>
      </c>
      <c r="M66" s="72">
        <v>1</v>
      </c>
      <c r="N66" s="72">
        <v>0</v>
      </c>
      <c r="O66" s="72">
        <v>27</v>
      </c>
      <c r="P66" s="72">
        <v>0</v>
      </c>
      <c r="Q66" s="78">
        <v>3.5</v>
      </c>
      <c r="R66" s="78">
        <v>13.5</v>
      </c>
      <c r="S66" s="72">
        <v>4</v>
      </c>
      <c r="T66" s="72">
        <v>7</v>
      </c>
      <c r="U66" s="72">
        <v>0</v>
      </c>
      <c r="V66" s="78">
        <v>1.75</v>
      </c>
      <c r="W66" s="72">
        <v>15</v>
      </c>
      <c r="X66" s="72">
        <v>36</v>
      </c>
      <c r="Y66" s="72">
        <v>0</v>
      </c>
      <c r="Z66" s="78">
        <v>2.4</v>
      </c>
      <c r="AA66" s="72">
        <v>27</v>
      </c>
      <c r="AB66" s="72">
        <v>73</v>
      </c>
      <c r="AC66" s="84">
        <v>0</v>
      </c>
      <c r="AD66" s="77">
        <v>0.5</v>
      </c>
    </row>
    <row r="67" spans="1:30" ht="12.75" x14ac:dyDescent="0.2">
      <c r="A67" s="72" t="s">
        <v>269</v>
      </c>
      <c r="B67" s="72">
        <v>539</v>
      </c>
      <c r="C67" s="72">
        <v>127</v>
      </c>
      <c r="D67" s="72">
        <v>127</v>
      </c>
      <c r="E67" s="72">
        <v>0</v>
      </c>
      <c r="F67" s="72">
        <v>412</v>
      </c>
      <c r="G67" s="73">
        <v>0.23599999999999999</v>
      </c>
      <c r="H67" s="74">
        <v>270</v>
      </c>
      <c r="I67" s="74">
        <v>0</v>
      </c>
      <c r="J67" s="72">
        <v>366</v>
      </c>
      <c r="K67" s="72">
        <v>105</v>
      </c>
      <c r="L67" s="72">
        <v>105</v>
      </c>
      <c r="M67" s="72">
        <v>0</v>
      </c>
      <c r="N67" s="72">
        <v>261</v>
      </c>
      <c r="O67" s="72">
        <v>105</v>
      </c>
      <c r="P67" s="72">
        <v>261</v>
      </c>
      <c r="Q67" s="75">
        <v>0.28699999999999998</v>
      </c>
      <c r="R67" s="75">
        <v>0.28699999999999998</v>
      </c>
      <c r="S67" s="72">
        <v>411</v>
      </c>
      <c r="T67" s="72">
        <v>844</v>
      </c>
      <c r="U67" s="72">
        <v>0</v>
      </c>
      <c r="V67" s="78">
        <v>2.0539999999999998</v>
      </c>
      <c r="W67" s="72">
        <v>908</v>
      </c>
      <c r="X67" s="72">
        <v>755</v>
      </c>
      <c r="Y67" s="72">
        <v>153</v>
      </c>
      <c r="Z67" s="78">
        <v>0.83099999999999996</v>
      </c>
      <c r="AA67" s="76">
        <v>2224</v>
      </c>
      <c r="AB67" s="76">
        <v>1831</v>
      </c>
      <c r="AC67" s="72">
        <v>826</v>
      </c>
      <c r="AD67" s="77">
        <v>0.5</v>
      </c>
    </row>
    <row r="68" spans="1:30" ht="12.75" x14ac:dyDescent="0.2">
      <c r="A68" s="72" t="s">
        <v>271</v>
      </c>
      <c r="B68" s="72">
        <v>253</v>
      </c>
      <c r="C68" s="72">
        <v>11</v>
      </c>
      <c r="D68" s="72">
        <v>11</v>
      </c>
      <c r="E68" s="72">
        <v>0</v>
      </c>
      <c r="F68" s="72">
        <v>242</v>
      </c>
      <c r="G68" s="73">
        <v>4.2999999999999997E-2</v>
      </c>
      <c r="H68" s="74">
        <v>127</v>
      </c>
      <c r="I68" s="74">
        <v>0</v>
      </c>
      <c r="J68" s="72">
        <v>138</v>
      </c>
      <c r="K68" s="72">
        <v>4</v>
      </c>
      <c r="L68" s="72">
        <v>4</v>
      </c>
      <c r="M68" s="72">
        <v>0</v>
      </c>
      <c r="N68" s="72">
        <v>134</v>
      </c>
      <c r="O68" s="72">
        <v>4</v>
      </c>
      <c r="P68" s="72">
        <v>134</v>
      </c>
      <c r="Q68" s="75">
        <v>2.9000000000000001E-2</v>
      </c>
      <c r="R68" s="75">
        <v>2.9000000000000001E-2</v>
      </c>
      <c r="S68" s="72">
        <v>151</v>
      </c>
      <c r="T68" s="72">
        <v>16</v>
      </c>
      <c r="U68" s="72">
        <v>135</v>
      </c>
      <c r="V68" s="75">
        <v>0.106</v>
      </c>
      <c r="W68" s="72">
        <v>391</v>
      </c>
      <c r="X68" s="72">
        <v>371</v>
      </c>
      <c r="Y68" s="72">
        <v>20</v>
      </c>
      <c r="Z68" s="78">
        <v>0.94899999999999995</v>
      </c>
      <c r="AA68" s="72">
        <v>933</v>
      </c>
      <c r="AB68" s="72">
        <v>402</v>
      </c>
      <c r="AC68" s="72">
        <v>531</v>
      </c>
      <c r="AD68" s="77">
        <v>0.5</v>
      </c>
    </row>
    <row r="69" spans="1:30" ht="12.75" x14ac:dyDescent="0.2">
      <c r="A69" s="72" t="s">
        <v>272</v>
      </c>
      <c r="B69" s="72">
        <v>21</v>
      </c>
      <c r="C69" s="72">
        <v>0</v>
      </c>
      <c r="D69" s="72">
        <v>0</v>
      </c>
      <c r="E69" s="72">
        <v>0</v>
      </c>
      <c r="F69" s="72">
        <v>21</v>
      </c>
      <c r="G69" s="73">
        <v>0</v>
      </c>
      <c r="H69" s="74">
        <v>11</v>
      </c>
      <c r="I69" s="74">
        <v>0</v>
      </c>
      <c r="J69" s="72">
        <v>14</v>
      </c>
      <c r="K69" s="72">
        <v>0</v>
      </c>
      <c r="L69" s="72">
        <v>0</v>
      </c>
      <c r="M69" s="72">
        <v>0</v>
      </c>
      <c r="N69" s="72">
        <v>14</v>
      </c>
      <c r="O69" s="72">
        <v>0</v>
      </c>
      <c r="P69" s="72">
        <v>14</v>
      </c>
      <c r="Q69" s="75">
        <v>0</v>
      </c>
      <c r="R69" s="75">
        <v>0</v>
      </c>
      <c r="S69" s="72">
        <v>16</v>
      </c>
      <c r="T69" s="72">
        <v>10</v>
      </c>
      <c r="U69" s="72">
        <v>6</v>
      </c>
      <c r="V69" s="78">
        <v>0.625</v>
      </c>
      <c r="W69" s="72">
        <v>32</v>
      </c>
      <c r="X69" s="72">
        <v>18</v>
      </c>
      <c r="Y69" s="72">
        <v>14</v>
      </c>
      <c r="Z69" s="78">
        <v>0.56299999999999994</v>
      </c>
      <c r="AA69" s="72">
        <v>83</v>
      </c>
      <c r="AB69" s="72">
        <v>28</v>
      </c>
      <c r="AC69" s="72">
        <v>55</v>
      </c>
      <c r="AD69" s="77">
        <v>0.5</v>
      </c>
    </row>
    <row r="70" spans="1:30" ht="12.75" x14ac:dyDescent="0.2">
      <c r="A70" s="72" t="s">
        <v>274</v>
      </c>
      <c r="B70" s="72">
        <v>34</v>
      </c>
      <c r="C70" s="72">
        <v>0</v>
      </c>
      <c r="D70" s="72">
        <v>0</v>
      </c>
      <c r="E70" s="72">
        <v>0</v>
      </c>
      <c r="F70" s="72">
        <v>34</v>
      </c>
      <c r="G70" s="73">
        <v>0</v>
      </c>
      <c r="H70" s="74">
        <v>13</v>
      </c>
      <c r="I70" s="74">
        <v>0</v>
      </c>
      <c r="J70" s="72">
        <v>23</v>
      </c>
      <c r="K70" s="72">
        <v>0</v>
      </c>
      <c r="L70" s="72">
        <v>0</v>
      </c>
      <c r="M70" s="72">
        <v>0</v>
      </c>
      <c r="N70" s="72">
        <v>23</v>
      </c>
      <c r="O70" s="72">
        <v>0</v>
      </c>
      <c r="P70" s="72">
        <v>23</v>
      </c>
      <c r="Q70" s="75">
        <v>0</v>
      </c>
      <c r="R70" s="75">
        <v>0</v>
      </c>
      <c r="S70" s="72">
        <v>26</v>
      </c>
      <c r="T70" s="72">
        <v>1</v>
      </c>
      <c r="U70" s="72">
        <v>25</v>
      </c>
      <c r="V70" s="75">
        <v>3.7999999999999999E-2</v>
      </c>
      <c r="W70" s="72">
        <v>60</v>
      </c>
      <c r="X70" s="72">
        <v>23</v>
      </c>
      <c r="Y70" s="72">
        <v>37</v>
      </c>
      <c r="Z70" s="78">
        <v>0.38300000000000001</v>
      </c>
      <c r="AA70" s="72">
        <v>143</v>
      </c>
      <c r="AB70" s="72">
        <v>24</v>
      </c>
      <c r="AC70" s="72">
        <v>119</v>
      </c>
      <c r="AD70" s="77">
        <v>0.375</v>
      </c>
    </row>
    <row r="71" spans="1:30" ht="12.75" x14ac:dyDescent="0.2">
      <c r="A71" s="72" t="s">
        <v>275</v>
      </c>
      <c r="B71" s="72">
        <v>912</v>
      </c>
      <c r="C71" s="72">
        <v>42</v>
      </c>
      <c r="D71" s="72">
        <v>42</v>
      </c>
      <c r="E71" s="72">
        <v>0</v>
      </c>
      <c r="F71" s="72">
        <v>870</v>
      </c>
      <c r="G71" s="73">
        <v>4.5999999999999999E-2</v>
      </c>
      <c r="H71" s="74">
        <v>456</v>
      </c>
      <c r="I71" s="74">
        <v>0</v>
      </c>
      <c r="J71" s="72">
        <v>693</v>
      </c>
      <c r="K71" s="72">
        <v>223</v>
      </c>
      <c r="L71" s="72">
        <v>219</v>
      </c>
      <c r="M71" s="72">
        <v>4</v>
      </c>
      <c r="N71" s="72">
        <v>470</v>
      </c>
      <c r="O71" s="72">
        <v>223</v>
      </c>
      <c r="P71" s="72">
        <v>470</v>
      </c>
      <c r="Q71" s="75">
        <v>0.32200000000000001</v>
      </c>
      <c r="R71" s="75">
        <v>0.32200000000000001</v>
      </c>
      <c r="S71" s="76">
        <v>1062</v>
      </c>
      <c r="T71" s="72">
        <v>257</v>
      </c>
      <c r="U71" s="72">
        <v>805</v>
      </c>
      <c r="V71" s="75">
        <v>0.24199999999999999</v>
      </c>
      <c r="W71" s="76">
        <v>2332</v>
      </c>
      <c r="X71" s="76">
        <v>2816</v>
      </c>
      <c r="Y71" s="72">
        <v>0</v>
      </c>
      <c r="Z71" s="78">
        <v>1.208</v>
      </c>
      <c r="AA71" s="76">
        <v>4999</v>
      </c>
      <c r="AB71" s="76">
        <v>3338</v>
      </c>
      <c r="AC71" s="76">
        <v>2145</v>
      </c>
      <c r="AD71" s="77">
        <v>0.5</v>
      </c>
    </row>
    <row r="72" spans="1:30" ht="12.75" x14ac:dyDescent="0.2">
      <c r="A72" s="72" t="s">
        <v>277</v>
      </c>
      <c r="B72" s="72">
        <v>7</v>
      </c>
      <c r="C72" s="72">
        <v>0</v>
      </c>
      <c r="D72" s="72">
        <v>0</v>
      </c>
      <c r="E72" s="72">
        <v>0</v>
      </c>
      <c r="F72" s="72">
        <v>7</v>
      </c>
      <c r="G72" s="73">
        <v>0</v>
      </c>
      <c r="H72" s="74">
        <v>3</v>
      </c>
      <c r="I72" s="74">
        <v>0</v>
      </c>
      <c r="J72" s="72">
        <v>5</v>
      </c>
      <c r="K72" s="72">
        <v>0</v>
      </c>
      <c r="L72" s="72">
        <v>0</v>
      </c>
      <c r="M72" s="72">
        <v>0</v>
      </c>
      <c r="N72" s="72">
        <v>5</v>
      </c>
      <c r="O72" s="72">
        <v>0</v>
      </c>
      <c r="P72" s="72">
        <v>5</v>
      </c>
      <c r="Q72" s="75">
        <v>0</v>
      </c>
      <c r="R72" s="75">
        <v>0</v>
      </c>
      <c r="S72" s="72">
        <v>6</v>
      </c>
      <c r="T72" s="72">
        <v>0</v>
      </c>
      <c r="U72" s="72">
        <v>6</v>
      </c>
      <c r="V72" s="75">
        <v>0</v>
      </c>
      <c r="W72" s="72">
        <v>13</v>
      </c>
      <c r="X72" s="72">
        <v>0</v>
      </c>
      <c r="Y72" s="72">
        <v>13</v>
      </c>
      <c r="Z72" s="75">
        <v>0</v>
      </c>
      <c r="AA72" s="72">
        <v>31</v>
      </c>
      <c r="AB72" s="72">
        <v>0</v>
      </c>
      <c r="AC72" s="72">
        <v>31</v>
      </c>
      <c r="AD72" s="77">
        <v>0.375</v>
      </c>
    </row>
    <row r="73" spans="1:30" ht="12.75" x14ac:dyDescent="0.2">
      <c r="A73" s="72" t="s">
        <v>278</v>
      </c>
      <c r="B73" s="72">
        <v>39</v>
      </c>
      <c r="C73" s="72">
        <v>33</v>
      </c>
      <c r="D73" s="72">
        <v>33</v>
      </c>
      <c r="E73" s="72">
        <v>0</v>
      </c>
      <c r="F73" s="72">
        <v>6</v>
      </c>
      <c r="G73" s="79">
        <v>0.84599999999999997</v>
      </c>
      <c r="H73" s="74">
        <v>20</v>
      </c>
      <c r="I73" s="74">
        <v>13</v>
      </c>
      <c r="J73" s="72">
        <v>26</v>
      </c>
      <c r="K73" s="72">
        <v>12</v>
      </c>
      <c r="L73" s="72">
        <v>12</v>
      </c>
      <c r="M73" s="72">
        <v>0</v>
      </c>
      <c r="N73" s="72">
        <v>14</v>
      </c>
      <c r="O73" s="72">
        <v>25</v>
      </c>
      <c r="P73" s="72">
        <v>1</v>
      </c>
      <c r="Q73" s="75">
        <v>0.46200000000000002</v>
      </c>
      <c r="R73" s="78">
        <v>0.96199999999999997</v>
      </c>
      <c r="S73" s="72">
        <v>34</v>
      </c>
      <c r="T73" s="72">
        <v>0</v>
      </c>
      <c r="U73" s="72">
        <v>34</v>
      </c>
      <c r="V73" s="75">
        <v>0</v>
      </c>
      <c r="W73" s="72">
        <v>64</v>
      </c>
      <c r="X73" s="72">
        <v>56</v>
      </c>
      <c r="Y73" s="72">
        <v>8</v>
      </c>
      <c r="Z73" s="78">
        <v>0.875</v>
      </c>
      <c r="AA73" s="72">
        <v>163</v>
      </c>
      <c r="AB73" s="72">
        <v>101</v>
      </c>
      <c r="AC73" s="72">
        <v>62</v>
      </c>
      <c r="AD73" s="77">
        <v>0.5</v>
      </c>
    </row>
    <row r="74" spans="1:30" ht="12.75" x14ac:dyDescent="0.2">
      <c r="A74" s="72" t="s">
        <v>280</v>
      </c>
      <c r="B74" s="72">
        <v>447</v>
      </c>
      <c r="C74" s="72">
        <v>39</v>
      </c>
      <c r="D74" s="72">
        <v>39</v>
      </c>
      <c r="E74" s="72">
        <v>0</v>
      </c>
      <c r="F74" s="72">
        <v>408</v>
      </c>
      <c r="G74" s="73">
        <v>8.6999999999999994E-2</v>
      </c>
      <c r="H74" s="74">
        <v>224</v>
      </c>
      <c r="I74" s="74">
        <v>0</v>
      </c>
      <c r="J74" s="72">
        <v>263</v>
      </c>
      <c r="K74" s="72">
        <v>57</v>
      </c>
      <c r="L74" s="72">
        <v>56</v>
      </c>
      <c r="M74" s="72">
        <v>1</v>
      </c>
      <c r="N74" s="72">
        <v>206</v>
      </c>
      <c r="O74" s="72">
        <v>57</v>
      </c>
      <c r="P74" s="72">
        <v>206</v>
      </c>
      <c r="Q74" s="75">
        <v>0.217</v>
      </c>
      <c r="R74" s="75">
        <v>0.217</v>
      </c>
      <c r="S74" s="72">
        <v>280</v>
      </c>
      <c r="T74" s="72">
        <v>130</v>
      </c>
      <c r="U74" s="72">
        <v>150</v>
      </c>
      <c r="V74" s="75">
        <v>0.46400000000000002</v>
      </c>
      <c r="W74" s="72">
        <v>708</v>
      </c>
      <c r="X74" s="72">
        <v>89</v>
      </c>
      <c r="Y74" s="72">
        <v>619</v>
      </c>
      <c r="Z74" s="75">
        <v>0.126</v>
      </c>
      <c r="AA74" s="76">
        <v>1698</v>
      </c>
      <c r="AB74" s="72">
        <v>315</v>
      </c>
      <c r="AC74" s="76">
        <v>1383</v>
      </c>
      <c r="AD74" s="77">
        <v>0.5</v>
      </c>
    </row>
    <row r="75" spans="1:30" ht="12.75" x14ac:dyDescent="0.2">
      <c r="A75" s="72" t="s">
        <v>283</v>
      </c>
      <c r="B75" s="72">
        <v>141</v>
      </c>
      <c r="C75" s="72">
        <v>0</v>
      </c>
      <c r="D75" s="72">
        <v>0</v>
      </c>
      <c r="E75" s="72">
        <v>0</v>
      </c>
      <c r="F75" s="72">
        <v>141</v>
      </c>
      <c r="G75" s="73">
        <v>0</v>
      </c>
      <c r="H75" s="74">
        <v>71</v>
      </c>
      <c r="I75" s="74">
        <v>0</v>
      </c>
      <c r="J75" s="72">
        <v>95</v>
      </c>
      <c r="K75" s="72">
        <v>0</v>
      </c>
      <c r="L75" s="72">
        <v>0</v>
      </c>
      <c r="M75" s="72">
        <v>0</v>
      </c>
      <c r="N75" s="72">
        <v>95</v>
      </c>
      <c r="O75" s="72">
        <v>0</v>
      </c>
      <c r="P75" s="72">
        <v>95</v>
      </c>
      <c r="Q75" s="75">
        <v>0</v>
      </c>
      <c r="R75" s="75">
        <v>0</v>
      </c>
      <c r="S75" s="72">
        <v>110</v>
      </c>
      <c r="T75" s="72">
        <v>122</v>
      </c>
      <c r="U75" s="72">
        <v>0</v>
      </c>
      <c r="V75" s="78">
        <v>1.109</v>
      </c>
      <c r="W75" s="72">
        <v>254</v>
      </c>
      <c r="X75" s="72">
        <v>92</v>
      </c>
      <c r="Y75" s="72">
        <v>162</v>
      </c>
      <c r="Z75" s="75">
        <v>0.36199999999999999</v>
      </c>
      <c r="AA75" s="72">
        <v>600</v>
      </c>
      <c r="AB75" s="72">
        <v>214</v>
      </c>
      <c r="AC75" s="72">
        <v>398</v>
      </c>
      <c r="AD75" s="77">
        <v>0.5</v>
      </c>
    </row>
    <row r="76" spans="1:30" ht="12.75" x14ac:dyDescent="0.2">
      <c r="A76" s="72" t="s">
        <v>284</v>
      </c>
      <c r="B76" s="72">
        <v>622</v>
      </c>
      <c r="C76" s="72">
        <v>0</v>
      </c>
      <c r="D76" s="72">
        <v>0</v>
      </c>
      <c r="E76" s="72">
        <v>0</v>
      </c>
      <c r="F76" s="72">
        <v>622</v>
      </c>
      <c r="G76" s="73">
        <v>0</v>
      </c>
      <c r="H76" s="74">
        <v>233</v>
      </c>
      <c r="I76" s="74">
        <v>0</v>
      </c>
      <c r="J76" s="72">
        <v>399</v>
      </c>
      <c r="K76" s="72">
        <v>0</v>
      </c>
      <c r="L76" s="72">
        <v>0</v>
      </c>
      <c r="M76" s="72">
        <v>0</v>
      </c>
      <c r="N76" s="72">
        <v>399</v>
      </c>
      <c r="O76" s="72">
        <v>0</v>
      </c>
      <c r="P76" s="72">
        <v>399</v>
      </c>
      <c r="Q76" s="75">
        <v>0</v>
      </c>
      <c r="R76" s="75">
        <v>0</v>
      </c>
      <c r="S76" s="72">
        <v>446</v>
      </c>
      <c r="T76" s="72">
        <v>5</v>
      </c>
      <c r="U76" s="72">
        <v>441</v>
      </c>
      <c r="V76" s="75">
        <v>1.0999999999999999E-2</v>
      </c>
      <c r="W76" s="76">
        <v>1104</v>
      </c>
      <c r="X76" s="72">
        <v>0</v>
      </c>
      <c r="Y76" s="76">
        <v>1104</v>
      </c>
      <c r="Z76" s="75">
        <v>0</v>
      </c>
      <c r="AA76" s="76">
        <v>2571</v>
      </c>
      <c r="AB76" s="72">
        <v>5</v>
      </c>
      <c r="AC76" s="76">
        <v>2566</v>
      </c>
      <c r="AD76" s="77">
        <v>0.375</v>
      </c>
    </row>
    <row r="77" spans="1:30" ht="12.75" x14ac:dyDescent="0.2">
      <c r="A77" s="72" t="s">
        <v>286</v>
      </c>
      <c r="B77" s="72">
        <v>23</v>
      </c>
      <c r="C77" s="72">
        <v>0</v>
      </c>
      <c r="D77" s="72">
        <v>0</v>
      </c>
      <c r="E77" s="72">
        <v>0</v>
      </c>
      <c r="F77" s="72">
        <v>23</v>
      </c>
      <c r="G77" s="73">
        <v>0</v>
      </c>
      <c r="H77" s="74">
        <v>12</v>
      </c>
      <c r="I77" s="74">
        <v>0</v>
      </c>
      <c r="J77" s="72">
        <v>14</v>
      </c>
      <c r="K77" s="72">
        <v>0</v>
      </c>
      <c r="L77" s="72">
        <v>0</v>
      </c>
      <c r="M77" s="72">
        <v>0</v>
      </c>
      <c r="N77" s="72">
        <v>14</v>
      </c>
      <c r="O77" s="72">
        <v>0</v>
      </c>
      <c r="P77" s="72">
        <v>14</v>
      </c>
      <c r="Q77" s="75">
        <v>0</v>
      </c>
      <c r="R77" s="75">
        <v>0</v>
      </c>
      <c r="S77" s="72">
        <v>14</v>
      </c>
      <c r="T77" s="72">
        <v>0</v>
      </c>
      <c r="U77" s="72">
        <v>14</v>
      </c>
      <c r="V77" s="75">
        <v>0</v>
      </c>
      <c r="W77" s="72">
        <v>35</v>
      </c>
      <c r="X77" s="72">
        <v>355</v>
      </c>
      <c r="Y77" s="72">
        <v>0</v>
      </c>
      <c r="Z77" s="78">
        <v>10.143000000000001</v>
      </c>
      <c r="AA77" s="72">
        <v>86</v>
      </c>
      <c r="AB77" s="72">
        <v>355</v>
      </c>
      <c r="AC77" s="72">
        <v>51</v>
      </c>
      <c r="AD77" s="77">
        <v>0.5</v>
      </c>
    </row>
    <row r="78" spans="1:30" ht="12.75" x14ac:dyDescent="0.2">
      <c r="A78" s="72" t="s">
        <v>236</v>
      </c>
      <c r="B78" s="72">
        <v>974</v>
      </c>
      <c r="C78" s="72">
        <v>15</v>
      </c>
      <c r="D78" s="72">
        <v>15</v>
      </c>
      <c r="E78" s="72">
        <v>0</v>
      </c>
      <c r="F78" s="72">
        <v>959</v>
      </c>
      <c r="G78" s="73">
        <v>1.4999999999999999E-2</v>
      </c>
      <c r="H78" s="74">
        <v>487</v>
      </c>
      <c r="I78" s="74">
        <v>0</v>
      </c>
      <c r="J78" s="72">
        <v>643</v>
      </c>
      <c r="K78" s="72">
        <v>7</v>
      </c>
      <c r="L78" s="72">
        <v>7</v>
      </c>
      <c r="M78" s="72">
        <v>0</v>
      </c>
      <c r="N78" s="72">
        <v>636</v>
      </c>
      <c r="O78" s="72">
        <v>7</v>
      </c>
      <c r="P78" s="72">
        <v>636</v>
      </c>
      <c r="Q78" s="75">
        <v>1.0999999999999999E-2</v>
      </c>
      <c r="R78" s="75">
        <v>1.0999999999999999E-2</v>
      </c>
      <c r="S78" s="72">
        <v>708</v>
      </c>
      <c r="T78" s="72">
        <v>324</v>
      </c>
      <c r="U78" s="72">
        <v>384</v>
      </c>
      <c r="V78" s="75">
        <v>0.45800000000000002</v>
      </c>
      <c r="W78" s="76">
        <v>1638</v>
      </c>
      <c r="X78" s="76">
        <v>1448</v>
      </c>
      <c r="Y78" s="72">
        <v>190</v>
      </c>
      <c r="Z78" s="78">
        <v>0.88400000000000001</v>
      </c>
      <c r="AA78" s="76">
        <v>3963</v>
      </c>
      <c r="AB78" s="76">
        <v>1794</v>
      </c>
      <c r="AC78" s="76">
        <v>2169</v>
      </c>
      <c r="AD78" s="77">
        <v>0.5</v>
      </c>
    </row>
    <row r="79" spans="1:30" ht="12.75" x14ac:dyDescent="0.2">
      <c r="A79" s="72" t="s">
        <v>288</v>
      </c>
      <c r="B79" s="72">
        <v>707</v>
      </c>
      <c r="C79" s="72">
        <v>135</v>
      </c>
      <c r="D79" s="72">
        <v>135</v>
      </c>
      <c r="E79" s="72">
        <v>0</v>
      </c>
      <c r="F79" s="72">
        <v>572</v>
      </c>
      <c r="G79" s="73">
        <v>0.191</v>
      </c>
      <c r="H79" s="74">
        <v>354</v>
      </c>
      <c r="I79" s="74">
        <v>0</v>
      </c>
      <c r="J79" s="72">
        <v>478</v>
      </c>
      <c r="K79" s="72">
        <v>203</v>
      </c>
      <c r="L79" s="72">
        <v>203</v>
      </c>
      <c r="M79" s="72">
        <v>0</v>
      </c>
      <c r="N79" s="72">
        <v>275</v>
      </c>
      <c r="O79" s="72">
        <v>203</v>
      </c>
      <c r="P79" s="72">
        <v>275</v>
      </c>
      <c r="Q79" s="75">
        <v>0.42499999999999999</v>
      </c>
      <c r="R79" s="75">
        <v>0.42499999999999999</v>
      </c>
      <c r="S79" s="72">
        <v>533</v>
      </c>
      <c r="T79" s="72">
        <v>0</v>
      </c>
      <c r="U79" s="72">
        <v>533</v>
      </c>
      <c r="V79" s="75">
        <v>0</v>
      </c>
      <c r="W79" s="76">
        <v>1176</v>
      </c>
      <c r="X79" s="76">
        <v>2205</v>
      </c>
      <c r="Y79" s="72">
        <v>0</v>
      </c>
      <c r="Z79" s="78">
        <v>1.875</v>
      </c>
      <c r="AA79" s="76">
        <v>2894</v>
      </c>
      <c r="AB79" s="76">
        <v>2543</v>
      </c>
      <c r="AC79" s="76">
        <v>1380</v>
      </c>
      <c r="AD79" s="77">
        <v>0.5</v>
      </c>
    </row>
    <row r="80" spans="1:30" ht="12.75" x14ac:dyDescent="0.2">
      <c r="A80" s="72" t="s">
        <v>289</v>
      </c>
      <c r="B80" s="72">
        <v>217</v>
      </c>
      <c r="C80" s="72">
        <v>0</v>
      </c>
      <c r="D80" s="72">
        <v>0</v>
      </c>
      <c r="E80" s="72">
        <v>0</v>
      </c>
      <c r="F80" s="72">
        <v>217</v>
      </c>
      <c r="G80" s="73">
        <v>0</v>
      </c>
      <c r="H80" s="74">
        <v>109</v>
      </c>
      <c r="I80" s="74">
        <v>0</v>
      </c>
      <c r="J80" s="72">
        <v>148</v>
      </c>
      <c r="K80" s="72">
        <v>0</v>
      </c>
      <c r="L80" s="72">
        <v>0</v>
      </c>
      <c r="M80" s="72">
        <v>0</v>
      </c>
      <c r="N80" s="72">
        <v>148</v>
      </c>
      <c r="O80" s="72">
        <v>0</v>
      </c>
      <c r="P80" s="72">
        <v>148</v>
      </c>
      <c r="Q80" s="75">
        <v>0</v>
      </c>
      <c r="R80" s="75">
        <v>0</v>
      </c>
      <c r="S80" s="72">
        <v>164</v>
      </c>
      <c r="T80" s="76">
        <v>1322</v>
      </c>
      <c r="U80" s="72">
        <v>0</v>
      </c>
      <c r="V80" s="78">
        <v>8.0609999999999999</v>
      </c>
      <c r="W80" s="72">
        <v>333</v>
      </c>
      <c r="X80" s="72">
        <v>812</v>
      </c>
      <c r="Y80" s="72">
        <v>0</v>
      </c>
      <c r="Z80" s="78">
        <v>2.4380000000000002</v>
      </c>
      <c r="AA80" s="72">
        <v>862</v>
      </c>
      <c r="AB80" s="76">
        <v>2134</v>
      </c>
      <c r="AC80" s="72">
        <v>365</v>
      </c>
      <c r="AD80" s="77">
        <v>0.5</v>
      </c>
    </row>
    <row r="81" spans="1:30" ht="12.75" x14ac:dyDescent="0.2">
      <c r="A81" s="72" t="s">
        <v>291</v>
      </c>
      <c r="B81" s="72">
        <v>253</v>
      </c>
      <c r="C81" s="72">
        <v>0</v>
      </c>
      <c r="D81" s="72">
        <v>0</v>
      </c>
      <c r="E81" s="72">
        <v>0</v>
      </c>
      <c r="F81" s="72">
        <v>253</v>
      </c>
      <c r="G81" s="73">
        <v>0</v>
      </c>
      <c r="H81" s="74">
        <v>95</v>
      </c>
      <c r="I81" s="74">
        <v>0</v>
      </c>
      <c r="J81" s="72">
        <v>190</v>
      </c>
      <c r="K81" s="72">
        <v>0</v>
      </c>
      <c r="L81" s="72">
        <v>0</v>
      </c>
      <c r="M81" s="72">
        <v>0</v>
      </c>
      <c r="N81" s="72">
        <v>190</v>
      </c>
      <c r="O81" s="72">
        <v>0</v>
      </c>
      <c r="P81" s="72">
        <v>190</v>
      </c>
      <c r="Q81" s="75">
        <v>0</v>
      </c>
      <c r="R81" s="75">
        <v>0</v>
      </c>
      <c r="S81" s="72">
        <v>204</v>
      </c>
      <c r="T81" s="72">
        <v>20</v>
      </c>
      <c r="U81" s="72">
        <v>184</v>
      </c>
      <c r="V81" s="75">
        <v>9.8000000000000004E-2</v>
      </c>
      <c r="W81" s="72">
        <v>467</v>
      </c>
      <c r="X81" s="72">
        <v>0</v>
      </c>
      <c r="Y81" s="72">
        <v>467</v>
      </c>
      <c r="Z81" s="75">
        <v>0</v>
      </c>
      <c r="AA81" s="76">
        <v>1114</v>
      </c>
      <c r="AB81" s="72">
        <v>20</v>
      </c>
      <c r="AC81" s="76">
        <v>1094</v>
      </c>
      <c r="AD81" s="77">
        <v>0.375</v>
      </c>
    </row>
    <row r="82" spans="1:30" ht="12.75" x14ac:dyDescent="0.2">
      <c r="A82" s="72" t="s">
        <v>292</v>
      </c>
      <c r="B82" s="76">
        <v>3209</v>
      </c>
      <c r="C82" s="72">
        <v>115</v>
      </c>
      <c r="D82" s="72">
        <v>115</v>
      </c>
      <c r="E82" s="72">
        <v>0</v>
      </c>
      <c r="F82" s="76">
        <v>3094</v>
      </c>
      <c r="G82" s="73">
        <v>3.5999999999999997E-2</v>
      </c>
      <c r="H82" s="74">
        <v>1605</v>
      </c>
      <c r="I82" s="74">
        <v>0</v>
      </c>
      <c r="J82" s="76">
        <v>2439</v>
      </c>
      <c r="K82" s="72">
        <v>565</v>
      </c>
      <c r="L82" s="72">
        <v>565</v>
      </c>
      <c r="M82" s="72">
        <v>0</v>
      </c>
      <c r="N82" s="76">
        <v>1874</v>
      </c>
      <c r="O82" s="72">
        <v>565</v>
      </c>
      <c r="P82" s="76">
        <v>1874</v>
      </c>
      <c r="Q82" s="75">
        <v>0.23200000000000001</v>
      </c>
      <c r="R82" s="75">
        <v>0.23200000000000001</v>
      </c>
      <c r="S82" s="76">
        <v>2257</v>
      </c>
      <c r="T82" s="72">
        <v>328</v>
      </c>
      <c r="U82" s="76">
        <v>1929</v>
      </c>
      <c r="V82" s="75">
        <v>0.14499999999999999</v>
      </c>
      <c r="W82" s="76">
        <v>4956</v>
      </c>
      <c r="X82" s="76">
        <v>7614</v>
      </c>
      <c r="Y82" s="72">
        <v>0</v>
      </c>
      <c r="Z82" s="78">
        <v>1.536</v>
      </c>
      <c r="AA82" s="76">
        <v>12861</v>
      </c>
      <c r="AB82" s="76">
        <v>8622</v>
      </c>
      <c r="AC82" s="76">
        <v>6897</v>
      </c>
      <c r="AD82" s="77">
        <v>0.5</v>
      </c>
    </row>
    <row r="83" spans="1:30" ht="12.75" x14ac:dyDescent="0.2">
      <c r="A83" s="72" t="s">
        <v>294</v>
      </c>
      <c r="B83" s="72">
        <v>146</v>
      </c>
      <c r="C83" s="72">
        <v>3</v>
      </c>
      <c r="D83" s="72">
        <v>0</v>
      </c>
      <c r="E83" s="72">
        <v>3</v>
      </c>
      <c r="F83" s="72">
        <v>143</v>
      </c>
      <c r="G83" s="73">
        <v>2.1000000000000001E-2</v>
      </c>
      <c r="H83" s="74">
        <v>73</v>
      </c>
      <c r="I83" s="74">
        <v>0</v>
      </c>
      <c r="J83" s="72">
        <v>102</v>
      </c>
      <c r="K83" s="72">
        <v>4</v>
      </c>
      <c r="L83" s="72">
        <v>3</v>
      </c>
      <c r="M83" s="72">
        <v>1</v>
      </c>
      <c r="N83" s="72">
        <v>98</v>
      </c>
      <c r="O83" s="72">
        <v>4</v>
      </c>
      <c r="P83" s="72">
        <v>98</v>
      </c>
      <c r="Q83" s="75">
        <v>3.9E-2</v>
      </c>
      <c r="R83" s="75">
        <v>3.9E-2</v>
      </c>
      <c r="S83" s="72">
        <v>130</v>
      </c>
      <c r="T83" s="72">
        <v>24</v>
      </c>
      <c r="U83" s="72">
        <v>106</v>
      </c>
      <c r="V83" s="75">
        <v>0.185</v>
      </c>
      <c r="W83" s="72">
        <v>318</v>
      </c>
      <c r="X83" s="72">
        <v>77</v>
      </c>
      <c r="Y83" s="72">
        <v>241</v>
      </c>
      <c r="Z83" s="75">
        <v>0.24199999999999999</v>
      </c>
      <c r="AA83" s="72">
        <v>696</v>
      </c>
      <c r="AB83" s="72">
        <v>108</v>
      </c>
      <c r="AC83" s="72">
        <v>588</v>
      </c>
      <c r="AD83" s="77">
        <v>0.5</v>
      </c>
    </row>
    <row r="84" spans="1:30" ht="12.75" x14ac:dyDescent="0.2">
      <c r="A84" s="72" t="s">
        <v>295</v>
      </c>
      <c r="B84" s="72">
        <v>98</v>
      </c>
      <c r="C84" s="72">
        <v>0</v>
      </c>
      <c r="D84" s="72">
        <v>0</v>
      </c>
      <c r="E84" s="72">
        <v>0</v>
      </c>
      <c r="F84" s="72">
        <v>98</v>
      </c>
      <c r="G84" s="73">
        <v>0</v>
      </c>
      <c r="H84" s="74">
        <v>49</v>
      </c>
      <c r="I84" s="74">
        <v>0</v>
      </c>
      <c r="J84" s="72">
        <v>59</v>
      </c>
      <c r="K84" s="72">
        <v>0</v>
      </c>
      <c r="L84" s="72">
        <v>0</v>
      </c>
      <c r="M84" s="72">
        <v>0</v>
      </c>
      <c r="N84" s="72">
        <v>59</v>
      </c>
      <c r="O84" s="72">
        <v>0</v>
      </c>
      <c r="P84" s="72">
        <v>59</v>
      </c>
      <c r="Q84" s="75">
        <v>0</v>
      </c>
      <c r="R84" s="75">
        <v>0</v>
      </c>
      <c r="S84" s="72">
        <v>64</v>
      </c>
      <c r="T84" s="72">
        <v>23</v>
      </c>
      <c r="U84" s="72">
        <v>41</v>
      </c>
      <c r="V84" s="75">
        <v>0.35899999999999999</v>
      </c>
      <c r="W84" s="72">
        <v>152</v>
      </c>
      <c r="X84" s="72">
        <v>346</v>
      </c>
      <c r="Y84" s="72">
        <v>0</v>
      </c>
      <c r="Z84" s="78">
        <v>2.2759999999999998</v>
      </c>
      <c r="AA84" s="72">
        <v>373</v>
      </c>
      <c r="AB84" s="72">
        <v>369</v>
      </c>
      <c r="AC84" s="72">
        <v>198</v>
      </c>
      <c r="AD84" s="77">
        <v>0.5</v>
      </c>
    </row>
    <row r="85" spans="1:30" ht="12.75" x14ac:dyDescent="0.2">
      <c r="A85" s="72" t="s">
        <v>266</v>
      </c>
      <c r="B85" s="72">
        <v>51</v>
      </c>
      <c r="C85" s="72">
        <v>0</v>
      </c>
      <c r="D85" s="72">
        <v>0</v>
      </c>
      <c r="E85" s="72">
        <v>0</v>
      </c>
      <c r="F85" s="72">
        <v>51</v>
      </c>
      <c r="G85" s="73">
        <v>0</v>
      </c>
      <c r="H85" s="74">
        <v>26</v>
      </c>
      <c r="I85" s="74">
        <v>0</v>
      </c>
      <c r="J85" s="72">
        <v>25</v>
      </c>
      <c r="K85" s="72">
        <v>2</v>
      </c>
      <c r="L85" s="72">
        <v>0</v>
      </c>
      <c r="M85" s="72">
        <v>2</v>
      </c>
      <c r="N85" s="72">
        <v>23</v>
      </c>
      <c r="O85" s="72">
        <v>2</v>
      </c>
      <c r="P85" s="72">
        <v>23</v>
      </c>
      <c r="Q85" s="75">
        <v>0.08</v>
      </c>
      <c r="R85" s="75">
        <v>0.08</v>
      </c>
      <c r="S85" s="72">
        <v>31</v>
      </c>
      <c r="T85" s="72">
        <v>0</v>
      </c>
      <c r="U85" s="72">
        <v>31</v>
      </c>
      <c r="V85" s="75">
        <v>0</v>
      </c>
      <c r="W85" s="72">
        <v>34</v>
      </c>
      <c r="X85" s="72">
        <v>8</v>
      </c>
      <c r="Y85" s="72">
        <v>26</v>
      </c>
      <c r="Z85" s="75">
        <v>0.23499999999999999</v>
      </c>
      <c r="AA85" s="72">
        <v>141</v>
      </c>
      <c r="AB85" s="72">
        <v>10</v>
      </c>
      <c r="AC85" s="72">
        <v>131</v>
      </c>
      <c r="AD85" s="77">
        <v>0.5</v>
      </c>
    </row>
    <row r="86" spans="1:30" ht="12.75" x14ac:dyDescent="0.2">
      <c r="A86" s="72" t="s">
        <v>297</v>
      </c>
      <c r="B86" s="72">
        <v>108</v>
      </c>
      <c r="C86" s="72">
        <v>3</v>
      </c>
      <c r="D86" s="72">
        <v>1</v>
      </c>
      <c r="E86" s="72">
        <v>2</v>
      </c>
      <c r="F86" s="72">
        <v>105</v>
      </c>
      <c r="G86" s="73">
        <v>2.8000000000000001E-2</v>
      </c>
      <c r="H86" s="74">
        <v>108</v>
      </c>
      <c r="I86" s="74">
        <v>0</v>
      </c>
      <c r="J86" s="72">
        <v>67</v>
      </c>
      <c r="K86" s="72">
        <v>2</v>
      </c>
      <c r="L86" s="72">
        <v>0</v>
      </c>
      <c r="M86" s="72">
        <v>2</v>
      </c>
      <c r="N86" s="72">
        <v>65</v>
      </c>
      <c r="O86" s="72">
        <v>2</v>
      </c>
      <c r="P86" s="72">
        <v>65</v>
      </c>
      <c r="Q86" s="75">
        <v>0.03</v>
      </c>
      <c r="R86" s="75">
        <v>0.03</v>
      </c>
      <c r="S86" s="72">
        <v>87</v>
      </c>
      <c r="T86" s="72">
        <v>3</v>
      </c>
      <c r="U86" s="72">
        <v>84</v>
      </c>
      <c r="V86" s="75">
        <v>3.4000000000000002E-2</v>
      </c>
      <c r="W86" s="72">
        <v>205</v>
      </c>
      <c r="X86" s="72">
        <v>6</v>
      </c>
      <c r="Y86" s="72">
        <v>199</v>
      </c>
      <c r="Z86" s="75">
        <v>2.9000000000000001E-2</v>
      </c>
      <c r="AA86" s="72">
        <v>467</v>
      </c>
      <c r="AB86" s="72">
        <v>14</v>
      </c>
      <c r="AC86" s="72">
        <v>453</v>
      </c>
      <c r="AD86" s="77">
        <v>1</v>
      </c>
    </row>
    <row r="87" spans="1:30" ht="12.75" x14ac:dyDescent="0.2">
      <c r="A87" s="72" t="s">
        <v>298</v>
      </c>
      <c r="B87" s="72">
        <v>39</v>
      </c>
      <c r="C87" s="72">
        <v>25</v>
      </c>
      <c r="D87" s="72">
        <v>25</v>
      </c>
      <c r="E87" s="72">
        <v>0</v>
      </c>
      <c r="F87" s="72">
        <v>14</v>
      </c>
      <c r="G87" s="79">
        <v>0.64100000000000001</v>
      </c>
      <c r="H87" s="74">
        <v>20</v>
      </c>
      <c r="I87" s="74">
        <v>5</v>
      </c>
      <c r="J87" s="72">
        <v>29</v>
      </c>
      <c r="K87" s="72">
        <v>7</v>
      </c>
      <c r="L87" s="72">
        <v>7</v>
      </c>
      <c r="M87" s="72">
        <v>0</v>
      </c>
      <c r="N87" s="72">
        <v>22</v>
      </c>
      <c r="O87" s="72">
        <v>12</v>
      </c>
      <c r="P87" s="72">
        <v>17</v>
      </c>
      <c r="Q87" s="75">
        <v>0.24099999999999999</v>
      </c>
      <c r="R87" s="75">
        <v>0.41399999999999998</v>
      </c>
      <c r="S87" s="72">
        <v>31</v>
      </c>
      <c r="T87" s="72">
        <v>5</v>
      </c>
      <c r="U87" s="72">
        <v>26</v>
      </c>
      <c r="V87" s="75">
        <v>0.161</v>
      </c>
      <c r="W87" s="72">
        <v>112</v>
      </c>
      <c r="X87" s="72">
        <v>49</v>
      </c>
      <c r="Y87" s="72">
        <v>63</v>
      </c>
      <c r="Z87" s="75">
        <v>0.438</v>
      </c>
      <c r="AA87" s="72">
        <v>211</v>
      </c>
      <c r="AB87" s="72">
        <v>86</v>
      </c>
      <c r="AC87" s="72">
        <v>125</v>
      </c>
      <c r="AD87" s="77">
        <v>0.5</v>
      </c>
    </row>
    <row r="88" spans="1:30" ht="12.75" x14ac:dyDescent="0.2">
      <c r="A88" s="72" t="s">
        <v>300</v>
      </c>
      <c r="B88" s="76">
        <v>2321</v>
      </c>
      <c r="C88" s="72">
        <v>0</v>
      </c>
      <c r="D88" s="72">
        <v>0</v>
      </c>
      <c r="E88" s="72">
        <v>0</v>
      </c>
      <c r="F88" s="76">
        <v>2321</v>
      </c>
      <c r="G88" s="73">
        <v>0</v>
      </c>
      <c r="H88" s="74">
        <v>870</v>
      </c>
      <c r="I88" s="74">
        <v>0</v>
      </c>
      <c r="J88" s="76">
        <v>1145</v>
      </c>
      <c r="K88" s="72">
        <v>27</v>
      </c>
      <c r="L88" s="72">
        <v>27</v>
      </c>
      <c r="M88" s="72">
        <v>0</v>
      </c>
      <c r="N88" s="76">
        <v>1118</v>
      </c>
      <c r="O88" s="72">
        <v>27</v>
      </c>
      <c r="P88" s="76">
        <v>1118</v>
      </c>
      <c r="Q88" s="75">
        <v>2.4E-2</v>
      </c>
      <c r="R88" s="75">
        <v>2.4E-2</v>
      </c>
      <c r="S88" s="76">
        <v>1018</v>
      </c>
      <c r="T88" s="76">
        <v>1742</v>
      </c>
      <c r="U88" s="72">
        <v>0</v>
      </c>
      <c r="V88" s="78">
        <v>1.7110000000000001</v>
      </c>
      <c r="W88" s="76">
        <v>1844</v>
      </c>
      <c r="X88" s="76">
        <v>3221</v>
      </c>
      <c r="Y88" s="72">
        <v>0</v>
      </c>
      <c r="Z88" s="78">
        <v>1.7470000000000001</v>
      </c>
      <c r="AA88" s="76">
        <v>6328</v>
      </c>
      <c r="AB88" s="76">
        <v>4990</v>
      </c>
      <c r="AC88" s="76">
        <v>3439</v>
      </c>
      <c r="AD88" s="77">
        <v>0.375</v>
      </c>
    </row>
    <row r="89" spans="1:30" ht="12.75" x14ac:dyDescent="0.2">
      <c r="A89" s="72" t="s">
        <v>302</v>
      </c>
      <c r="B89" s="76">
        <v>1555</v>
      </c>
      <c r="C89" s="72">
        <v>78</v>
      </c>
      <c r="D89" s="72">
        <v>78</v>
      </c>
      <c r="E89" s="72">
        <v>0</v>
      </c>
      <c r="F89" s="76">
        <v>1477</v>
      </c>
      <c r="G89" s="73">
        <v>0.05</v>
      </c>
      <c r="H89" s="74">
        <v>778</v>
      </c>
      <c r="I89" s="74">
        <v>0</v>
      </c>
      <c r="J89" s="76">
        <v>1059</v>
      </c>
      <c r="K89" s="72">
        <v>51</v>
      </c>
      <c r="L89" s="72">
        <v>51</v>
      </c>
      <c r="M89" s="72">
        <v>0</v>
      </c>
      <c r="N89" s="76">
        <v>1008</v>
      </c>
      <c r="O89" s="72">
        <v>51</v>
      </c>
      <c r="P89" s="76">
        <v>1008</v>
      </c>
      <c r="Q89" s="75">
        <v>4.8000000000000001E-2</v>
      </c>
      <c r="R89" s="75">
        <v>4.8000000000000001E-2</v>
      </c>
      <c r="S89" s="76">
        <v>1212</v>
      </c>
      <c r="T89" s="72">
        <v>0</v>
      </c>
      <c r="U89" s="76">
        <v>1212</v>
      </c>
      <c r="V89" s="75">
        <v>0</v>
      </c>
      <c r="W89" s="76">
        <v>2945</v>
      </c>
      <c r="X89" s="72">
        <v>88</v>
      </c>
      <c r="Y89" s="76">
        <v>2857</v>
      </c>
      <c r="Z89" s="75">
        <v>0.03</v>
      </c>
      <c r="AA89" s="76">
        <v>6771</v>
      </c>
      <c r="AB89" s="72">
        <v>217</v>
      </c>
      <c r="AC89" s="76">
        <v>6554</v>
      </c>
      <c r="AD89" s="77">
        <v>0.5</v>
      </c>
    </row>
    <row r="90" spans="1:30" ht="12.75" x14ac:dyDescent="0.2">
      <c r="A90" s="72" t="s">
        <v>304</v>
      </c>
      <c r="B90" s="72">
        <v>150</v>
      </c>
      <c r="C90" s="72">
        <v>36</v>
      </c>
      <c r="D90" s="72">
        <v>36</v>
      </c>
      <c r="E90" s="72">
        <v>0</v>
      </c>
      <c r="F90" s="72">
        <v>114</v>
      </c>
      <c r="G90" s="73">
        <v>0.24</v>
      </c>
      <c r="H90" s="74">
        <v>56</v>
      </c>
      <c r="I90" s="74">
        <v>0</v>
      </c>
      <c r="J90" s="72">
        <v>115</v>
      </c>
      <c r="K90" s="72">
        <v>32</v>
      </c>
      <c r="L90" s="72">
        <v>32</v>
      </c>
      <c r="M90" s="72">
        <v>0</v>
      </c>
      <c r="N90" s="72">
        <v>83</v>
      </c>
      <c r="O90" s="72">
        <v>32</v>
      </c>
      <c r="P90" s="72">
        <v>83</v>
      </c>
      <c r="Q90" s="75">
        <v>0.27800000000000002</v>
      </c>
      <c r="R90" s="75">
        <v>0.27800000000000002</v>
      </c>
      <c r="S90" s="72">
        <v>123</v>
      </c>
      <c r="T90" s="72">
        <v>41</v>
      </c>
      <c r="U90" s="72">
        <v>82</v>
      </c>
      <c r="V90" s="75">
        <v>0.33300000000000002</v>
      </c>
      <c r="W90" s="72">
        <v>201</v>
      </c>
      <c r="X90" s="72">
        <v>84</v>
      </c>
      <c r="Y90" s="72">
        <v>117</v>
      </c>
      <c r="Z90" s="78">
        <v>0.41799999999999998</v>
      </c>
      <c r="AA90" s="72">
        <v>589</v>
      </c>
      <c r="AB90" s="72">
        <v>193</v>
      </c>
      <c r="AC90" s="72">
        <v>396</v>
      </c>
      <c r="AD90" s="77">
        <v>0.375</v>
      </c>
    </row>
    <row r="91" spans="1:30" ht="12.75" x14ac:dyDescent="0.2">
      <c r="A91" s="72" t="s">
        <v>305</v>
      </c>
      <c r="B91" s="72">
        <v>10</v>
      </c>
      <c r="C91" s="72">
        <v>0</v>
      </c>
      <c r="D91" s="72">
        <v>0</v>
      </c>
      <c r="E91" s="72">
        <v>0</v>
      </c>
      <c r="F91" s="72">
        <v>10</v>
      </c>
      <c r="G91" s="73">
        <v>0</v>
      </c>
      <c r="H91" s="74">
        <v>5</v>
      </c>
      <c r="I91" s="74">
        <v>0</v>
      </c>
      <c r="J91" s="72">
        <v>7</v>
      </c>
      <c r="K91" s="72">
        <v>0</v>
      </c>
      <c r="L91" s="72">
        <v>0</v>
      </c>
      <c r="M91" s="72">
        <v>0</v>
      </c>
      <c r="N91" s="72">
        <v>7</v>
      </c>
      <c r="O91" s="72">
        <v>0</v>
      </c>
      <c r="P91" s="72">
        <v>7</v>
      </c>
      <c r="Q91" s="75">
        <v>0</v>
      </c>
      <c r="R91" s="75">
        <v>0</v>
      </c>
      <c r="S91" s="72">
        <v>10</v>
      </c>
      <c r="T91" s="72">
        <v>0</v>
      </c>
      <c r="U91" s="72">
        <v>10</v>
      </c>
      <c r="V91" s="75">
        <v>0</v>
      </c>
      <c r="W91" s="72">
        <v>24</v>
      </c>
      <c r="X91" s="72">
        <v>0</v>
      </c>
      <c r="Y91" s="72">
        <v>24</v>
      </c>
      <c r="Z91" s="75">
        <v>0</v>
      </c>
      <c r="AA91" s="72">
        <v>51</v>
      </c>
      <c r="AB91" s="72">
        <v>0</v>
      </c>
      <c r="AC91" s="72">
        <v>51</v>
      </c>
      <c r="AD91" s="77">
        <v>0.5</v>
      </c>
    </row>
    <row r="92" spans="1:30" ht="12.75" x14ac:dyDescent="0.2">
      <c r="A92" s="72" t="s">
        <v>307</v>
      </c>
      <c r="B92" s="72">
        <v>20</v>
      </c>
      <c r="C92" s="72">
        <v>31</v>
      </c>
      <c r="D92" s="72">
        <v>31</v>
      </c>
      <c r="E92" s="72">
        <v>0</v>
      </c>
      <c r="F92" s="72">
        <v>0</v>
      </c>
      <c r="G92" s="79">
        <v>1.55</v>
      </c>
      <c r="H92" s="74">
        <v>10</v>
      </c>
      <c r="I92" s="74">
        <v>21</v>
      </c>
      <c r="J92" s="72">
        <v>8</v>
      </c>
      <c r="K92" s="72">
        <v>34</v>
      </c>
      <c r="L92" s="72">
        <v>34</v>
      </c>
      <c r="M92" s="72">
        <v>0</v>
      </c>
      <c r="N92" s="72">
        <v>0</v>
      </c>
      <c r="O92" s="72">
        <v>55</v>
      </c>
      <c r="P92" s="72">
        <v>0</v>
      </c>
      <c r="Q92" s="78">
        <v>4.25</v>
      </c>
      <c r="R92" s="78">
        <v>6.875</v>
      </c>
      <c r="S92" s="72">
        <v>9</v>
      </c>
      <c r="T92" s="72">
        <v>0</v>
      </c>
      <c r="U92" s="72">
        <v>9</v>
      </c>
      <c r="V92" s="75">
        <v>0</v>
      </c>
      <c r="W92" s="72">
        <v>22</v>
      </c>
      <c r="X92" s="72">
        <v>10</v>
      </c>
      <c r="Y92" s="72">
        <v>12</v>
      </c>
      <c r="Z92" s="75">
        <v>0.45500000000000002</v>
      </c>
      <c r="AA92" s="72">
        <v>59</v>
      </c>
      <c r="AB92" s="72">
        <v>75</v>
      </c>
      <c r="AC92" s="72">
        <v>21</v>
      </c>
      <c r="AD92" s="77">
        <v>0.5</v>
      </c>
    </row>
    <row r="93" spans="1:30" ht="12.75" x14ac:dyDescent="0.2">
      <c r="A93" s="72" t="s">
        <v>308</v>
      </c>
      <c r="B93" s="72">
        <v>443</v>
      </c>
      <c r="C93" s="72">
        <v>0</v>
      </c>
      <c r="D93" s="72">
        <v>0</v>
      </c>
      <c r="E93" s="72">
        <v>0</v>
      </c>
      <c r="F93" s="72">
        <v>443</v>
      </c>
      <c r="G93" s="73">
        <v>0</v>
      </c>
      <c r="H93" s="74">
        <v>222</v>
      </c>
      <c r="I93" s="74">
        <v>0</v>
      </c>
      <c r="J93" s="72">
        <v>302</v>
      </c>
      <c r="K93" s="72">
        <v>0</v>
      </c>
      <c r="L93" s="72">
        <v>0</v>
      </c>
      <c r="M93" s="72">
        <v>0</v>
      </c>
      <c r="N93" s="72">
        <v>302</v>
      </c>
      <c r="O93" s="72">
        <v>0</v>
      </c>
      <c r="P93" s="72">
        <v>302</v>
      </c>
      <c r="Q93" s="75">
        <v>0</v>
      </c>
      <c r="R93" s="75">
        <v>0</v>
      </c>
      <c r="S93" s="72">
        <v>347</v>
      </c>
      <c r="T93" s="72">
        <v>13</v>
      </c>
      <c r="U93" s="72">
        <v>334</v>
      </c>
      <c r="V93" s="75">
        <v>3.6999999999999998E-2</v>
      </c>
      <c r="W93" s="72">
        <v>831</v>
      </c>
      <c r="X93" s="72">
        <v>127</v>
      </c>
      <c r="Y93" s="72">
        <v>704</v>
      </c>
      <c r="Z93" s="75">
        <v>0.153</v>
      </c>
      <c r="AA93" s="76">
        <v>1923</v>
      </c>
      <c r="AB93" s="72">
        <v>140</v>
      </c>
      <c r="AC93" s="76">
        <v>1783</v>
      </c>
      <c r="AD93" s="77">
        <v>0.5</v>
      </c>
    </row>
    <row r="94" spans="1:30" ht="12.75" x14ac:dyDescent="0.2">
      <c r="A94" s="72" t="s">
        <v>119</v>
      </c>
      <c r="B94" s="72">
        <v>79</v>
      </c>
      <c r="C94" s="72">
        <v>0</v>
      </c>
      <c r="D94" s="72">
        <v>0</v>
      </c>
      <c r="E94" s="72">
        <v>0</v>
      </c>
      <c r="F94" s="72">
        <v>79</v>
      </c>
      <c r="G94" s="73">
        <v>0</v>
      </c>
      <c r="H94" s="74">
        <v>79</v>
      </c>
      <c r="I94" s="74">
        <v>0</v>
      </c>
      <c r="J94" s="72">
        <v>64</v>
      </c>
      <c r="K94" s="72">
        <v>0</v>
      </c>
      <c r="L94" s="72">
        <v>0</v>
      </c>
      <c r="M94" s="72">
        <v>0</v>
      </c>
      <c r="N94" s="72">
        <v>64</v>
      </c>
      <c r="O94" s="72">
        <v>0</v>
      </c>
      <c r="P94" s="72">
        <v>64</v>
      </c>
      <c r="Q94" s="75">
        <v>0</v>
      </c>
      <c r="R94" s="75">
        <v>0</v>
      </c>
      <c r="S94" s="72">
        <v>61</v>
      </c>
      <c r="T94" s="72">
        <v>0</v>
      </c>
      <c r="U94" s="72">
        <v>61</v>
      </c>
      <c r="V94" s="75">
        <v>0</v>
      </c>
      <c r="W94" s="72">
        <v>150</v>
      </c>
      <c r="X94" s="72">
        <v>0</v>
      </c>
      <c r="Y94" s="72">
        <v>150</v>
      </c>
      <c r="Z94" s="75">
        <v>0</v>
      </c>
      <c r="AA94" s="72">
        <v>354</v>
      </c>
      <c r="AB94" s="72">
        <v>0</v>
      </c>
      <c r="AC94" s="72">
        <v>354</v>
      </c>
      <c r="AD94" s="77">
        <v>1</v>
      </c>
    </row>
    <row r="95" spans="1:30" ht="12.75" x14ac:dyDescent="0.2">
      <c r="A95" s="72" t="s">
        <v>258</v>
      </c>
      <c r="B95" s="72">
        <v>107</v>
      </c>
      <c r="C95" s="72">
        <v>8</v>
      </c>
      <c r="D95" s="72">
        <v>1</v>
      </c>
      <c r="E95" s="72">
        <v>7</v>
      </c>
      <c r="F95" s="72">
        <v>99</v>
      </c>
      <c r="G95" s="73">
        <v>7.4999999999999997E-2</v>
      </c>
      <c r="H95" s="74">
        <v>107</v>
      </c>
      <c r="I95" s="74">
        <v>0</v>
      </c>
      <c r="J95" s="72">
        <v>91</v>
      </c>
      <c r="K95" s="72">
        <v>5</v>
      </c>
      <c r="L95" s="72">
        <v>0</v>
      </c>
      <c r="M95" s="72">
        <v>5</v>
      </c>
      <c r="N95" s="72">
        <v>86</v>
      </c>
      <c r="O95" s="72">
        <v>5</v>
      </c>
      <c r="P95" s="72">
        <v>86</v>
      </c>
      <c r="Q95" s="75">
        <v>5.5E-2</v>
      </c>
      <c r="R95" s="75">
        <v>5.5E-2</v>
      </c>
      <c r="S95" s="72">
        <v>91</v>
      </c>
      <c r="T95" s="72">
        <v>71</v>
      </c>
      <c r="U95" s="72">
        <v>20</v>
      </c>
      <c r="V95" s="75">
        <v>0.78</v>
      </c>
      <c r="W95" s="72">
        <v>210</v>
      </c>
      <c r="X95" s="72">
        <v>52</v>
      </c>
      <c r="Y95" s="72">
        <v>158</v>
      </c>
      <c r="Z95" s="75">
        <v>0.248</v>
      </c>
      <c r="AA95" s="72">
        <v>499</v>
      </c>
      <c r="AB95" s="72">
        <v>136</v>
      </c>
      <c r="AC95" s="72">
        <v>363</v>
      </c>
      <c r="AD95" s="77">
        <v>1</v>
      </c>
    </row>
    <row r="96" spans="1:30" ht="12.75" x14ac:dyDescent="0.2">
      <c r="A96" s="72" t="s">
        <v>310</v>
      </c>
      <c r="B96" s="72">
        <v>12</v>
      </c>
      <c r="C96" s="72">
        <v>0</v>
      </c>
      <c r="D96" s="72">
        <v>0</v>
      </c>
      <c r="E96" s="72">
        <v>0</v>
      </c>
      <c r="F96" s="72">
        <v>12</v>
      </c>
      <c r="G96" s="73">
        <v>0</v>
      </c>
      <c r="H96" s="74">
        <v>6</v>
      </c>
      <c r="I96" s="74">
        <v>0</v>
      </c>
      <c r="J96" s="72">
        <v>7</v>
      </c>
      <c r="K96" s="72">
        <v>0</v>
      </c>
      <c r="L96" s="72">
        <v>0</v>
      </c>
      <c r="M96" s="72">
        <v>0</v>
      </c>
      <c r="N96" s="72">
        <v>7</v>
      </c>
      <c r="O96" s="72">
        <v>0</v>
      </c>
      <c r="P96" s="72">
        <v>7</v>
      </c>
      <c r="Q96" s="75">
        <v>0</v>
      </c>
      <c r="R96" s="75">
        <v>0</v>
      </c>
      <c r="S96" s="72">
        <v>7</v>
      </c>
      <c r="T96" s="72">
        <v>0</v>
      </c>
      <c r="U96" s="72">
        <v>7</v>
      </c>
      <c r="V96" s="75">
        <v>0</v>
      </c>
      <c r="W96" s="72">
        <v>20</v>
      </c>
      <c r="X96" s="72">
        <v>0</v>
      </c>
      <c r="Y96" s="72">
        <v>20</v>
      </c>
      <c r="Z96" s="75">
        <v>0</v>
      </c>
      <c r="AA96" s="72">
        <v>46</v>
      </c>
      <c r="AB96" s="72">
        <v>0</v>
      </c>
      <c r="AC96" s="72">
        <v>46</v>
      </c>
      <c r="AD96" s="77">
        <v>0.5</v>
      </c>
    </row>
    <row r="97" spans="1:30" ht="12.75" x14ac:dyDescent="0.2">
      <c r="A97" s="72" t="s">
        <v>312</v>
      </c>
      <c r="B97" s="72">
        <v>1</v>
      </c>
      <c r="C97" s="72">
        <v>0</v>
      </c>
      <c r="D97" s="72">
        <v>0</v>
      </c>
      <c r="E97" s="72">
        <v>0</v>
      </c>
      <c r="F97" s="72">
        <v>1</v>
      </c>
      <c r="G97" s="73">
        <v>0</v>
      </c>
      <c r="H97" s="74">
        <v>1</v>
      </c>
      <c r="I97" s="74">
        <v>0</v>
      </c>
      <c r="J97" s="72">
        <v>1</v>
      </c>
      <c r="K97" s="72">
        <v>0</v>
      </c>
      <c r="L97" s="72">
        <v>0</v>
      </c>
      <c r="M97" s="72">
        <v>0</v>
      </c>
      <c r="N97" s="72">
        <v>1</v>
      </c>
      <c r="O97" s="72">
        <v>0</v>
      </c>
      <c r="P97" s="72">
        <v>1</v>
      </c>
      <c r="Q97" s="75">
        <v>0</v>
      </c>
      <c r="R97" s="75">
        <v>0</v>
      </c>
      <c r="S97" s="72">
        <v>0</v>
      </c>
      <c r="T97" s="72">
        <v>0</v>
      </c>
      <c r="U97" s="72">
        <v>0</v>
      </c>
      <c r="V97" s="80" t="s">
        <v>196</v>
      </c>
      <c r="W97" s="72">
        <v>0</v>
      </c>
      <c r="X97" s="72">
        <v>0</v>
      </c>
      <c r="Y97" s="72">
        <v>0</v>
      </c>
      <c r="Z97" s="80" t="s">
        <v>196</v>
      </c>
      <c r="AA97" s="72">
        <v>2</v>
      </c>
      <c r="AB97" s="72">
        <v>0</v>
      </c>
      <c r="AC97" s="72">
        <v>2</v>
      </c>
      <c r="AD97" s="77">
        <v>0.5</v>
      </c>
    </row>
    <row r="98" spans="1:30" ht="12.75" x14ac:dyDescent="0.2">
      <c r="A98" s="72" t="s">
        <v>270</v>
      </c>
      <c r="B98" s="72">
        <v>798</v>
      </c>
      <c r="C98" s="72">
        <v>19</v>
      </c>
      <c r="D98" s="72">
        <v>19</v>
      </c>
      <c r="E98" s="72">
        <v>0</v>
      </c>
      <c r="F98" s="72">
        <v>779</v>
      </c>
      <c r="G98" s="73">
        <v>2.4E-2</v>
      </c>
      <c r="H98" s="74">
        <v>399</v>
      </c>
      <c r="I98" s="74">
        <v>0</v>
      </c>
      <c r="J98" s="72">
        <v>444</v>
      </c>
      <c r="K98" s="72">
        <v>3</v>
      </c>
      <c r="L98" s="72">
        <v>3</v>
      </c>
      <c r="M98" s="72">
        <v>0</v>
      </c>
      <c r="N98" s="72">
        <v>441</v>
      </c>
      <c r="O98" s="72">
        <v>3</v>
      </c>
      <c r="P98" s="72">
        <v>441</v>
      </c>
      <c r="Q98" s="75">
        <v>7.0000000000000001E-3</v>
      </c>
      <c r="R98" s="75">
        <v>7.0000000000000001E-3</v>
      </c>
      <c r="S98" s="72">
        <v>559</v>
      </c>
      <c r="T98" s="72">
        <v>4</v>
      </c>
      <c r="U98" s="72">
        <v>555</v>
      </c>
      <c r="V98" s="75">
        <v>7.0000000000000001E-3</v>
      </c>
      <c r="W98" s="76">
        <v>1677</v>
      </c>
      <c r="X98" s="72">
        <v>180</v>
      </c>
      <c r="Y98" s="76">
        <v>1497</v>
      </c>
      <c r="Z98" s="75">
        <v>0.107</v>
      </c>
      <c r="AA98" s="76">
        <v>3478</v>
      </c>
      <c r="AB98" s="72">
        <v>206</v>
      </c>
      <c r="AC98" s="76">
        <v>3272</v>
      </c>
      <c r="AD98" s="77">
        <v>0.5</v>
      </c>
    </row>
    <row r="99" spans="1:30" ht="12.75" x14ac:dyDescent="0.2">
      <c r="A99" s="72" t="s">
        <v>273</v>
      </c>
      <c r="B99" s="72">
        <v>374</v>
      </c>
      <c r="C99" s="72">
        <v>63</v>
      </c>
      <c r="D99" s="72">
        <v>62</v>
      </c>
      <c r="E99" s="72">
        <v>1</v>
      </c>
      <c r="F99" s="72">
        <v>311</v>
      </c>
      <c r="G99" s="73">
        <v>0.16800000000000001</v>
      </c>
      <c r="H99" s="74">
        <v>187</v>
      </c>
      <c r="I99" s="74">
        <v>0</v>
      </c>
      <c r="J99" s="72">
        <v>218</v>
      </c>
      <c r="K99" s="72">
        <v>182</v>
      </c>
      <c r="L99" s="72">
        <v>174</v>
      </c>
      <c r="M99" s="72">
        <v>8</v>
      </c>
      <c r="N99" s="72">
        <v>36</v>
      </c>
      <c r="O99" s="72">
        <v>182</v>
      </c>
      <c r="P99" s="72">
        <v>36</v>
      </c>
      <c r="Q99" s="78">
        <v>0.83499999999999996</v>
      </c>
      <c r="R99" s="78">
        <v>0.83499999999999996</v>
      </c>
      <c r="S99" s="72">
        <v>243</v>
      </c>
      <c r="T99" s="72">
        <v>125</v>
      </c>
      <c r="U99" s="72">
        <v>118</v>
      </c>
      <c r="V99" s="78">
        <v>0.51400000000000001</v>
      </c>
      <c r="W99" s="72">
        <v>532</v>
      </c>
      <c r="X99" s="76">
        <v>1155</v>
      </c>
      <c r="Y99" s="72">
        <v>0</v>
      </c>
      <c r="Z99" s="78">
        <v>2.1709999999999998</v>
      </c>
      <c r="AA99" s="76">
        <v>1367</v>
      </c>
      <c r="AB99" s="76">
        <v>1525</v>
      </c>
      <c r="AC99" s="72">
        <v>465</v>
      </c>
      <c r="AD99" s="77">
        <v>0.5</v>
      </c>
    </row>
    <row r="100" spans="1:30" ht="12.75" x14ac:dyDescent="0.2">
      <c r="A100" s="72" t="s">
        <v>315</v>
      </c>
      <c r="B100" s="72">
        <v>215</v>
      </c>
      <c r="C100" s="72">
        <v>0</v>
      </c>
      <c r="D100" s="72">
        <v>0</v>
      </c>
      <c r="E100" s="72">
        <v>0</v>
      </c>
      <c r="F100" s="72">
        <v>215</v>
      </c>
      <c r="G100" s="73">
        <v>0</v>
      </c>
      <c r="H100" s="74">
        <v>81</v>
      </c>
      <c r="I100" s="74">
        <v>0</v>
      </c>
      <c r="J100" s="72">
        <v>161</v>
      </c>
      <c r="K100" s="72">
        <v>0</v>
      </c>
      <c r="L100" s="72">
        <v>0</v>
      </c>
      <c r="M100" s="72">
        <v>0</v>
      </c>
      <c r="N100" s="72">
        <v>161</v>
      </c>
      <c r="O100" s="72">
        <v>0</v>
      </c>
      <c r="P100" s="72">
        <v>161</v>
      </c>
      <c r="Q100" s="75">
        <v>0</v>
      </c>
      <c r="R100" s="75">
        <v>0</v>
      </c>
      <c r="S100" s="72">
        <v>169</v>
      </c>
      <c r="T100" s="72">
        <v>0</v>
      </c>
      <c r="U100" s="72">
        <v>169</v>
      </c>
      <c r="V100" s="75">
        <v>0</v>
      </c>
      <c r="W100" s="72">
        <v>401</v>
      </c>
      <c r="X100" s="72">
        <v>0</v>
      </c>
      <c r="Y100" s="72">
        <v>401</v>
      </c>
      <c r="Z100" s="75">
        <v>0</v>
      </c>
      <c r="AA100" s="72">
        <v>946</v>
      </c>
      <c r="AB100" s="72">
        <v>0</v>
      </c>
      <c r="AC100" s="72">
        <v>946</v>
      </c>
      <c r="AD100" s="77">
        <v>0.375</v>
      </c>
    </row>
    <row r="101" spans="1:30" ht="12.75" x14ac:dyDescent="0.2">
      <c r="A101" s="72" t="s">
        <v>316</v>
      </c>
      <c r="B101" s="72">
        <v>38</v>
      </c>
      <c r="C101" s="72">
        <v>0</v>
      </c>
      <c r="D101" s="72">
        <v>0</v>
      </c>
      <c r="E101" s="72">
        <v>0</v>
      </c>
      <c r="F101" s="72">
        <v>38</v>
      </c>
      <c r="G101" s="73">
        <v>0</v>
      </c>
      <c r="H101" s="74">
        <v>38</v>
      </c>
      <c r="I101" s="74">
        <v>0</v>
      </c>
      <c r="J101" s="72">
        <v>30</v>
      </c>
      <c r="K101" s="72">
        <v>0</v>
      </c>
      <c r="L101" s="72">
        <v>0</v>
      </c>
      <c r="M101" s="72">
        <v>0</v>
      </c>
      <c r="N101" s="72">
        <v>30</v>
      </c>
      <c r="O101" s="72">
        <v>0</v>
      </c>
      <c r="P101" s="72">
        <v>30</v>
      </c>
      <c r="Q101" s="75">
        <v>0</v>
      </c>
      <c r="R101" s="75">
        <v>0</v>
      </c>
      <c r="S101" s="72">
        <v>33</v>
      </c>
      <c r="T101" s="72">
        <v>4</v>
      </c>
      <c r="U101" s="72">
        <v>29</v>
      </c>
      <c r="V101" s="75">
        <v>0.121</v>
      </c>
      <c r="W101" s="72">
        <v>75</v>
      </c>
      <c r="X101" s="72">
        <v>13</v>
      </c>
      <c r="Y101" s="72">
        <v>62</v>
      </c>
      <c r="Z101" s="75">
        <v>0.17299999999999999</v>
      </c>
      <c r="AA101" s="72">
        <v>176</v>
      </c>
      <c r="AB101" s="72">
        <v>17</v>
      </c>
      <c r="AC101" s="72">
        <v>159</v>
      </c>
      <c r="AD101" s="77">
        <v>1</v>
      </c>
    </row>
    <row r="102" spans="1:30" ht="12.75" x14ac:dyDescent="0.2">
      <c r="A102" s="72" t="s">
        <v>318</v>
      </c>
      <c r="B102" s="72">
        <v>192</v>
      </c>
      <c r="C102" s="72">
        <v>64</v>
      </c>
      <c r="D102" s="72">
        <v>64</v>
      </c>
      <c r="E102" s="72">
        <v>0</v>
      </c>
      <c r="F102" s="72">
        <v>128</v>
      </c>
      <c r="G102" s="73">
        <v>0.33300000000000002</v>
      </c>
      <c r="H102" s="74">
        <v>96</v>
      </c>
      <c r="I102" s="74">
        <v>0</v>
      </c>
      <c r="J102" s="72">
        <v>128</v>
      </c>
      <c r="K102" s="72">
        <v>91</v>
      </c>
      <c r="L102" s="72">
        <v>91</v>
      </c>
      <c r="M102" s="72">
        <v>0</v>
      </c>
      <c r="N102" s="72">
        <v>37</v>
      </c>
      <c r="O102" s="72">
        <v>91</v>
      </c>
      <c r="P102" s="72">
        <v>37</v>
      </c>
      <c r="Q102" s="78">
        <v>0.71099999999999997</v>
      </c>
      <c r="R102" s="78">
        <v>0.71099999999999997</v>
      </c>
      <c r="S102" s="72">
        <v>142</v>
      </c>
      <c r="T102" s="72">
        <v>67</v>
      </c>
      <c r="U102" s="72">
        <v>75</v>
      </c>
      <c r="V102" s="75">
        <v>0.47199999999999998</v>
      </c>
      <c r="W102" s="72">
        <v>308</v>
      </c>
      <c r="X102" s="76">
        <v>1732</v>
      </c>
      <c r="Y102" s="72">
        <v>0</v>
      </c>
      <c r="Z102" s="78">
        <v>5.6230000000000002</v>
      </c>
      <c r="AA102" s="72">
        <v>770</v>
      </c>
      <c r="AB102" s="76">
        <v>1954</v>
      </c>
      <c r="AC102" s="72">
        <v>240</v>
      </c>
      <c r="AD102" s="77">
        <v>0.5</v>
      </c>
    </row>
    <row r="103" spans="1:30" ht="12.75" x14ac:dyDescent="0.2">
      <c r="A103" s="72" t="s">
        <v>320</v>
      </c>
      <c r="B103" s="72">
        <v>13</v>
      </c>
      <c r="C103" s="72">
        <v>12</v>
      </c>
      <c r="D103" s="72">
        <v>12</v>
      </c>
      <c r="E103" s="72">
        <v>0</v>
      </c>
      <c r="F103" s="72">
        <v>1</v>
      </c>
      <c r="G103" s="79">
        <v>0.92300000000000004</v>
      </c>
      <c r="H103" s="74">
        <v>7</v>
      </c>
      <c r="I103" s="74">
        <v>5</v>
      </c>
      <c r="J103" s="72">
        <v>9</v>
      </c>
      <c r="K103" s="72">
        <v>0</v>
      </c>
      <c r="L103" s="72">
        <v>0</v>
      </c>
      <c r="M103" s="72">
        <v>0</v>
      </c>
      <c r="N103" s="72">
        <v>9</v>
      </c>
      <c r="O103" s="72">
        <v>5</v>
      </c>
      <c r="P103" s="72">
        <v>4</v>
      </c>
      <c r="Q103" s="75">
        <v>0</v>
      </c>
      <c r="R103" s="78">
        <v>0.55600000000000005</v>
      </c>
      <c r="S103" s="72">
        <v>9</v>
      </c>
      <c r="T103" s="72">
        <v>0</v>
      </c>
      <c r="U103" s="72">
        <v>9</v>
      </c>
      <c r="V103" s="75">
        <v>0</v>
      </c>
      <c r="W103" s="72">
        <v>19</v>
      </c>
      <c r="X103" s="72">
        <v>317</v>
      </c>
      <c r="Y103" s="72">
        <v>0</v>
      </c>
      <c r="Z103" s="78">
        <v>16.684000000000001</v>
      </c>
      <c r="AA103" s="72">
        <v>50</v>
      </c>
      <c r="AB103" s="72">
        <v>329</v>
      </c>
      <c r="AC103" s="72">
        <v>19</v>
      </c>
      <c r="AD103" s="77">
        <v>0.5</v>
      </c>
    </row>
    <row r="104" spans="1:30" ht="12.75" x14ac:dyDescent="0.2">
      <c r="A104" s="72" t="s">
        <v>321</v>
      </c>
      <c r="B104" s="72">
        <v>22</v>
      </c>
      <c r="C104" s="72">
        <v>13</v>
      </c>
      <c r="D104" s="72">
        <v>5</v>
      </c>
      <c r="E104" s="72">
        <v>8</v>
      </c>
      <c r="F104" s="72">
        <v>9</v>
      </c>
      <c r="G104" s="79">
        <v>0.59099999999999997</v>
      </c>
      <c r="H104" s="74">
        <v>11</v>
      </c>
      <c r="I104" s="74">
        <v>2</v>
      </c>
      <c r="J104" s="72">
        <v>13</v>
      </c>
      <c r="K104" s="72">
        <v>13</v>
      </c>
      <c r="L104" s="72">
        <v>13</v>
      </c>
      <c r="M104" s="72">
        <v>0</v>
      </c>
      <c r="N104" s="72">
        <v>0</v>
      </c>
      <c r="O104" s="72">
        <v>15</v>
      </c>
      <c r="P104" s="72">
        <v>0</v>
      </c>
      <c r="Q104" s="78">
        <v>1</v>
      </c>
      <c r="R104" s="78">
        <v>1.1539999999999999</v>
      </c>
      <c r="S104" s="72">
        <v>13</v>
      </c>
      <c r="T104" s="72">
        <v>7</v>
      </c>
      <c r="U104" s="72">
        <v>6</v>
      </c>
      <c r="V104" s="78">
        <v>0.53800000000000003</v>
      </c>
      <c r="W104" s="72">
        <v>24</v>
      </c>
      <c r="X104" s="72">
        <v>179</v>
      </c>
      <c r="Y104" s="72">
        <v>0</v>
      </c>
      <c r="Z104" s="78">
        <v>7.4580000000000002</v>
      </c>
      <c r="AA104" s="72">
        <v>72</v>
      </c>
      <c r="AB104" s="72">
        <v>212</v>
      </c>
      <c r="AC104" s="72">
        <v>15</v>
      </c>
      <c r="AD104" s="77">
        <v>0.5</v>
      </c>
    </row>
    <row r="105" spans="1:30" ht="12.75" x14ac:dyDescent="0.2">
      <c r="A105" s="72" t="s">
        <v>322</v>
      </c>
      <c r="B105" s="72">
        <v>1</v>
      </c>
      <c r="C105" s="72">
        <v>0</v>
      </c>
      <c r="D105" s="72">
        <v>0</v>
      </c>
      <c r="E105" s="72">
        <v>0</v>
      </c>
      <c r="F105" s="72">
        <v>1</v>
      </c>
      <c r="G105" s="73">
        <v>0</v>
      </c>
      <c r="H105" s="74">
        <v>1</v>
      </c>
      <c r="I105" s="74">
        <v>0</v>
      </c>
      <c r="J105" s="72">
        <v>1</v>
      </c>
      <c r="K105" s="72">
        <v>4</v>
      </c>
      <c r="L105" s="72">
        <v>0</v>
      </c>
      <c r="M105" s="72">
        <v>4</v>
      </c>
      <c r="N105" s="72">
        <v>0</v>
      </c>
      <c r="O105" s="72">
        <v>4</v>
      </c>
      <c r="P105" s="72">
        <v>0</v>
      </c>
      <c r="Q105" s="78">
        <v>4</v>
      </c>
      <c r="R105" s="78">
        <v>4</v>
      </c>
      <c r="S105" s="72">
        <v>0</v>
      </c>
      <c r="T105" s="72">
        <v>50</v>
      </c>
      <c r="U105" s="72">
        <v>0</v>
      </c>
      <c r="V105" s="80" t="s">
        <v>196</v>
      </c>
      <c r="W105" s="72">
        <v>0</v>
      </c>
      <c r="X105" s="72">
        <v>695</v>
      </c>
      <c r="Y105" s="72">
        <v>0</v>
      </c>
      <c r="Z105" s="80" t="s">
        <v>196</v>
      </c>
      <c r="AA105" s="72">
        <v>2</v>
      </c>
      <c r="AB105" s="72">
        <v>749</v>
      </c>
      <c r="AC105" s="72">
        <v>1</v>
      </c>
      <c r="AD105" s="77">
        <v>0.5</v>
      </c>
    </row>
    <row r="106" spans="1:30" ht="12.75" x14ac:dyDescent="0.2">
      <c r="A106" s="72" t="s">
        <v>323</v>
      </c>
      <c r="B106" s="72">
        <v>35</v>
      </c>
      <c r="C106" s="72">
        <v>4</v>
      </c>
      <c r="D106" s="72">
        <v>4</v>
      </c>
      <c r="E106" s="72">
        <v>0</v>
      </c>
      <c r="F106" s="72">
        <v>31</v>
      </c>
      <c r="G106" s="73">
        <v>0.114</v>
      </c>
      <c r="H106" s="74">
        <v>18</v>
      </c>
      <c r="I106" s="74">
        <v>0</v>
      </c>
      <c r="J106" s="72">
        <v>18</v>
      </c>
      <c r="K106" s="72">
        <v>13</v>
      </c>
      <c r="L106" s="72">
        <v>3</v>
      </c>
      <c r="M106" s="72">
        <v>10</v>
      </c>
      <c r="N106" s="72">
        <v>5</v>
      </c>
      <c r="O106" s="72">
        <v>13</v>
      </c>
      <c r="P106" s="72">
        <v>5</v>
      </c>
      <c r="Q106" s="78">
        <v>0.72199999999999998</v>
      </c>
      <c r="R106" s="78">
        <v>0.72199999999999998</v>
      </c>
      <c r="S106" s="72">
        <v>18</v>
      </c>
      <c r="T106" s="72">
        <v>13</v>
      </c>
      <c r="U106" s="72">
        <v>5</v>
      </c>
      <c r="V106" s="78">
        <v>0.72199999999999998</v>
      </c>
      <c r="W106" s="72">
        <v>66</v>
      </c>
      <c r="X106" s="72">
        <v>38</v>
      </c>
      <c r="Y106" s="72">
        <v>28</v>
      </c>
      <c r="Z106" s="78">
        <v>0.57599999999999996</v>
      </c>
      <c r="AA106" s="72">
        <v>137</v>
      </c>
      <c r="AB106" s="72">
        <v>68</v>
      </c>
      <c r="AC106" s="72">
        <v>69</v>
      </c>
      <c r="AD106" s="77">
        <v>0.5</v>
      </c>
    </row>
    <row r="107" spans="1:30" ht="12.75" x14ac:dyDescent="0.2">
      <c r="A107" s="72" t="s">
        <v>324</v>
      </c>
      <c r="B107" s="72">
        <v>60</v>
      </c>
      <c r="C107" s="72">
        <v>0</v>
      </c>
      <c r="D107" s="72">
        <v>0</v>
      </c>
      <c r="E107" s="72">
        <v>0</v>
      </c>
      <c r="F107" s="72">
        <v>60</v>
      </c>
      <c r="G107" s="73">
        <v>0</v>
      </c>
      <c r="H107" s="74">
        <v>30</v>
      </c>
      <c r="I107" s="74">
        <v>0</v>
      </c>
      <c r="J107" s="72">
        <v>35</v>
      </c>
      <c r="K107" s="72">
        <v>0</v>
      </c>
      <c r="L107" s="72">
        <v>0</v>
      </c>
      <c r="M107" s="72">
        <v>0</v>
      </c>
      <c r="N107" s="72">
        <v>35</v>
      </c>
      <c r="O107" s="72">
        <v>0</v>
      </c>
      <c r="P107" s="72">
        <v>35</v>
      </c>
      <c r="Q107" s="75">
        <v>0</v>
      </c>
      <c r="R107" s="75">
        <v>0</v>
      </c>
      <c r="S107" s="72">
        <v>38</v>
      </c>
      <c r="T107" s="72">
        <v>0</v>
      </c>
      <c r="U107" s="72">
        <v>38</v>
      </c>
      <c r="V107" s="75">
        <v>0</v>
      </c>
      <c r="W107" s="72">
        <v>97</v>
      </c>
      <c r="X107" s="72">
        <v>0</v>
      </c>
      <c r="Y107" s="72">
        <v>97</v>
      </c>
      <c r="Z107" s="75">
        <v>0</v>
      </c>
      <c r="AA107" s="72">
        <v>230</v>
      </c>
      <c r="AB107" s="72">
        <v>0</v>
      </c>
      <c r="AC107" s="72">
        <v>230</v>
      </c>
      <c r="AD107" s="77">
        <v>0.5</v>
      </c>
    </row>
    <row r="108" spans="1:30" ht="12.75" x14ac:dyDescent="0.2">
      <c r="A108" s="72" t="s">
        <v>325</v>
      </c>
      <c r="B108" s="72">
        <v>20</v>
      </c>
      <c r="C108" s="72">
        <v>0</v>
      </c>
      <c r="D108" s="72">
        <v>0</v>
      </c>
      <c r="E108" s="72">
        <v>0</v>
      </c>
      <c r="F108" s="72">
        <v>20</v>
      </c>
      <c r="G108" s="73">
        <v>0</v>
      </c>
      <c r="H108" s="74">
        <v>20</v>
      </c>
      <c r="I108" s="74">
        <v>0</v>
      </c>
      <c r="J108" s="72">
        <v>13</v>
      </c>
      <c r="K108" s="72">
        <v>0</v>
      </c>
      <c r="L108" s="72">
        <v>0</v>
      </c>
      <c r="M108" s="72">
        <v>0</v>
      </c>
      <c r="N108" s="72">
        <v>13</v>
      </c>
      <c r="O108" s="72">
        <v>0</v>
      </c>
      <c r="P108" s="72">
        <v>13</v>
      </c>
      <c r="Q108" s="75">
        <v>0</v>
      </c>
      <c r="R108" s="75">
        <v>0</v>
      </c>
      <c r="S108" s="72">
        <v>10</v>
      </c>
      <c r="T108" s="72">
        <v>0</v>
      </c>
      <c r="U108" s="72">
        <v>10</v>
      </c>
      <c r="V108" s="75">
        <v>0</v>
      </c>
      <c r="W108" s="72">
        <v>34</v>
      </c>
      <c r="X108" s="72">
        <v>0</v>
      </c>
      <c r="Y108" s="72">
        <v>34</v>
      </c>
      <c r="Z108" s="75">
        <v>0</v>
      </c>
      <c r="AA108" s="72">
        <v>77</v>
      </c>
      <c r="AB108" s="72">
        <v>0</v>
      </c>
      <c r="AC108" s="72">
        <v>77</v>
      </c>
      <c r="AD108" s="77">
        <v>1</v>
      </c>
    </row>
    <row r="109" spans="1:30" ht="12.75" x14ac:dyDescent="0.2">
      <c r="A109" s="72" t="s">
        <v>326</v>
      </c>
      <c r="B109" s="72">
        <v>80</v>
      </c>
      <c r="C109" s="72">
        <v>0</v>
      </c>
      <c r="D109" s="72">
        <v>0</v>
      </c>
      <c r="E109" s="72">
        <v>0</v>
      </c>
      <c r="F109" s="72">
        <v>80</v>
      </c>
      <c r="G109" s="73">
        <v>0</v>
      </c>
      <c r="H109" s="74">
        <v>40</v>
      </c>
      <c r="I109" s="74">
        <v>0</v>
      </c>
      <c r="J109" s="72">
        <v>46</v>
      </c>
      <c r="K109" s="72">
        <v>0</v>
      </c>
      <c r="L109" s="72">
        <v>0</v>
      </c>
      <c r="M109" s="72">
        <v>0</v>
      </c>
      <c r="N109" s="72">
        <v>46</v>
      </c>
      <c r="O109" s="72">
        <v>0</v>
      </c>
      <c r="P109" s="72">
        <v>46</v>
      </c>
      <c r="Q109" s="75">
        <v>0</v>
      </c>
      <c r="R109" s="75">
        <v>0</v>
      </c>
      <c r="S109" s="72">
        <v>51</v>
      </c>
      <c r="T109" s="72">
        <v>0</v>
      </c>
      <c r="U109" s="72">
        <v>51</v>
      </c>
      <c r="V109" s="75">
        <v>0</v>
      </c>
      <c r="W109" s="72">
        <v>141</v>
      </c>
      <c r="X109" s="72">
        <v>0</v>
      </c>
      <c r="Y109" s="72">
        <v>141</v>
      </c>
      <c r="Z109" s="75">
        <v>0</v>
      </c>
      <c r="AA109" s="72">
        <v>318</v>
      </c>
      <c r="AB109" s="72">
        <v>0</v>
      </c>
      <c r="AC109" s="72">
        <v>318</v>
      </c>
      <c r="AD109" s="77">
        <v>0.5</v>
      </c>
    </row>
    <row r="110" spans="1:30" ht="12.75" x14ac:dyDescent="0.2">
      <c r="A110" s="72" t="s">
        <v>327</v>
      </c>
      <c r="B110" s="72">
        <v>48</v>
      </c>
      <c r="C110" s="72">
        <v>6</v>
      </c>
      <c r="D110" s="72">
        <v>6</v>
      </c>
      <c r="E110" s="72">
        <v>0</v>
      </c>
      <c r="F110" s="72">
        <v>42</v>
      </c>
      <c r="G110" s="73">
        <v>0.125</v>
      </c>
      <c r="H110" s="74">
        <v>24</v>
      </c>
      <c r="I110" s="74">
        <v>0</v>
      </c>
      <c r="J110" s="72">
        <v>29</v>
      </c>
      <c r="K110" s="72">
        <v>4</v>
      </c>
      <c r="L110" s="72">
        <v>4</v>
      </c>
      <c r="M110" s="72">
        <v>0</v>
      </c>
      <c r="N110" s="72">
        <v>25</v>
      </c>
      <c r="O110" s="72">
        <v>4</v>
      </c>
      <c r="P110" s="72">
        <v>25</v>
      </c>
      <c r="Q110" s="75">
        <v>0.13800000000000001</v>
      </c>
      <c r="R110" s="75">
        <v>0.13800000000000001</v>
      </c>
      <c r="S110" s="72">
        <v>31</v>
      </c>
      <c r="T110" s="72">
        <v>4</v>
      </c>
      <c r="U110" s="72">
        <v>27</v>
      </c>
      <c r="V110" s="75">
        <v>0.129</v>
      </c>
      <c r="W110" s="72">
        <v>77</v>
      </c>
      <c r="X110" s="72">
        <v>354</v>
      </c>
      <c r="Y110" s="72">
        <v>0</v>
      </c>
      <c r="Z110" s="78">
        <v>4.5970000000000004</v>
      </c>
      <c r="AA110" s="72">
        <v>185</v>
      </c>
      <c r="AB110" s="72">
        <v>368</v>
      </c>
      <c r="AC110" s="72">
        <v>94</v>
      </c>
      <c r="AD110" s="77">
        <v>0.5</v>
      </c>
    </row>
    <row r="111" spans="1:30" ht="12.75" x14ac:dyDescent="0.2">
      <c r="A111" s="72" t="s">
        <v>328</v>
      </c>
      <c r="B111" s="72">
        <v>356</v>
      </c>
      <c r="C111" s="72">
        <v>19</v>
      </c>
      <c r="D111" s="72">
        <v>18</v>
      </c>
      <c r="E111" s="72">
        <v>1</v>
      </c>
      <c r="F111" s="72">
        <v>337</v>
      </c>
      <c r="G111" s="73">
        <v>5.2999999999999999E-2</v>
      </c>
      <c r="H111" s="74">
        <v>178</v>
      </c>
      <c r="I111" s="74">
        <v>0</v>
      </c>
      <c r="J111" s="72">
        <v>207</v>
      </c>
      <c r="K111" s="72">
        <v>0</v>
      </c>
      <c r="L111" s="72">
        <v>0</v>
      </c>
      <c r="M111" s="72">
        <v>0</v>
      </c>
      <c r="N111" s="72">
        <v>207</v>
      </c>
      <c r="O111" s="72">
        <v>0</v>
      </c>
      <c r="P111" s="72">
        <v>207</v>
      </c>
      <c r="Q111" s="75">
        <v>0</v>
      </c>
      <c r="R111" s="75">
        <v>0</v>
      </c>
      <c r="S111" s="72">
        <v>231</v>
      </c>
      <c r="T111" s="72">
        <v>59</v>
      </c>
      <c r="U111" s="72">
        <v>172</v>
      </c>
      <c r="V111" s="75">
        <v>0.255</v>
      </c>
      <c r="W111" s="72">
        <v>270</v>
      </c>
      <c r="X111" s="72">
        <v>191</v>
      </c>
      <c r="Y111" s="72">
        <v>79</v>
      </c>
      <c r="Z111" s="78">
        <v>0.70699999999999996</v>
      </c>
      <c r="AA111" s="76">
        <v>1064</v>
      </c>
      <c r="AB111" s="72">
        <v>269</v>
      </c>
      <c r="AC111" s="72">
        <v>795</v>
      </c>
      <c r="AD111" s="77">
        <v>0.5</v>
      </c>
    </row>
    <row r="112" spans="1:30" ht="12.75" x14ac:dyDescent="0.2">
      <c r="A112" s="72" t="s">
        <v>329</v>
      </c>
      <c r="B112" s="72">
        <v>71</v>
      </c>
      <c r="C112" s="72">
        <v>9</v>
      </c>
      <c r="D112" s="72">
        <v>9</v>
      </c>
      <c r="E112" s="72">
        <v>0</v>
      </c>
      <c r="F112" s="72">
        <v>62</v>
      </c>
      <c r="G112" s="73">
        <v>0.127</v>
      </c>
      <c r="H112" s="74">
        <v>36</v>
      </c>
      <c r="I112" s="74">
        <v>0</v>
      </c>
      <c r="J112" s="72">
        <v>50</v>
      </c>
      <c r="K112" s="72">
        <v>8</v>
      </c>
      <c r="L112" s="72">
        <v>8</v>
      </c>
      <c r="M112" s="72">
        <v>0</v>
      </c>
      <c r="N112" s="72">
        <v>42</v>
      </c>
      <c r="O112" s="72">
        <v>8</v>
      </c>
      <c r="P112" s="72">
        <v>42</v>
      </c>
      <c r="Q112" s="75">
        <v>0.16</v>
      </c>
      <c r="R112" s="75">
        <v>0.16</v>
      </c>
      <c r="S112" s="72">
        <v>56</v>
      </c>
      <c r="T112" s="72">
        <v>6</v>
      </c>
      <c r="U112" s="72">
        <v>50</v>
      </c>
      <c r="V112" s="75">
        <v>0.107</v>
      </c>
      <c r="W112" s="72">
        <v>131</v>
      </c>
      <c r="X112" s="72">
        <v>320</v>
      </c>
      <c r="Y112" s="72">
        <v>0</v>
      </c>
      <c r="Z112" s="78">
        <v>2.4430000000000001</v>
      </c>
      <c r="AA112" s="72">
        <v>308</v>
      </c>
      <c r="AB112" s="72">
        <v>343</v>
      </c>
      <c r="AC112" s="72">
        <v>154</v>
      </c>
      <c r="AD112" s="77">
        <v>0.5</v>
      </c>
    </row>
    <row r="113" spans="1:30" ht="12.75" x14ac:dyDescent="0.2">
      <c r="A113" s="72" t="s">
        <v>330</v>
      </c>
      <c r="B113" s="72">
        <v>400</v>
      </c>
      <c r="C113" s="72">
        <v>59</v>
      </c>
      <c r="D113" s="72">
        <v>59</v>
      </c>
      <c r="E113" s="72">
        <v>0</v>
      </c>
      <c r="F113" s="72">
        <v>341</v>
      </c>
      <c r="G113" s="73">
        <v>0.14799999999999999</v>
      </c>
      <c r="H113" s="74">
        <v>200</v>
      </c>
      <c r="I113" s="74">
        <v>0</v>
      </c>
      <c r="J113" s="72">
        <v>188</v>
      </c>
      <c r="K113" s="72">
        <v>259</v>
      </c>
      <c r="L113" s="72">
        <v>205</v>
      </c>
      <c r="M113" s="72">
        <v>54</v>
      </c>
      <c r="N113" s="72">
        <v>0</v>
      </c>
      <c r="O113" s="72">
        <v>259</v>
      </c>
      <c r="P113" s="72">
        <v>0</v>
      </c>
      <c r="Q113" s="78">
        <v>1.3779999999999999</v>
      </c>
      <c r="R113" s="78">
        <v>1.3779999999999999</v>
      </c>
      <c r="S113" s="72">
        <v>221</v>
      </c>
      <c r="T113" s="72">
        <v>96</v>
      </c>
      <c r="U113" s="72">
        <v>125</v>
      </c>
      <c r="V113" s="75">
        <v>0.434</v>
      </c>
      <c r="W113" s="72">
        <v>541</v>
      </c>
      <c r="X113" s="72">
        <v>278</v>
      </c>
      <c r="Y113" s="72">
        <v>263</v>
      </c>
      <c r="Z113" s="78">
        <v>0.51400000000000001</v>
      </c>
      <c r="AA113" s="76">
        <v>1350</v>
      </c>
      <c r="AB113" s="72">
        <v>692</v>
      </c>
      <c r="AC113" s="72">
        <v>729</v>
      </c>
      <c r="AD113" s="77">
        <v>0.5</v>
      </c>
    </row>
    <row r="114" spans="1:30" ht="12.75" x14ac:dyDescent="0.2">
      <c r="A114" s="72" t="s">
        <v>331</v>
      </c>
      <c r="B114" s="72">
        <v>76</v>
      </c>
      <c r="C114" s="72">
        <v>0</v>
      </c>
      <c r="D114" s="72">
        <v>0</v>
      </c>
      <c r="E114" s="72">
        <v>0</v>
      </c>
      <c r="F114" s="72">
        <v>76</v>
      </c>
      <c r="G114" s="73">
        <v>0</v>
      </c>
      <c r="H114" s="74">
        <v>38</v>
      </c>
      <c r="I114" s="74">
        <v>0</v>
      </c>
      <c r="J114" s="72">
        <v>53</v>
      </c>
      <c r="K114" s="72">
        <v>1</v>
      </c>
      <c r="L114" s="72">
        <v>0</v>
      </c>
      <c r="M114" s="72">
        <v>1</v>
      </c>
      <c r="N114" s="72">
        <v>52</v>
      </c>
      <c r="O114" s="72">
        <v>1</v>
      </c>
      <c r="P114" s="72">
        <v>52</v>
      </c>
      <c r="Q114" s="75">
        <v>1.9E-2</v>
      </c>
      <c r="R114" s="75">
        <v>1.9E-2</v>
      </c>
      <c r="S114" s="72">
        <v>61</v>
      </c>
      <c r="T114" s="72">
        <v>25</v>
      </c>
      <c r="U114" s="72">
        <v>36</v>
      </c>
      <c r="V114" s="75">
        <v>0.41</v>
      </c>
      <c r="W114" s="72">
        <v>137</v>
      </c>
      <c r="X114" s="72">
        <v>310</v>
      </c>
      <c r="Y114" s="72">
        <v>0</v>
      </c>
      <c r="Z114" s="78">
        <v>2.2629999999999999</v>
      </c>
      <c r="AA114" s="72">
        <v>327</v>
      </c>
      <c r="AB114" s="72">
        <v>336</v>
      </c>
      <c r="AC114" s="72">
        <v>164</v>
      </c>
      <c r="AD114" s="77">
        <v>0.5</v>
      </c>
    </row>
    <row r="115" spans="1:30" ht="12.75" x14ac:dyDescent="0.2">
      <c r="A115" s="72" t="s">
        <v>276</v>
      </c>
      <c r="B115" s="72">
        <v>196</v>
      </c>
      <c r="C115" s="72">
        <v>0</v>
      </c>
      <c r="D115" s="72">
        <v>0</v>
      </c>
      <c r="E115" s="72">
        <v>0</v>
      </c>
      <c r="F115" s="72">
        <v>196</v>
      </c>
      <c r="G115" s="73">
        <v>0</v>
      </c>
      <c r="H115" s="74">
        <v>98</v>
      </c>
      <c r="I115" s="74">
        <v>0</v>
      </c>
      <c r="J115" s="72">
        <v>111</v>
      </c>
      <c r="K115" s="72">
        <v>10</v>
      </c>
      <c r="L115" s="72">
        <v>2</v>
      </c>
      <c r="M115" s="72">
        <v>8</v>
      </c>
      <c r="N115" s="72">
        <v>101</v>
      </c>
      <c r="O115" s="72">
        <v>10</v>
      </c>
      <c r="P115" s="72">
        <v>101</v>
      </c>
      <c r="Q115" s="75">
        <v>0.09</v>
      </c>
      <c r="R115" s="75">
        <v>0.09</v>
      </c>
      <c r="S115" s="72">
        <v>124</v>
      </c>
      <c r="T115" s="72">
        <v>34</v>
      </c>
      <c r="U115" s="72">
        <v>90</v>
      </c>
      <c r="V115" s="75">
        <v>0.27400000000000002</v>
      </c>
      <c r="W115" s="72">
        <v>126</v>
      </c>
      <c r="X115" s="72">
        <v>207</v>
      </c>
      <c r="Y115" s="72">
        <v>0</v>
      </c>
      <c r="Z115" s="78">
        <v>1.643</v>
      </c>
      <c r="AA115" s="72">
        <v>557</v>
      </c>
      <c r="AB115" s="72">
        <v>251</v>
      </c>
      <c r="AC115" s="72">
        <v>387</v>
      </c>
      <c r="AD115" s="77">
        <v>0.5</v>
      </c>
    </row>
    <row r="116" spans="1:30" ht="12.75" x14ac:dyDescent="0.2">
      <c r="A116" s="72" t="s">
        <v>332</v>
      </c>
      <c r="B116" s="72">
        <v>248</v>
      </c>
      <c r="C116" s="72">
        <v>101</v>
      </c>
      <c r="D116" s="72">
        <v>101</v>
      </c>
      <c r="E116" s="72">
        <v>0</v>
      </c>
      <c r="F116" s="72">
        <v>147</v>
      </c>
      <c r="G116" s="73">
        <v>0.40699999999999997</v>
      </c>
      <c r="H116" s="74">
        <v>124</v>
      </c>
      <c r="I116" s="74">
        <v>0</v>
      </c>
      <c r="J116" s="72">
        <v>174</v>
      </c>
      <c r="K116" s="72">
        <v>82</v>
      </c>
      <c r="L116" s="72">
        <v>61</v>
      </c>
      <c r="M116" s="72">
        <v>21</v>
      </c>
      <c r="N116" s="72">
        <v>92</v>
      </c>
      <c r="O116" s="72">
        <v>82</v>
      </c>
      <c r="P116" s="72">
        <v>92</v>
      </c>
      <c r="Q116" s="75">
        <v>0.47099999999999997</v>
      </c>
      <c r="R116" s="75">
        <v>0.47099999999999997</v>
      </c>
      <c r="S116" s="72">
        <v>198</v>
      </c>
      <c r="T116" s="72">
        <v>68</v>
      </c>
      <c r="U116" s="72">
        <v>130</v>
      </c>
      <c r="V116" s="75">
        <v>0.34300000000000003</v>
      </c>
      <c r="W116" s="72">
        <v>446</v>
      </c>
      <c r="X116" s="72">
        <v>772</v>
      </c>
      <c r="Y116" s="72">
        <v>0</v>
      </c>
      <c r="Z116" s="78">
        <v>1.7310000000000001</v>
      </c>
      <c r="AA116" s="76">
        <v>1066</v>
      </c>
      <c r="AB116" s="76">
        <v>1023</v>
      </c>
      <c r="AC116" s="72">
        <v>369</v>
      </c>
      <c r="AD116" s="77">
        <v>0.5</v>
      </c>
    </row>
    <row r="117" spans="1:30" ht="12.75" x14ac:dyDescent="0.2">
      <c r="A117" s="72" t="s">
        <v>333</v>
      </c>
      <c r="B117" s="72">
        <v>7</v>
      </c>
      <c r="C117" s="72">
        <v>0</v>
      </c>
      <c r="D117" s="72">
        <v>0</v>
      </c>
      <c r="E117" s="72">
        <v>0</v>
      </c>
      <c r="F117" s="72">
        <v>7</v>
      </c>
      <c r="G117" s="73">
        <v>0</v>
      </c>
      <c r="H117" s="74">
        <v>4</v>
      </c>
      <c r="I117" s="74">
        <v>0</v>
      </c>
      <c r="J117" s="72">
        <v>5</v>
      </c>
      <c r="K117" s="72">
        <v>0</v>
      </c>
      <c r="L117" s="72">
        <v>0</v>
      </c>
      <c r="M117" s="72">
        <v>0</v>
      </c>
      <c r="N117" s="72">
        <v>5</v>
      </c>
      <c r="O117" s="72">
        <v>0</v>
      </c>
      <c r="P117" s="72">
        <v>5</v>
      </c>
      <c r="Q117" s="75">
        <v>0</v>
      </c>
      <c r="R117" s="75">
        <v>0</v>
      </c>
      <c r="S117" s="72">
        <v>15</v>
      </c>
      <c r="T117" s="72">
        <v>1</v>
      </c>
      <c r="U117" s="72">
        <v>14</v>
      </c>
      <c r="V117" s="75">
        <v>6.7000000000000004E-2</v>
      </c>
      <c r="W117" s="72">
        <v>34</v>
      </c>
      <c r="X117" s="72">
        <v>32</v>
      </c>
      <c r="Y117" s="72">
        <v>2</v>
      </c>
      <c r="Z117" s="78">
        <v>0.94099999999999995</v>
      </c>
      <c r="AA117" s="72">
        <v>61</v>
      </c>
      <c r="AB117" s="72">
        <v>33</v>
      </c>
      <c r="AC117" s="72">
        <v>28</v>
      </c>
      <c r="AD117" s="77">
        <v>0.5</v>
      </c>
    </row>
    <row r="118" spans="1:30" ht="12.75" x14ac:dyDescent="0.2">
      <c r="A118" s="72" t="s">
        <v>335</v>
      </c>
      <c r="B118" s="72">
        <v>60</v>
      </c>
      <c r="C118" s="72">
        <v>22</v>
      </c>
      <c r="D118" s="72">
        <v>0</v>
      </c>
      <c r="E118" s="72">
        <v>22</v>
      </c>
      <c r="F118" s="72">
        <v>38</v>
      </c>
      <c r="G118" s="73">
        <v>0.36699999999999999</v>
      </c>
      <c r="H118" s="74">
        <v>60</v>
      </c>
      <c r="I118" s="74">
        <v>0</v>
      </c>
      <c r="J118" s="72">
        <v>37</v>
      </c>
      <c r="K118" s="72">
        <v>22</v>
      </c>
      <c r="L118" s="72">
        <v>1</v>
      </c>
      <c r="M118" s="72">
        <v>21</v>
      </c>
      <c r="N118" s="72">
        <v>15</v>
      </c>
      <c r="O118" s="72">
        <v>22</v>
      </c>
      <c r="P118" s="72">
        <v>15</v>
      </c>
      <c r="Q118" s="75">
        <v>0.59499999999999997</v>
      </c>
      <c r="R118" s="75">
        <v>0.59499999999999997</v>
      </c>
      <c r="S118" s="72">
        <v>30</v>
      </c>
      <c r="T118" s="72">
        <v>22</v>
      </c>
      <c r="U118" s="72">
        <v>8</v>
      </c>
      <c r="V118" s="75">
        <v>0.73299999999999998</v>
      </c>
      <c r="W118" s="72">
        <v>106</v>
      </c>
      <c r="X118" s="72">
        <v>76</v>
      </c>
      <c r="Y118" s="72">
        <v>30</v>
      </c>
      <c r="Z118" s="75">
        <v>0.71699999999999997</v>
      </c>
      <c r="AA118" s="72">
        <v>233</v>
      </c>
      <c r="AB118" s="72">
        <v>142</v>
      </c>
      <c r="AC118" s="72">
        <v>91</v>
      </c>
      <c r="AD118" s="77">
        <v>1</v>
      </c>
    </row>
    <row r="119" spans="1:30" ht="12.75" x14ac:dyDescent="0.2">
      <c r="A119" s="72" t="s">
        <v>336</v>
      </c>
      <c r="B119" s="72">
        <v>7</v>
      </c>
      <c r="C119" s="72">
        <v>0</v>
      </c>
      <c r="D119" s="72">
        <v>0</v>
      </c>
      <c r="E119" s="72">
        <v>0</v>
      </c>
      <c r="F119" s="72">
        <v>7</v>
      </c>
      <c r="G119" s="73">
        <v>0</v>
      </c>
      <c r="H119" s="74">
        <v>3</v>
      </c>
      <c r="I119" s="74">
        <v>0</v>
      </c>
      <c r="J119" s="72">
        <v>4</v>
      </c>
      <c r="K119" s="72">
        <v>0</v>
      </c>
      <c r="L119" s="72">
        <v>0</v>
      </c>
      <c r="M119" s="72">
        <v>0</v>
      </c>
      <c r="N119" s="72">
        <v>4</v>
      </c>
      <c r="O119" s="72">
        <v>0</v>
      </c>
      <c r="P119" s="72">
        <v>4</v>
      </c>
      <c r="Q119" s="75">
        <v>0</v>
      </c>
      <c r="R119" s="75">
        <v>0</v>
      </c>
      <c r="S119" s="72">
        <v>5</v>
      </c>
      <c r="T119" s="72">
        <v>0</v>
      </c>
      <c r="U119" s="72">
        <v>5</v>
      </c>
      <c r="V119" s="75">
        <v>0</v>
      </c>
      <c r="W119" s="72">
        <v>11</v>
      </c>
      <c r="X119" s="72">
        <v>0</v>
      </c>
      <c r="Y119" s="72">
        <v>11</v>
      </c>
      <c r="Z119" s="75">
        <v>0</v>
      </c>
      <c r="AA119" s="72">
        <v>27</v>
      </c>
      <c r="AB119" s="72">
        <v>0</v>
      </c>
      <c r="AC119" s="72">
        <v>27</v>
      </c>
      <c r="AD119" s="77">
        <v>0.375</v>
      </c>
    </row>
    <row r="120" spans="1:30" ht="12.75" x14ac:dyDescent="0.2">
      <c r="A120" s="72" t="s">
        <v>337</v>
      </c>
      <c r="B120" s="72">
        <v>396</v>
      </c>
      <c r="C120" s="72">
        <v>0</v>
      </c>
      <c r="D120" s="72">
        <v>0</v>
      </c>
      <c r="E120" s="72">
        <v>0</v>
      </c>
      <c r="F120" s="72">
        <v>396</v>
      </c>
      <c r="G120" s="73">
        <v>0</v>
      </c>
      <c r="H120" s="74">
        <v>149</v>
      </c>
      <c r="I120" s="74">
        <v>0</v>
      </c>
      <c r="J120" s="72">
        <v>277</v>
      </c>
      <c r="K120" s="72">
        <v>0</v>
      </c>
      <c r="L120" s="72">
        <v>0</v>
      </c>
      <c r="M120" s="72">
        <v>0</v>
      </c>
      <c r="N120" s="72">
        <v>277</v>
      </c>
      <c r="O120" s="72">
        <v>0</v>
      </c>
      <c r="P120" s="72">
        <v>277</v>
      </c>
      <c r="Q120" s="75">
        <v>0</v>
      </c>
      <c r="R120" s="75">
        <v>0</v>
      </c>
      <c r="S120" s="72">
        <v>243</v>
      </c>
      <c r="T120" s="72">
        <v>55</v>
      </c>
      <c r="U120" s="72">
        <v>188</v>
      </c>
      <c r="V120" s="75">
        <v>0.22600000000000001</v>
      </c>
      <c r="W120" s="72">
        <v>546</v>
      </c>
      <c r="X120" s="72">
        <v>90</v>
      </c>
      <c r="Y120" s="72">
        <v>456</v>
      </c>
      <c r="Z120" s="75">
        <v>0.16500000000000001</v>
      </c>
      <c r="AA120" s="76">
        <v>1462</v>
      </c>
      <c r="AB120" s="72">
        <v>145</v>
      </c>
      <c r="AC120" s="76">
        <v>1317</v>
      </c>
      <c r="AD120" s="77">
        <v>0.375</v>
      </c>
    </row>
    <row r="121" spans="1:30" ht="12.75" x14ac:dyDescent="0.2">
      <c r="A121" s="72" t="s">
        <v>339</v>
      </c>
      <c r="B121" s="72">
        <v>946</v>
      </c>
      <c r="C121" s="72">
        <v>53</v>
      </c>
      <c r="D121" s="72">
        <v>10</v>
      </c>
      <c r="E121" s="72">
        <v>43</v>
      </c>
      <c r="F121" s="72">
        <v>893</v>
      </c>
      <c r="G121" s="73">
        <v>5.6000000000000001E-2</v>
      </c>
      <c r="H121" s="74">
        <v>473</v>
      </c>
      <c r="I121" s="74">
        <v>0</v>
      </c>
      <c r="J121" s="72">
        <v>661</v>
      </c>
      <c r="K121" s="72">
        <v>1</v>
      </c>
      <c r="L121" s="72">
        <v>0</v>
      </c>
      <c r="M121" s="72">
        <v>1</v>
      </c>
      <c r="N121" s="72">
        <v>660</v>
      </c>
      <c r="O121" s="72">
        <v>1</v>
      </c>
      <c r="P121" s="72">
        <v>660</v>
      </c>
      <c r="Q121" s="75">
        <v>2E-3</v>
      </c>
      <c r="R121" s="75">
        <v>2E-3</v>
      </c>
      <c r="S121" s="72">
        <v>772</v>
      </c>
      <c r="T121" s="72">
        <v>34</v>
      </c>
      <c r="U121" s="72">
        <v>738</v>
      </c>
      <c r="V121" s="75">
        <v>4.3999999999999997E-2</v>
      </c>
      <c r="W121" s="76">
        <v>1817</v>
      </c>
      <c r="X121" s="72">
        <v>0</v>
      </c>
      <c r="Y121" s="76">
        <v>1817</v>
      </c>
      <c r="Z121" s="75">
        <v>0</v>
      </c>
      <c r="AA121" s="76">
        <v>4196</v>
      </c>
      <c r="AB121" s="72">
        <v>88</v>
      </c>
      <c r="AC121" s="76">
        <v>4108</v>
      </c>
      <c r="AD121" s="77">
        <v>0.5</v>
      </c>
    </row>
    <row r="122" spans="1:30" ht="12.75" x14ac:dyDescent="0.2">
      <c r="A122" s="72" t="s">
        <v>340</v>
      </c>
      <c r="B122" s="72">
        <v>308</v>
      </c>
      <c r="C122" s="72">
        <v>0</v>
      </c>
      <c r="D122" s="72">
        <v>0</v>
      </c>
      <c r="E122" s="72">
        <v>0</v>
      </c>
      <c r="F122" s="72">
        <v>308</v>
      </c>
      <c r="G122" s="73">
        <v>0</v>
      </c>
      <c r="H122" s="74">
        <v>154</v>
      </c>
      <c r="I122" s="74">
        <v>0</v>
      </c>
      <c r="J122" s="72">
        <v>182</v>
      </c>
      <c r="K122" s="72">
        <v>0</v>
      </c>
      <c r="L122" s="72">
        <v>0</v>
      </c>
      <c r="M122" s="72">
        <v>0</v>
      </c>
      <c r="N122" s="72">
        <v>182</v>
      </c>
      <c r="O122" s="72">
        <v>0</v>
      </c>
      <c r="P122" s="72">
        <v>182</v>
      </c>
      <c r="Q122" s="75">
        <v>0</v>
      </c>
      <c r="R122" s="75">
        <v>0</v>
      </c>
      <c r="S122" s="72">
        <v>190</v>
      </c>
      <c r="T122" s="72">
        <v>0</v>
      </c>
      <c r="U122" s="72">
        <v>190</v>
      </c>
      <c r="V122" s="75">
        <v>0</v>
      </c>
      <c r="W122" s="72">
        <v>466</v>
      </c>
      <c r="X122" s="72">
        <v>304</v>
      </c>
      <c r="Y122" s="72">
        <v>162</v>
      </c>
      <c r="Z122" s="78">
        <v>0.65200000000000002</v>
      </c>
      <c r="AA122" s="76">
        <v>1146</v>
      </c>
      <c r="AB122" s="72">
        <v>304</v>
      </c>
      <c r="AC122" s="72">
        <v>842</v>
      </c>
      <c r="AD122" s="77">
        <v>0.5</v>
      </c>
    </row>
    <row r="123" spans="1:30" ht="12.75" x14ac:dyDescent="0.2">
      <c r="A123" s="72" t="s">
        <v>341</v>
      </c>
      <c r="B123" s="72">
        <v>211</v>
      </c>
      <c r="C123" s="72">
        <v>43</v>
      </c>
      <c r="D123" s="72">
        <v>43</v>
      </c>
      <c r="E123" s="72">
        <v>0</v>
      </c>
      <c r="F123" s="72">
        <v>168</v>
      </c>
      <c r="G123" s="73">
        <v>0.20399999999999999</v>
      </c>
      <c r="H123" s="74">
        <v>79</v>
      </c>
      <c r="I123" s="74">
        <v>0</v>
      </c>
      <c r="J123" s="72">
        <v>163</v>
      </c>
      <c r="K123" s="72">
        <v>92</v>
      </c>
      <c r="L123" s="72">
        <v>0</v>
      </c>
      <c r="M123" s="72">
        <v>92</v>
      </c>
      <c r="N123" s="72">
        <v>71</v>
      </c>
      <c r="O123" s="72">
        <v>92</v>
      </c>
      <c r="P123" s="72">
        <v>71</v>
      </c>
      <c r="Q123" s="78">
        <v>0.56399999999999995</v>
      </c>
      <c r="R123" s="78">
        <v>0.56399999999999995</v>
      </c>
      <c r="S123" s="72">
        <v>121</v>
      </c>
      <c r="T123" s="72">
        <v>177</v>
      </c>
      <c r="U123" s="72">
        <v>0</v>
      </c>
      <c r="V123" s="78">
        <v>1.4630000000000001</v>
      </c>
      <c r="W123" s="72">
        <v>470</v>
      </c>
      <c r="X123" s="72">
        <v>41</v>
      </c>
      <c r="Y123" s="72">
        <v>429</v>
      </c>
      <c r="Z123" s="75">
        <v>8.6999999999999994E-2</v>
      </c>
      <c r="AA123" s="72">
        <v>965</v>
      </c>
      <c r="AB123" s="72">
        <v>353</v>
      </c>
      <c r="AC123" s="72">
        <v>668</v>
      </c>
      <c r="AD123" s="77">
        <v>0.375</v>
      </c>
    </row>
    <row r="124" spans="1:30" ht="12.75" x14ac:dyDescent="0.2">
      <c r="A124" s="72" t="s">
        <v>342</v>
      </c>
      <c r="B124" s="72">
        <v>50</v>
      </c>
      <c r="C124" s="72">
        <v>0</v>
      </c>
      <c r="D124" s="72">
        <v>0</v>
      </c>
      <c r="E124" s="72">
        <v>0</v>
      </c>
      <c r="F124" s="72">
        <v>50</v>
      </c>
      <c r="G124" s="73">
        <v>0</v>
      </c>
      <c r="H124" s="74">
        <v>25</v>
      </c>
      <c r="I124" s="74">
        <v>0</v>
      </c>
      <c r="J124" s="72">
        <v>24</v>
      </c>
      <c r="K124" s="72">
        <v>54</v>
      </c>
      <c r="L124" s="72">
        <v>54</v>
      </c>
      <c r="M124" s="72">
        <v>0</v>
      </c>
      <c r="N124" s="72">
        <v>0</v>
      </c>
      <c r="O124" s="72">
        <v>54</v>
      </c>
      <c r="P124" s="72">
        <v>0</v>
      </c>
      <c r="Q124" s="78">
        <v>2.25</v>
      </c>
      <c r="R124" s="78">
        <v>2.25</v>
      </c>
      <c r="S124" s="72">
        <v>30</v>
      </c>
      <c r="T124" s="72">
        <v>59</v>
      </c>
      <c r="U124" s="72">
        <v>0</v>
      </c>
      <c r="V124" s="78">
        <v>1.9670000000000001</v>
      </c>
      <c r="W124" s="72">
        <v>93</v>
      </c>
      <c r="X124" s="72">
        <v>147</v>
      </c>
      <c r="Y124" s="72">
        <v>0</v>
      </c>
      <c r="Z124" s="78">
        <v>1.581</v>
      </c>
      <c r="AA124" s="72">
        <v>197</v>
      </c>
      <c r="AB124" s="72">
        <v>260</v>
      </c>
      <c r="AC124" s="72">
        <v>50</v>
      </c>
      <c r="AD124" s="77">
        <v>0.5</v>
      </c>
    </row>
    <row r="125" spans="1:30" ht="12.75" x14ac:dyDescent="0.2">
      <c r="A125" s="72" t="s">
        <v>344</v>
      </c>
      <c r="B125" s="72">
        <v>3</v>
      </c>
      <c r="C125" s="72">
        <v>0</v>
      </c>
      <c r="D125" s="72">
        <v>0</v>
      </c>
      <c r="E125" s="72">
        <v>0</v>
      </c>
      <c r="F125" s="72">
        <v>3</v>
      </c>
      <c r="G125" s="73">
        <v>0</v>
      </c>
      <c r="H125" s="74">
        <v>3</v>
      </c>
      <c r="I125" s="74">
        <v>0</v>
      </c>
      <c r="J125" s="72">
        <v>2</v>
      </c>
      <c r="K125" s="72">
        <v>1</v>
      </c>
      <c r="L125" s="72">
        <v>1</v>
      </c>
      <c r="M125" s="72">
        <v>0</v>
      </c>
      <c r="N125" s="72">
        <v>1</v>
      </c>
      <c r="O125" s="72">
        <v>1</v>
      </c>
      <c r="P125" s="72">
        <v>1</v>
      </c>
      <c r="Q125" s="75">
        <v>0.5</v>
      </c>
      <c r="R125" s="75">
        <v>0.5</v>
      </c>
      <c r="S125" s="72">
        <v>2</v>
      </c>
      <c r="T125" s="72">
        <v>1</v>
      </c>
      <c r="U125" s="72">
        <v>1</v>
      </c>
      <c r="V125" s="75">
        <v>0.5</v>
      </c>
      <c r="W125" s="72">
        <v>5</v>
      </c>
      <c r="X125" s="72">
        <v>0</v>
      </c>
      <c r="Y125" s="72">
        <v>5</v>
      </c>
      <c r="Z125" s="75">
        <v>0</v>
      </c>
      <c r="AA125" s="72">
        <v>12</v>
      </c>
      <c r="AB125" s="72">
        <v>2</v>
      </c>
      <c r="AC125" s="72">
        <v>10</v>
      </c>
      <c r="AD125" s="77">
        <v>1</v>
      </c>
    </row>
    <row r="126" spans="1:30" ht="12.75" x14ac:dyDescent="0.2">
      <c r="A126" s="72" t="s">
        <v>345</v>
      </c>
      <c r="B126" s="72">
        <v>71</v>
      </c>
      <c r="C126" s="72">
        <v>0</v>
      </c>
      <c r="D126" s="72">
        <v>0</v>
      </c>
      <c r="E126" s="72">
        <v>0</v>
      </c>
      <c r="F126" s="72">
        <v>71</v>
      </c>
      <c r="G126" s="73">
        <v>0</v>
      </c>
      <c r="H126" s="74">
        <v>27</v>
      </c>
      <c r="I126" s="74">
        <v>0</v>
      </c>
      <c r="J126" s="72">
        <v>27</v>
      </c>
      <c r="K126" s="72">
        <v>0</v>
      </c>
      <c r="L126" s="72">
        <v>0</v>
      </c>
      <c r="M126" s="72">
        <v>0</v>
      </c>
      <c r="N126" s="72">
        <v>27</v>
      </c>
      <c r="O126" s="72">
        <v>0</v>
      </c>
      <c r="P126" s="72">
        <v>27</v>
      </c>
      <c r="Q126" s="75">
        <v>0</v>
      </c>
      <c r="R126" s="75">
        <v>0</v>
      </c>
      <c r="S126" s="72">
        <v>47</v>
      </c>
      <c r="T126" s="72">
        <v>0</v>
      </c>
      <c r="U126" s="72">
        <v>47</v>
      </c>
      <c r="V126" s="75">
        <v>0</v>
      </c>
      <c r="W126" s="72">
        <v>124</v>
      </c>
      <c r="X126" s="72">
        <v>0</v>
      </c>
      <c r="Y126" s="72">
        <v>124</v>
      </c>
      <c r="Z126" s="75">
        <v>0</v>
      </c>
      <c r="AA126" s="72">
        <v>269</v>
      </c>
      <c r="AB126" s="72">
        <v>0</v>
      </c>
      <c r="AC126" s="72">
        <v>269</v>
      </c>
      <c r="AD126" s="77">
        <v>0.375</v>
      </c>
    </row>
    <row r="127" spans="1:30" ht="12.75" x14ac:dyDescent="0.2">
      <c r="A127" s="72" t="s">
        <v>346</v>
      </c>
      <c r="B127" s="72">
        <v>210</v>
      </c>
      <c r="C127" s="72">
        <v>0</v>
      </c>
      <c r="D127" s="72">
        <v>0</v>
      </c>
      <c r="E127" s="72">
        <v>0</v>
      </c>
      <c r="F127" s="72">
        <v>210</v>
      </c>
      <c r="G127" s="73">
        <v>0</v>
      </c>
      <c r="H127" s="74">
        <v>105</v>
      </c>
      <c r="I127" s="74">
        <v>0</v>
      </c>
      <c r="J127" s="72">
        <v>123</v>
      </c>
      <c r="K127" s="72">
        <v>6</v>
      </c>
      <c r="L127" s="72">
        <v>6</v>
      </c>
      <c r="M127" s="72">
        <v>0</v>
      </c>
      <c r="N127" s="72">
        <v>117</v>
      </c>
      <c r="O127" s="72">
        <v>6</v>
      </c>
      <c r="P127" s="72">
        <v>117</v>
      </c>
      <c r="Q127" s="75">
        <v>4.9000000000000002E-2</v>
      </c>
      <c r="R127" s="75">
        <v>4.9000000000000002E-2</v>
      </c>
      <c r="S127" s="72">
        <v>135</v>
      </c>
      <c r="T127" s="72">
        <v>70</v>
      </c>
      <c r="U127" s="72">
        <v>65</v>
      </c>
      <c r="V127" s="78">
        <v>0.51900000000000002</v>
      </c>
      <c r="W127" s="72">
        <v>346</v>
      </c>
      <c r="X127" s="72">
        <v>291</v>
      </c>
      <c r="Y127" s="72">
        <v>55</v>
      </c>
      <c r="Z127" s="78">
        <v>0.84099999999999997</v>
      </c>
      <c r="AA127" s="72">
        <v>814</v>
      </c>
      <c r="AB127" s="72">
        <v>367</v>
      </c>
      <c r="AC127" s="72">
        <v>447</v>
      </c>
      <c r="AD127" s="77">
        <v>0.5</v>
      </c>
    </row>
    <row r="128" spans="1:30" ht="12.75" x14ac:dyDescent="0.2">
      <c r="A128" s="72" t="s">
        <v>348</v>
      </c>
      <c r="B128" s="72">
        <v>87</v>
      </c>
      <c r="C128" s="72">
        <v>42</v>
      </c>
      <c r="D128" s="72">
        <v>42</v>
      </c>
      <c r="E128" s="72">
        <v>0</v>
      </c>
      <c r="F128" s="72">
        <v>45</v>
      </c>
      <c r="G128" s="73">
        <v>0.48299999999999998</v>
      </c>
      <c r="H128" s="74">
        <v>44</v>
      </c>
      <c r="I128" s="74">
        <v>0</v>
      </c>
      <c r="J128" s="72">
        <v>53</v>
      </c>
      <c r="K128" s="72">
        <v>7</v>
      </c>
      <c r="L128" s="72">
        <v>1</v>
      </c>
      <c r="M128" s="72">
        <v>6</v>
      </c>
      <c r="N128" s="72">
        <v>46</v>
      </c>
      <c r="O128" s="72">
        <v>7</v>
      </c>
      <c r="P128" s="72">
        <v>46</v>
      </c>
      <c r="Q128" s="75">
        <v>0.13200000000000001</v>
      </c>
      <c r="R128" s="75">
        <v>0.13200000000000001</v>
      </c>
      <c r="S128" s="72">
        <v>55</v>
      </c>
      <c r="T128" s="72">
        <v>3</v>
      </c>
      <c r="U128" s="72">
        <v>52</v>
      </c>
      <c r="V128" s="75">
        <v>5.5E-2</v>
      </c>
      <c r="W128" s="72">
        <v>142</v>
      </c>
      <c r="X128" s="72">
        <v>19</v>
      </c>
      <c r="Y128" s="72">
        <v>123</v>
      </c>
      <c r="Z128" s="75">
        <v>0.13400000000000001</v>
      </c>
      <c r="AA128" s="72">
        <v>337</v>
      </c>
      <c r="AB128" s="72">
        <v>71</v>
      </c>
      <c r="AC128" s="72">
        <v>266</v>
      </c>
      <c r="AD128" s="77">
        <v>0.5</v>
      </c>
    </row>
    <row r="129" spans="1:30" ht="12.75" x14ac:dyDescent="0.2">
      <c r="A129" s="72" t="s">
        <v>148</v>
      </c>
      <c r="B129" s="72">
        <v>796</v>
      </c>
      <c r="C129" s="72">
        <v>26</v>
      </c>
      <c r="D129" s="72">
        <v>26</v>
      </c>
      <c r="E129" s="72">
        <v>0</v>
      </c>
      <c r="F129" s="72">
        <v>770</v>
      </c>
      <c r="G129" s="73">
        <v>3.3000000000000002E-2</v>
      </c>
      <c r="H129" s="74">
        <v>398</v>
      </c>
      <c r="I129" s="74">
        <v>0</v>
      </c>
      <c r="J129" s="72">
        <v>446</v>
      </c>
      <c r="K129" s="72">
        <v>39</v>
      </c>
      <c r="L129" s="72">
        <v>39</v>
      </c>
      <c r="M129" s="72">
        <v>0</v>
      </c>
      <c r="N129" s="72">
        <v>407</v>
      </c>
      <c r="O129" s="72">
        <v>39</v>
      </c>
      <c r="P129" s="72">
        <v>407</v>
      </c>
      <c r="Q129" s="75">
        <v>8.6999999999999994E-2</v>
      </c>
      <c r="R129" s="75">
        <v>8.6999999999999994E-2</v>
      </c>
      <c r="S129" s="72">
        <v>425</v>
      </c>
      <c r="T129" s="72">
        <v>31</v>
      </c>
      <c r="U129" s="72">
        <v>394</v>
      </c>
      <c r="V129" s="75">
        <v>7.2999999999999995E-2</v>
      </c>
      <c r="W129" s="72">
        <v>618</v>
      </c>
      <c r="X129" s="76">
        <v>3408</v>
      </c>
      <c r="Y129" s="72">
        <v>0</v>
      </c>
      <c r="Z129" s="78">
        <v>5.5149999999999997</v>
      </c>
      <c r="AA129" s="76">
        <v>2285</v>
      </c>
      <c r="AB129" s="76">
        <v>3504</v>
      </c>
      <c r="AC129" s="76">
        <v>1571</v>
      </c>
      <c r="AD129" s="77">
        <v>0.5</v>
      </c>
    </row>
    <row r="130" spans="1:30" ht="12.75" x14ac:dyDescent="0.2">
      <c r="A130" s="72" t="s">
        <v>349</v>
      </c>
      <c r="B130" s="72">
        <v>6</v>
      </c>
      <c r="C130" s="72">
        <v>0</v>
      </c>
      <c r="D130" s="72">
        <v>0</v>
      </c>
      <c r="E130" s="72">
        <v>0</v>
      </c>
      <c r="F130" s="72">
        <v>6</v>
      </c>
      <c r="G130" s="73">
        <v>0</v>
      </c>
      <c r="H130" s="74">
        <v>6</v>
      </c>
      <c r="I130" s="74">
        <v>0</v>
      </c>
      <c r="J130" s="72">
        <v>4</v>
      </c>
      <c r="K130" s="72">
        <v>0</v>
      </c>
      <c r="L130" s="72">
        <v>0</v>
      </c>
      <c r="M130" s="72">
        <v>0</v>
      </c>
      <c r="N130" s="72">
        <v>4</v>
      </c>
      <c r="O130" s="72">
        <v>0</v>
      </c>
      <c r="P130" s="72">
        <v>4</v>
      </c>
      <c r="Q130" s="75">
        <v>0</v>
      </c>
      <c r="R130" s="75">
        <v>0</v>
      </c>
      <c r="S130" s="72">
        <v>4</v>
      </c>
      <c r="T130" s="72">
        <v>0</v>
      </c>
      <c r="U130" s="72">
        <v>4</v>
      </c>
      <c r="V130" s="75">
        <v>0</v>
      </c>
      <c r="W130" s="72">
        <v>9</v>
      </c>
      <c r="X130" s="72">
        <v>3</v>
      </c>
      <c r="Y130" s="72">
        <v>6</v>
      </c>
      <c r="Z130" s="75">
        <v>0.33300000000000002</v>
      </c>
      <c r="AA130" s="72">
        <v>23</v>
      </c>
      <c r="AB130" s="72">
        <v>3</v>
      </c>
      <c r="AC130" s="72">
        <v>20</v>
      </c>
      <c r="AD130" s="77">
        <v>1</v>
      </c>
    </row>
    <row r="131" spans="1:30" ht="12.75" x14ac:dyDescent="0.2">
      <c r="A131" s="72" t="s">
        <v>350</v>
      </c>
      <c r="B131" s="72">
        <v>64</v>
      </c>
      <c r="C131" s="72">
        <v>16</v>
      </c>
      <c r="D131" s="72">
        <v>16</v>
      </c>
      <c r="E131" s="72">
        <v>0</v>
      </c>
      <c r="F131" s="72">
        <v>48</v>
      </c>
      <c r="G131" s="73">
        <v>0.25</v>
      </c>
      <c r="H131" s="74">
        <v>32</v>
      </c>
      <c r="I131" s="74">
        <v>0</v>
      </c>
      <c r="J131" s="72">
        <v>54</v>
      </c>
      <c r="K131" s="72">
        <v>32</v>
      </c>
      <c r="L131" s="72">
        <v>32</v>
      </c>
      <c r="M131" s="72">
        <v>0</v>
      </c>
      <c r="N131" s="72">
        <v>22</v>
      </c>
      <c r="O131" s="72">
        <v>32</v>
      </c>
      <c r="P131" s="72">
        <v>22</v>
      </c>
      <c r="Q131" s="78">
        <v>0.59299999999999997</v>
      </c>
      <c r="R131" s="78">
        <v>0.59299999999999997</v>
      </c>
      <c r="S131" s="72">
        <v>83</v>
      </c>
      <c r="T131" s="72">
        <v>33</v>
      </c>
      <c r="U131" s="72">
        <v>50</v>
      </c>
      <c r="V131" s="75">
        <v>0.39800000000000002</v>
      </c>
      <c r="W131" s="72">
        <v>266</v>
      </c>
      <c r="X131" s="72">
        <v>5</v>
      </c>
      <c r="Y131" s="72">
        <v>261</v>
      </c>
      <c r="Z131" s="75">
        <v>1.9E-2</v>
      </c>
      <c r="AA131" s="72">
        <v>467</v>
      </c>
      <c r="AB131" s="72">
        <v>86</v>
      </c>
      <c r="AC131" s="72">
        <v>381</v>
      </c>
      <c r="AD131" s="77">
        <v>0.5</v>
      </c>
    </row>
    <row r="132" spans="1:30" ht="12.75" x14ac:dyDescent="0.2">
      <c r="A132" s="72" t="s">
        <v>351</v>
      </c>
      <c r="B132" s="72">
        <v>374</v>
      </c>
      <c r="C132" s="72">
        <v>0</v>
      </c>
      <c r="D132" s="72">
        <v>0</v>
      </c>
      <c r="E132" s="72">
        <v>0</v>
      </c>
      <c r="F132" s="72">
        <v>374</v>
      </c>
      <c r="G132" s="73">
        <v>0</v>
      </c>
      <c r="H132" s="74">
        <v>187</v>
      </c>
      <c r="I132" s="74">
        <v>0</v>
      </c>
      <c r="J132" s="72">
        <v>250</v>
      </c>
      <c r="K132" s="72">
        <v>0</v>
      </c>
      <c r="L132" s="72">
        <v>0</v>
      </c>
      <c r="M132" s="72">
        <v>0</v>
      </c>
      <c r="N132" s="72">
        <v>250</v>
      </c>
      <c r="O132" s="72">
        <v>0</v>
      </c>
      <c r="P132" s="72">
        <v>250</v>
      </c>
      <c r="Q132" s="75">
        <v>0</v>
      </c>
      <c r="R132" s="75">
        <v>0</v>
      </c>
      <c r="S132" s="72">
        <v>274</v>
      </c>
      <c r="T132" s="72">
        <v>0</v>
      </c>
      <c r="U132" s="72">
        <v>274</v>
      </c>
      <c r="V132" s="75">
        <v>0</v>
      </c>
      <c r="W132" s="72">
        <v>565</v>
      </c>
      <c r="X132" s="76">
        <v>1600</v>
      </c>
      <c r="Y132" s="72">
        <v>0</v>
      </c>
      <c r="Z132" s="78">
        <v>2.8319999999999999</v>
      </c>
      <c r="AA132" s="76">
        <v>1463</v>
      </c>
      <c r="AB132" s="76">
        <v>1600</v>
      </c>
      <c r="AC132" s="72">
        <v>898</v>
      </c>
      <c r="AD132" s="77">
        <v>0.5</v>
      </c>
    </row>
    <row r="133" spans="1:30" ht="12.75" x14ac:dyDescent="0.2">
      <c r="A133" s="72" t="s">
        <v>352</v>
      </c>
      <c r="B133" s="76">
        <v>1448</v>
      </c>
      <c r="C133" s="72">
        <v>48</v>
      </c>
      <c r="D133" s="72">
        <v>48</v>
      </c>
      <c r="E133" s="72">
        <v>0</v>
      </c>
      <c r="F133" s="76">
        <v>1400</v>
      </c>
      <c r="G133" s="73">
        <v>3.3000000000000002E-2</v>
      </c>
      <c r="H133" s="74">
        <v>724</v>
      </c>
      <c r="I133" s="74">
        <v>0</v>
      </c>
      <c r="J133" s="76">
        <v>1101</v>
      </c>
      <c r="K133" s="72">
        <v>83</v>
      </c>
      <c r="L133" s="72">
        <v>83</v>
      </c>
      <c r="M133" s="72">
        <v>0</v>
      </c>
      <c r="N133" s="76">
        <v>1018</v>
      </c>
      <c r="O133" s="72">
        <v>83</v>
      </c>
      <c r="P133" s="76">
        <v>1018</v>
      </c>
      <c r="Q133" s="75">
        <v>7.4999999999999997E-2</v>
      </c>
      <c r="R133" s="75">
        <v>7.4999999999999997E-2</v>
      </c>
      <c r="S133" s="76">
        <v>1019</v>
      </c>
      <c r="T133" s="72">
        <v>34</v>
      </c>
      <c r="U133" s="72">
        <v>985</v>
      </c>
      <c r="V133" s="75">
        <v>3.3000000000000002E-2</v>
      </c>
      <c r="W133" s="76">
        <v>2237</v>
      </c>
      <c r="X133" s="72">
        <v>282</v>
      </c>
      <c r="Y133" s="76">
        <v>1955</v>
      </c>
      <c r="Z133" s="75">
        <v>0.126</v>
      </c>
      <c r="AA133" s="76">
        <v>5805</v>
      </c>
      <c r="AB133" s="72">
        <v>447</v>
      </c>
      <c r="AC133" s="76">
        <v>5358</v>
      </c>
      <c r="AD133" s="77">
        <v>0.5</v>
      </c>
    </row>
    <row r="134" spans="1:30" ht="12.75" x14ac:dyDescent="0.2">
      <c r="A134" s="72" t="s">
        <v>355</v>
      </c>
      <c r="B134" s="72">
        <v>487</v>
      </c>
      <c r="C134" s="72">
        <v>80</v>
      </c>
      <c r="D134" s="72">
        <v>0</v>
      </c>
      <c r="E134" s="72">
        <v>80</v>
      </c>
      <c r="F134" s="72">
        <v>407</v>
      </c>
      <c r="G134" s="73">
        <v>0.16400000000000001</v>
      </c>
      <c r="H134" s="74">
        <v>244</v>
      </c>
      <c r="I134" s="74">
        <v>0</v>
      </c>
      <c r="J134" s="72">
        <v>300</v>
      </c>
      <c r="K134" s="72">
        <v>88</v>
      </c>
      <c r="L134" s="72">
        <v>14</v>
      </c>
      <c r="M134" s="72">
        <v>74</v>
      </c>
      <c r="N134" s="72">
        <v>212</v>
      </c>
      <c r="O134" s="72">
        <v>88</v>
      </c>
      <c r="P134" s="72">
        <v>212</v>
      </c>
      <c r="Q134" s="75">
        <v>0.29299999999999998</v>
      </c>
      <c r="R134" s="75">
        <v>0.29299999999999998</v>
      </c>
      <c r="S134" s="72">
        <v>297</v>
      </c>
      <c r="T134" s="72">
        <v>183</v>
      </c>
      <c r="U134" s="72">
        <v>114</v>
      </c>
      <c r="V134" s="78">
        <v>0.61599999999999999</v>
      </c>
      <c r="W134" s="72">
        <v>840</v>
      </c>
      <c r="X134" s="72">
        <v>64</v>
      </c>
      <c r="Y134" s="72">
        <v>776</v>
      </c>
      <c r="Z134" s="75">
        <v>7.5999999999999998E-2</v>
      </c>
      <c r="AA134" s="76">
        <v>1924</v>
      </c>
      <c r="AB134" s="72">
        <v>415</v>
      </c>
      <c r="AC134" s="76">
        <v>1509</v>
      </c>
      <c r="AD134" s="77">
        <v>0.5</v>
      </c>
    </row>
    <row r="135" spans="1:30" ht="12.75" x14ac:dyDescent="0.2">
      <c r="A135" s="72" t="s">
        <v>279</v>
      </c>
      <c r="B135" s="72">
        <v>100</v>
      </c>
      <c r="C135" s="72">
        <v>118</v>
      </c>
      <c r="D135" s="72">
        <v>118</v>
      </c>
      <c r="E135" s="72">
        <v>0</v>
      </c>
      <c r="F135" s="72">
        <v>0</v>
      </c>
      <c r="G135" s="79">
        <v>1.18</v>
      </c>
      <c r="H135" s="74">
        <v>50</v>
      </c>
      <c r="I135" s="74">
        <v>68</v>
      </c>
      <c r="J135" s="72">
        <v>63</v>
      </c>
      <c r="K135" s="72">
        <v>6</v>
      </c>
      <c r="L135" s="72">
        <v>6</v>
      </c>
      <c r="M135" s="72">
        <v>0</v>
      </c>
      <c r="N135" s="72">
        <v>57</v>
      </c>
      <c r="O135" s="72">
        <v>74</v>
      </c>
      <c r="P135" s="72">
        <v>0</v>
      </c>
      <c r="Q135" s="75">
        <v>9.5000000000000001E-2</v>
      </c>
      <c r="R135" s="78">
        <v>1.175</v>
      </c>
      <c r="S135" s="72">
        <v>69</v>
      </c>
      <c r="T135" s="72">
        <v>26</v>
      </c>
      <c r="U135" s="72">
        <v>43</v>
      </c>
      <c r="V135" s="75">
        <v>0.377</v>
      </c>
      <c r="W135" s="72">
        <v>166</v>
      </c>
      <c r="X135" s="72">
        <v>267</v>
      </c>
      <c r="Y135" s="72">
        <v>0</v>
      </c>
      <c r="Z135" s="78">
        <v>1.6080000000000001</v>
      </c>
      <c r="AA135" s="72">
        <v>398</v>
      </c>
      <c r="AB135" s="72">
        <v>417</v>
      </c>
      <c r="AC135" s="72">
        <v>100</v>
      </c>
      <c r="AD135" s="77">
        <v>0.5</v>
      </c>
    </row>
    <row r="136" spans="1:30" ht="12.75" x14ac:dyDescent="0.2">
      <c r="A136" s="72" t="s">
        <v>338</v>
      </c>
      <c r="B136" s="76">
        <v>1086</v>
      </c>
      <c r="C136" s="72">
        <v>59</v>
      </c>
      <c r="D136" s="72">
        <v>59</v>
      </c>
      <c r="E136" s="72">
        <v>0</v>
      </c>
      <c r="F136" s="76">
        <v>1027</v>
      </c>
      <c r="G136" s="73">
        <v>5.3999999999999999E-2</v>
      </c>
      <c r="H136" s="74">
        <v>543</v>
      </c>
      <c r="I136" s="74">
        <v>0</v>
      </c>
      <c r="J136" s="72">
        <v>762</v>
      </c>
      <c r="K136" s="72">
        <v>253</v>
      </c>
      <c r="L136" s="72">
        <v>225</v>
      </c>
      <c r="M136" s="72">
        <v>28</v>
      </c>
      <c r="N136" s="72">
        <v>509</v>
      </c>
      <c r="O136" s="72">
        <v>253</v>
      </c>
      <c r="P136" s="72">
        <v>509</v>
      </c>
      <c r="Q136" s="75">
        <v>0.33200000000000002</v>
      </c>
      <c r="R136" s="75">
        <v>0.33200000000000002</v>
      </c>
      <c r="S136" s="72">
        <v>823</v>
      </c>
      <c r="T136" s="72">
        <v>47</v>
      </c>
      <c r="U136" s="72">
        <v>776</v>
      </c>
      <c r="V136" s="75">
        <v>5.7000000000000002E-2</v>
      </c>
      <c r="W136" s="76">
        <v>1757</v>
      </c>
      <c r="X136" s="76">
        <v>3345</v>
      </c>
      <c r="Y136" s="72">
        <v>0</v>
      </c>
      <c r="Z136" s="78">
        <v>1.9039999999999999</v>
      </c>
      <c r="AA136" s="76">
        <v>4428</v>
      </c>
      <c r="AB136" s="76">
        <v>3704</v>
      </c>
      <c r="AC136" s="76">
        <v>2312</v>
      </c>
      <c r="AD136" s="77">
        <v>0.5</v>
      </c>
    </row>
    <row r="137" spans="1:30" ht="12.75" x14ac:dyDescent="0.2">
      <c r="A137" s="72" t="s">
        <v>357</v>
      </c>
      <c r="B137" s="72">
        <v>529</v>
      </c>
      <c r="C137" s="72">
        <v>241</v>
      </c>
      <c r="D137" s="72">
        <v>241</v>
      </c>
      <c r="E137" s="72">
        <v>0</v>
      </c>
      <c r="F137" s="72">
        <v>288</v>
      </c>
      <c r="G137" s="73">
        <v>0.45600000000000002</v>
      </c>
      <c r="H137" s="74">
        <v>265</v>
      </c>
      <c r="I137" s="74">
        <v>0</v>
      </c>
      <c r="J137" s="72">
        <v>315</v>
      </c>
      <c r="K137" s="72">
        <v>36</v>
      </c>
      <c r="L137" s="72">
        <v>36</v>
      </c>
      <c r="M137" s="72">
        <v>0</v>
      </c>
      <c r="N137" s="72">
        <v>279</v>
      </c>
      <c r="O137" s="72">
        <v>36</v>
      </c>
      <c r="P137" s="72">
        <v>279</v>
      </c>
      <c r="Q137" s="75">
        <v>0.114</v>
      </c>
      <c r="R137" s="75">
        <v>0.114</v>
      </c>
      <c r="S137" s="72">
        <v>352</v>
      </c>
      <c r="T137" s="72">
        <v>2</v>
      </c>
      <c r="U137" s="72">
        <v>350</v>
      </c>
      <c r="V137" s="75">
        <v>6.0000000000000001E-3</v>
      </c>
      <c r="W137" s="72">
        <v>946</v>
      </c>
      <c r="X137" s="72">
        <v>535</v>
      </c>
      <c r="Y137" s="72">
        <v>411</v>
      </c>
      <c r="Z137" s="78">
        <v>0.56599999999999995</v>
      </c>
      <c r="AA137" s="76">
        <v>2142</v>
      </c>
      <c r="AB137" s="72">
        <v>814</v>
      </c>
      <c r="AC137" s="76">
        <v>1328</v>
      </c>
      <c r="AD137" s="77">
        <v>0.5</v>
      </c>
    </row>
    <row r="138" spans="1:30" ht="12.75" x14ac:dyDescent="0.2">
      <c r="A138" s="72" t="s">
        <v>359</v>
      </c>
      <c r="B138" s="72">
        <v>18</v>
      </c>
      <c r="C138" s="72">
        <v>4</v>
      </c>
      <c r="D138" s="72">
        <v>4</v>
      </c>
      <c r="E138" s="72">
        <v>0</v>
      </c>
      <c r="F138" s="72">
        <v>14</v>
      </c>
      <c r="G138" s="73">
        <v>0.222</v>
      </c>
      <c r="H138" s="74">
        <v>9</v>
      </c>
      <c r="I138" s="74">
        <v>0</v>
      </c>
      <c r="J138" s="72">
        <v>11</v>
      </c>
      <c r="K138" s="72">
        <v>2</v>
      </c>
      <c r="L138" s="72">
        <v>2</v>
      </c>
      <c r="M138" s="72">
        <v>0</v>
      </c>
      <c r="N138" s="72">
        <v>9</v>
      </c>
      <c r="O138" s="72">
        <v>2</v>
      </c>
      <c r="P138" s="72">
        <v>9</v>
      </c>
      <c r="Q138" s="75">
        <v>0.182</v>
      </c>
      <c r="R138" s="75">
        <v>0.182</v>
      </c>
      <c r="S138" s="72">
        <v>12</v>
      </c>
      <c r="T138" s="72">
        <v>0</v>
      </c>
      <c r="U138" s="72">
        <v>12</v>
      </c>
      <c r="V138" s="75">
        <v>0</v>
      </c>
      <c r="W138" s="72">
        <v>28</v>
      </c>
      <c r="X138" s="72">
        <v>39</v>
      </c>
      <c r="Y138" s="72">
        <v>0</v>
      </c>
      <c r="Z138" s="78">
        <v>1.393</v>
      </c>
      <c r="AA138" s="72">
        <v>69</v>
      </c>
      <c r="AB138" s="72">
        <v>45</v>
      </c>
      <c r="AC138" s="72">
        <v>35</v>
      </c>
      <c r="AD138" s="77">
        <v>0.5</v>
      </c>
    </row>
    <row r="139" spans="1:30" ht="12.75" x14ac:dyDescent="0.2">
      <c r="A139" s="72" t="s">
        <v>360</v>
      </c>
      <c r="B139" s="76">
        <v>2035</v>
      </c>
      <c r="C139" s="72">
        <v>84</v>
      </c>
      <c r="D139" s="72">
        <v>84</v>
      </c>
      <c r="E139" s="72">
        <v>0</v>
      </c>
      <c r="F139" s="76">
        <v>1951</v>
      </c>
      <c r="G139" s="73">
        <v>4.1000000000000002E-2</v>
      </c>
      <c r="H139" s="74">
        <v>1018</v>
      </c>
      <c r="I139" s="74">
        <v>0</v>
      </c>
      <c r="J139" s="76">
        <v>1427</v>
      </c>
      <c r="K139" s="72">
        <v>76</v>
      </c>
      <c r="L139" s="72">
        <v>76</v>
      </c>
      <c r="M139" s="72">
        <v>0</v>
      </c>
      <c r="N139" s="76">
        <v>1351</v>
      </c>
      <c r="O139" s="72">
        <v>76</v>
      </c>
      <c r="P139" s="76">
        <v>1351</v>
      </c>
      <c r="Q139" s="75">
        <v>5.2999999999999999E-2</v>
      </c>
      <c r="R139" s="75">
        <v>5.2999999999999999E-2</v>
      </c>
      <c r="S139" s="76">
        <v>1377</v>
      </c>
      <c r="T139" s="72">
        <v>271</v>
      </c>
      <c r="U139" s="76">
        <v>1106</v>
      </c>
      <c r="V139" s="75">
        <v>0.19700000000000001</v>
      </c>
      <c r="W139" s="76">
        <v>2563</v>
      </c>
      <c r="X139" s="76">
        <v>2996</v>
      </c>
      <c r="Y139" s="72">
        <v>0</v>
      </c>
      <c r="Z139" s="78">
        <v>1.169</v>
      </c>
      <c r="AA139" s="76">
        <v>7402</v>
      </c>
      <c r="AB139" s="76">
        <v>3427</v>
      </c>
      <c r="AC139" s="76">
        <v>4408</v>
      </c>
      <c r="AD139" s="77">
        <v>0.5</v>
      </c>
    </row>
    <row r="140" spans="1:30" ht="12.75" x14ac:dyDescent="0.2">
      <c r="A140" s="72" t="s">
        <v>157</v>
      </c>
      <c r="B140" s="72">
        <v>276</v>
      </c>
      <c r="C140" s="72">
        <v>87</v>
      </c>
      <c r="D140" s="72">
        <v>87</v>
      </c>
      <c r="E140" s="72">
        <v>0</v>
      </c>
      <c r="F140" s="72">
        <v>189</v>
      </c>
      <c r="G140" s="73">
        <v>0.315</v>
      </c>
      <c r="H140" s="74">
        <v>138</v>
      </c>
      <c r="I140" s="74">
        <v>0</v>
      </c>
      <c r="J140" s="72">
        <v>211</v>
      </c>
      <c r="K140" s="72">
        <v>19</v>
      </c>
      <c r="L140" s="72">
        <v>19</v>
      </c>
      <c r="M140" s="72">
        <v>0</v>
      </c>
      <c r="N140" s="72">
        <v>192</v>
      </c>
      <c r="O140" s="72">
        <v>19</v>
      </c>
      <c r="P140" s="72">
        <v>192</v>
      </c>
      <c r="Q140" s="75">
        <v>0.09</v>
      </c>
      <c r="R140" s="75">
        <v>0.09</v>
      </c>
      <c r="S140" s="72">
        <v>259</v>
      </c>
      <c r="T140" s="72">
        <v>25</v>
      </c>
      <c r="U140" s="72">
        <v>234</v>
      </c>
      <c r="V140" s="75">
        <v>9.7000000000000003E-2</v>
      </c>
      <c r="W140" s="72">
        <v>752</v>
      </c>
      <c r="X140" s="72">
        <v>450</v>
      </c>
      <c r="Y140" s="72">
        <v>302</v>
      </c>
      <c r="Z140" s="78">
        <v>0.59799999999999998</v>
      </c>
      <c r="AA140" s="76">
        <v>1498</v>
      </c>
      <c r="AB140" s="72">
        <v>581</v>
      </c>
      <c r="AC140" s="72">
        <v>917</v>
      </c>
      <c r="AD140" s="77">
        <v>0.5</v>
      </c>
    </row>
    <row r="141" spans="1:30" ht="12.75" x14ac:dyDescent="0.2">
      <c r="A141" s="72" t="s">
        <v>362</v>
      </c>
      <c r="B141" s="72">
        <v>587</v>
      </c>
      <c r="C141" s="72">
        <v>45</v>
      </c>
      <c r="D141" s="72">
        <v>38</v>
      </c>
      <c r="E141" s="72">
        <v>7</v>
      </c>
      <c r="F141" s="72">
        <v>542</v>
      </c>
      <c r="G141" s="73">
        <v>7.6999999999999999E-2</v>
      </c>
      <c r="H141" s="74">
        <v>294</v>
      </c>
      <c r="I141" s="74">
        <v>0</v>
      </c>
      <c r="J141" s="72">
        <v>446</v>
      </c>
      <c r="K141" s="72">
        <v>26</v>
      </c>
      <c r="L141" s="72">
        <v>23</v>
      </c>
      <c r="M141" s="72">
        <v>3</v>
      </c>
      <c r="N141" s="72">
        <v>420</v>
      </c>
      <c r="O141" s="72">
        <v>26</v>
      </c>
      <c r="P141" s="72">
        <v>420</v>
      </c>
      <c r="Q141" s="75">
        <v>5.8000000000000003E-2</v>
      </c>
      <c r="R141" s="75">
        <v>5.8000000000000003E-2</v>
      </c>
      <c r="S141" s="72">
        <v>413</v>
      </c>
      <c r="T141" s="72">
        <v>11</v>
      </c>
      <c r="U141" s="72">
        <v>402</v>
      </c>
      <c r="V141" s="75">
        <v>2.7E-2</v>
      </c>
      <c r="W141" s="72">
        <v>907</v>
      </c>
      <c r="X141" s="72">
        <v>915</v>
      </c>
      <c r="Y141" s="72">
        <v>0</v>
      </c>
      <c r="Z141" s="78">
        <v>1.0089999999999999</v>
      </c>
      <c r="AA141" s="76">
        <v>2353</v>
      </c>
      <c r="AB141" s="72">
        <v>997</v>
      </c>
      <c r="AC141" s="76">
        <v>1364</v>
      </c>
      <c r="AD141" s="77">
        <v>0.5</v>
      </c>
    </row>
    <row r="142" spans="1:30" ht="12.75" x14ac:dyDescent="0.2">
      <c r="A142" s="72" t="s">
        <v>364</v>
      </c>
      <c r="B142" s="72">
        <v>103</v>
      </c>
      <c r="C142" s="72">
        <v>0</v>
      </c>
      <c r="D142" s="72">
        <v>0</v>
      </c>
      <c r="E142" s="72">
        <v>0</v>
      </c>
      <c r="F142" s="72">
        <v>103</v>
      </c>
      <c r="G142" s="73">
        <v>0</v>
      </c>
      <c r="H142" s="74">
        <v>39</v>
      </c>
      <c r="I142" s="74">
        <v>0</v>
      </c>
      <c r="J142" s="72">
        <v>66</v>
      </c>
      <c r="K142" s="72">
        <v>0</v>
      </c>
      <c r="L142" s="72">
        <v>0</v>
      </c>
      <c r="M142" s="72">
        <v>0</v>
      </c>
      <c r="N142" s="72">
        <v>66</v>
      </c>
      <c r="O142" s="72">
        <v>0</v>
      </c>
      <c r="P142" s="72">
        <v>66</v>
      </c>
      <c r="Q142" s="75">
        <v>0</v>
      </c>
      <c r="R142" s="75">
        <v>0</v>
      </c>
      <c r="S142" s="72">
        <v>64</v>
      </c>
      <c r="T142" s="72">
        <v>0</v>
      </c>
      <c r="U142" s="72">
        <v>64</v>
      </c>
      <c r="V142" s="75">
        <v>0</v>
      </c>
      <c r="W142" s="72">
        <v>192</v>
      </c>
      <c r="X142" s="72">
        <v>8</v>
      </c>
      <c r="Y142" s="72">
        <v>184</v>
      </c>
      <c r="Z142" s="75">
        <v>4.2000000000000003E-2</v>
      </c>
      <c r="AA142" s="72">
        <v>425</v>
      </c>
      <c r="AB142" s="72">
        <v>8</v>
      </c>
      <c r="AC142" s="72">
        <v>417</v>
      </c>
      <c r="AD142" s="77">
        <v>0.375</v>
      </c>
    </row>
    <row r="143" spans="1:30" ht="12.75" x14ac:dyDescent="0.2">
      <c r="A143" s="72" t="s">
        <v>366</v>
      </c>
      <c r="B143" s="76">
        <v>1042</v>
      </c>
      <c r="C143" s="72">
        <v>93</v>
      </c>
      <c r="D143" s="72">
        <v>92</v>
      </c>
      <c r="E143" s="72">
        <v>1</v>
      </c>
      <c r="F143" s="72">
        <v>949</v>
      </c>
      <c r="G143" s="73">
        <v>8.8999999999999996E-2</v>
      </c>
      <c r="H143" s="74">
        <v>521</v>
      </c>
      <c r="I143" s="74">
        <v>0</v>
      </c>
      <c r="J143" s="72">
        <v>791</v>
      </c>
      <c r="K143" s="72">
        <v>90</v>
      </c>
      <c r="L143" s="72">
        <v>89</v>
      </c>
      <c r="M143" s="72">
        <v>1</v>
      </c>
      <c r="N143" s="72">
        <v>701</v>
      </c>
      <c r="O143" s="72">
        <v>90</v>
      </c>
      <c r="P143" s="72">
        <v>701</v>
      </c>
      <c r="Q143" s="75">
        <v>0.114</v>
      </c>
      <c r="R143" s="75">
        <v>0.114</v>
      </c>
      <c r="S143" s="72">
        <v>733</v>
      </c>
      <c r="T143" s="72">
        <v>31</v>
      </c>
      <c r="U143" s="72">
        <v>702</v>
      </c>
      <c r="V143" s="75">
        <v>4.2000000000000003E-2</v>
      </c>
      <c r="W143" s="76">
        <v>1609</v>
      </c>
      <c r="X143" s="76">
        <v>1353</v>
      </c>
      <c r="Y143" s="72">
        <v>256</v>
      </c>
      <c r="Z143" s="78">
        <v>0.84099999999999997</v>
      </c>
      <c r="AA143" s="76">
        <v>4175</v>
      </c>
      <c r="AB143" s="76">
        <v>1567</v>
      </c>
      <c r="AC143" s="76">
        <v>2608</v>
      </c>
      <c r="AD143" s="77">
        <v>0.5</v>
      </c>
    </row>
    <row r="144" spans="1:30" ht="12.75" x14ac:dyDescent="0.2">
      <c r="A144" s="72" t="s">
        <v>368</v>
      </c>
      <c r="B144" s="72">
        <v>3</v>
      </c>
      <c r="C144" s="72">
        <v>0</v>
      </c>
      <c r="D144" s="72">
        <v>0</v>
      </c>
      <c r="E144" s="72">
        <v>0</v>
      </c>
      <c r="F144" s="72">
        <v>3</v>
      </c>
      <c r="G144" s="73">
        <v>0</v>
      </c>
      <c r="H144" s="74">
        <v>3</v>
      </c>
      <c r="I144" s="74">
        <v>0</v>
      </c>
      <c r="J144" s="72">
        <v>2</v>
      </c>
      <c r="K144" s="72">
        <v>0</v>
      </c>
      <c r="L144" s="72">
        <v>0</v>
      </c>
      <c r="M144" s="72">
        <v>0</v>
      </c>
      <c r="N144" s="72">
        <v>2</v>
      </c>
      <c r="O144" s="72">
        <v>0</v>
      </c>
      <c r="P144" s="72">
        <v>2</v>
      </c>
      <c r="Q144" s="75">
        <v>0</v>
      </c>
      <c r="R144" s="75">
        <v>0</v>
      </c>
      <c r="S144" s="72">
        <v>2</v>
      </c>
      <c r="T144" s="72">
        <v>1</v>
      </c>
      <c r="U144" s="72">
        <v>1</v>
      </c>
      <c r="V144" s="75">
        <v>0.5</v>
      </c>
      <c r="W144" s="72">
        <v>3</v>
      </c>
      <c r="X144" s="72">
        <v>0</v>
      </c>
      <c r="Y144" s="72">
        <v>3</v>
      </c>
      <c r="Z144" s="75">
        <v>0</v>
      </c>
      <c r="AA144" s="72">
        <v>10</v>
      </c>
      <c r="AB144" s="72">
        <v>1</v>
      </c>
      <c r="AC144" s="72">
        <v>9</v>
      </c>
      <c r="AD144" s="77">
        <v>1</v>
      </c>
    </row>
    <row r="145" spans="1:30" ht="12.75" x14ac:dyDescent="0.2">
      <c r="A145" s="72" t="s">
        <v>371</v>
      </c>
      <c r="B145" s="72">
        <v>145</v>
      </c>
      <c r="C145" s="72">
        <v>38</v>
      </c>
      <c r="D145" s="72">
        <v>38</v>
      </c>
      <c r="E145" s="72">
        <v>0</v>
      </c>
      <c r="F145" s="72">
        <v>107</v>
      </c>
      <c r="G145" s="73">
        <v>0.26200000000000001</v>
      </c>
      <c r="H145" s="74">
        <v>145</v>
      </c>
      <c r="I145" s="74">
        <v>0</v>
      </c>
      <c r="J145" s="72">
        <v>96</v>
      </c>
      <c r="K145" s="72">
        <v>67</v>
      </c>
      <c r="L145" s="72">
        <v>61</v>
      </c>
      <c r="M145" s="72">
        <v>6</v>
      </c>
      <c r="N145" s="72">
        <v>29</v>
      </c>
      <c r="O145" s="72">
        <v>67</v>
      </c>
      <c r="P145" s="72">
        <v>29</v>
      </c>
      <c r="Q145" s="75">
        <v>0.69799999999999995</v>
      </c>
      <c r="R145" s="75">
        <v>0.69799999999999995</v>
      </c>
      <c r="S145" s="72">
        <v>104</v>
      </c>
      <c r="T145" s="72">
        <v>8</v>
      </c>
      <c r="U145" s="72">
        <v>96</v>
      </c>
      <c r="V145" s="75">
        <v>7.6999999999999999E-2</v>
      </c>
      <c r="W145" s="72">
        <v>264</v>
      </c>
      <c r="X145" s="72">
        <v>71</v>
      </c>
      <c r="Y145" s="72">
        <v>193</v>
      </c>
      <c r="Z145" s="75">
        <v>0.26900000000000002</v>
      </c>
      <c r="AA145" s="72">
        <v>609</v>
      </c>
      <c r="AB145" s="72">
        <v>184</v>
      </c>
      <c r="AC145" s="72">
        <v>425</v>
      </c>
      <c r="AD145" s="77">
        <v>1</v>
      </c>
    </row>
    <row r="146" spans="1:30" ht="12.75" x14ac:dyDescent="0.2">
      <c r="A146" s="72" t="s">
        <v>372</v>
      </c>
      <c r="B146" s="72">
        <v>143</v>
      </c>
      <c r="C146" s="72">
        <v>0</v>
      </c>
      <c r="D146" s="72">
        <v>0</v>
      </c>
      <c r="E146" s="72">
        <v>0</v>
      </c>
      <c r="F146" s="72">
        <v>143</v>
      </c>
      <c r="G146" s="73">
        <v>0</v>
      </c>
      <c r="H146" s="74">
        <v>54</v>
      </c>
      <c r="I146" s="74">
        <v>0</v>
      </c>
      <c r="J146" s="72">
        <v>125</v>
      </c>
      <c r="K146" s="72">
        <v>2</v>
      </c>
      <c r="L146" s="72">
        <v>0</v>
      </c>
      <c r="M146" s="72">
        <v>2</v>
      </c>
      <c r="N146" s="72">
        <v>123</v>
      </c>
      <c r="O146" s="72">
        <v>2</v>
      </c>
      <c r="P146" s="72">
        <v>123</v>
      </c>
      <c r="Q146" s="75">
        <v>1.6E-2</v>
      </c>
      <c r="R146" s="75">
        <v>1.6E-2</v>
      </c>
      <c r="S146" s="72">
        <v>85</v>
      </c>
      <c r="T146" s="72">
        <v>2</v>
      </c>
      <c r="U146" s="72">
        <v>83</v>
      </c>
      <c r="V146" s="75">
        <v>2.4E-2</v>
      </c>
      <c r="W146" s="72">
        <v>272</v>
      </c>
      <c r="X146" s="72">
        <v>6</v>
      </c>
      <c r="Y146" s="72">
        <v>266</v>
      </c>
      <c r="Z146" s="75">
        <v>2.1999999999999999E-2</v>
      </c>
      <c r="AA146" s="72">
        <v>625</v>
      </c>
      <c r="AB146" s="72">
        <v>10</v>
      </c>
      <c r="AC146" s="72">
        <v>615</v>
      </c>
      <c r="AD146" s="77">
        <v>0.375</v>
      </c>
    </row>
    <row r="147" spans="1:30" ht="12.75" x14ac:dyDescent="0.2">
      <c r="A147" s="72" t="s">
        <v>374</v>
      </c>
      <c r="B147" s="72">
        <v>16</v>
      </c>
      <c r="C147" s="72">
        <v>13</v>
      </c>
      <c r="D147" s="72">
        <v>7</v>
      </c>
      <c r="E147" s="72">
        <v>6</v>
      </c>
      <c r="F147" s="72">
        <v>3</v>
      </c>
      <c r="G147" s="79">
        <v>0.81299999999999994</v>
      </c>
      <c r="H147" s="74">
        <v>8</v>
      </c>
      <c r="I147" s="74">
        <v>5</v>
      </c>
      <c r="J147" s="72">
        <v>11</v>
      </c>
      <c r="K147" s="72">
        <v>56</v>
      </c>
      <c r="L147" s="72">
        <v>48</v>
      </c>
      <c r="M147" s="72">
        <v>8</v>
      </c>
      <c r="N147" s="72">
        <v>0</v>
      </c>
      <c r="O147" s="72">
        <v>61</v>
      </c>
      <c r="P147" s="72">
        <v>0</v>
      </c>
      <c r="Q147" s="78">
        <v>5.0910000000000002</v>
      </c>
      <c r="R147" s="78">
        <v>5.5449999999999999</v>
      </c>
      <c r="S147" s="72">
        <v>11</v>
      </c>
      <c r="T147" s="72">
        <v>2</v>
      </c>
      <c r="U147" s="72">
        <v>9</v>
      </c>
      <c r="V147" s="75">
        <v>0.182</v>
      </c>
      <c r="W147" s="72">
        <v>23</v>
      </c>
      <c r="X147" s="72">
        <v>10</v>
      </c>
      <c r="Y147" s="72">
        <v>13</v>
      </c>
      <c r="Z147" s="75">
        <v>0.435</v>
      </c>
      <c r="AA147" s="72">
        <v>61</v>
      </c>
      <c r="AB147" s="72">
        <v>81</v>
      </c>
      <c r="AC147" s="72">
        <v>25</v>
      </c>
      <c r="AD147" s="77">
        <v>0.5</v>
      </c>
    </row>
    <row r="148" spans="1:30" ht="12.75" x14ac:dyDescent="0.2">
      <c r="A148" s="72" t="s">
        <v>376</v>
      </c>
      <c r="B148" s="72">
        <v>779</v>
      </c>
      <c r="C148" s="72">
        <v>0</v>
      </c>
      <c r="D148" s="72">
        <v>0</v>
      </c>
      <c r="E148" s="72">
        <v>0</v>
      </c>
      <c r="F148" s="72">
        <v>779</v>
      </c>
      <c r="G148" s="73">
        <v>0</v>
      </c>
      <c r="H148" s="74">
        <v>390</v>
      </c>
      <c r="I148" s="74">
        <v>0</v>
      </c>
      <c r="J148" s="72">
        <v>404</v>
      </c>
      <c r="K148" s="72">
        <v>0</v>
      </c>
      <c r="L148" s="72">
        <v>0</v>
      </c>
      <c r="M148" s="72">
        <v>0</v>
      </c>
      <c r="N148" s="72">
        <v>404</v>
      </c>
      <c r="O148" s="72">
        <v>0</v>
      </c>
      <c r="P148" s="72">
        <v>404</v>
      </c>
      <c r="Q148" s="75">
        <v>0</v>
      </c>
      <c r="R148" s="75">
        <v>0</v>
      </c>
      <c r="S148" s="72">
        <v>456</v>
      </c>
      <c r="T148" s="72">
        <v>360</v>
      </c>
      <c r="U148" s="72">
        <v>96</v>
      </c>
      <c r="V148" s="78">
        <v>0.78900000000000003</v>
      </c>
      <c r="W148" s="76">
        <v>1461</v>
      </c>
      <c r="X148" s="76">
        <v>1713</v>
      </c>
      <c r="Y148" s="72">
        <v>0</v>
      </c>
      <c r="Z148" s="78">
        <v>1.1719999999999999</v>
      </c>
      <c r="AA148" s="76">
        <v>3100</v>
      </c>
      <c r="AB148" s="76">
        <v>2073</v>
      </c>
      <c r="AC148" s="76">
        <v>1279</v>
      </c>
      <c r="AD148" s="77">
        <v>0.5</v>
      </c>
    </row>
    <row r="149" spans="1:30" ht="12.75" x14ac:dyDescent="0.2">
      <c r="A149" s="72" t="s">
        <v>377</v>
      </c>
      <c r="B149" s="72">
        <v>74</v>
      </c>
      <c r="C149" s="72">
        <v>6</v>
      </c>
      <c r="D149" s="72">
        <v>0</v>
      </c>
      <c r="E149" s="72">
        <v>6</v>
      </c>
      <c r="F149" s="72">
        <v>68</v>
      </c>
      <c r="G149" s="73">
        <v>8.1000000000000003E-2</v>
      </c>
      <c r="H149" s="74">
        <v>28</v>
      </c>
      <c r="I149" s="74">
        <v>0</v>
      </c>
      <c r="J149" s="72">
        <v>65</v>
      </c>
      <c r="K149" s="72">
        <v>13</v>
      </c>
      <c r="L149" s="72">
        <v>6</v>
      </c>
      <c r="M149" s="72">
        <v>7</v>
      </c>
      <c r="N149" s="72">
        <v>52</v>
      </c>
      <c r="O149" s="72">
        <v>13</v>
      </c>
      <c r="P149" s="72">
        <v>52</v>
      </c>
      <c r="Q149" s="75">
        <v>0.2</v>
      </c>
      <c r="R149" s="75">
        <v>0.2</v>
      </c>
      <c r="S149" s="72">
        <v>68</v>
      </c>
      <c r="T149" s="72">
        <v>11</v>
      </c>
      <c r="U149" s="72">
        <v>57</v>
      </c>
      <c r="V149" s="75">
        <v>0.16200000000000001</v>
      </c>
      <c r="W149" s="72">
        <v>259</v>
      </c>
      <c r="X149" s="72">
        <v>5</v>
      </c>
      <c r="Y149" s="72">
        <v>254</v>
      </c>
      <c r="Z149" s="75">
        <v>1.9E-2</v>
      </c>
      <c r="AA149" s="72">
        <v>466</v>
      </c>
      <c r="AB149" s="72">
        <v>35</v>
      </c>
      <c r="AC149" s="72">
        <v>431</v>
      </c>
      <c r="AD149" s="77">
        <v>0.375</v>
      </c>
    </row>
    <row r="150" spans="1:30" ht="12.75" x14ac:dyDescent="0.2">
      <c r="A150" s="72" t="s">
        <v>378</v>
      </c>
      <c r="B150" s="72">
        <v>6</v>
      </c>
      <c r="C150" s="72">
        <v>0</v>
      </c>
      <c r="D150" s="72">
        <v>0</v>
      </c>
      <c r="E150" s="72">
        <v>0</v>
      </c>
      <c r="F150" s="72">
        <v>6</v>
      </c>
      <c r="G150" s="73">
        <v>0</v>
      </c>
      <c r="H150" s="74">
        <v>6</v>
      </c>
      <c r="I150" s="74">
        <v>0</v>
      </c>
      <c r="J150" s="72">
        <v>3</v>
      </c>
      <c r="K150" s="72">
        <v>0</v>
      </c>
      <c r="L150" s="72">
        <v>0</v>
      </c>
      <c r="M150" s="72">
        <v>0</v>
      </c>
      <c r="N150" s="72">
        <v>3</v>
      </c>
      <c r="O150" s="72">
        <v>0</v>
      </c>
      <c r="P150" s="72">
        <v>3</v>
      </c>
      <c r="Q150" s="75">
        <v>0</v>
      </c>
      <c r="R150" s="75">
        <v>0</v>
      </c>
      <c r="S150" s="72">
        <v>4</v>
      </c>
      <c r="T150" s="72">
        <v>0</v>
      </c>
      <c r="U150" s="72">
        <v>4</v>
      </c>
      <c r="V150" s="75">
        <v>0</v>
      </c>
      <c r="W150" s="72">
        <v>8</v>
      </c>
      <c r="X150" s="72">
        <v>0</v>
      </c>
      <c r="Y150" s="72">
        <v>8</v>
      </c>
      <c r="Z150" s="75">
        <v>0</v>
      </c>
      <c r="AA150" s="72">
        <v>21</v>
      </c>
      <c r="AB150" s="72">
        <v>0</v>
      </c>
      <c r="AC150" s="72">
        <v>21</v>
      </c>
      <c r="AD150" s="77">
        <v>1</v>
      </c>
    </row>
    <row r="151" spans="1:30" ht="12.75" x14ac:dyDescent="0.2">
      <c r="A151" s="72" t="s">
        <v>379</v>
      </c>
      <c r="B151" s="72">
        <v>160</v>
      </c>
      <c r="C151" s="72">
        <v>0</v>
      </c>
      <c r="D151" s="72">
        <v>0</v>
      </c>
      <c r="E151" s="72">
        <v>0</v>
      </c>
      <c r="F151" s="72">
        <v>160</v>
      </c>
      <c r="G151" s="73">
        <v>0</v>
      </c>
      <c r="H151" s="74">
        <v>80</v>
      </c>
      <c r="I151" s="74">
        <v>0</v>
      </c>
      <c r="J151" s="72">
        <v>112</v>
      </c>
      <c r="K151" s="72">
        <v>0</v>
      </c>
      <c r="L151" s="72">
        <v>0</v>
      </c>
      <c r="M151" s="72">
        <v>0</v>
      </c>
      <c r="N151" s="72">
        <v>112</v>
      </c>
      <c r="O151" s="72">
        <v>0</v>
      </c>
      <c r="P151" s="72">
        <v>112</v>
      </c>
      <c r="Q151" s="75">
        <v>0</v>
      </c>
      <c r="R151" s="75">
        <v>0</v>
      </c>
      <c r="S151" s="72">
        <v>128</v>
      </c>
      <c r="T151" s="72">
        <v>0</v>
      </c>
      <c r="U151" s="72">
        <v>128</v>
      </c>
      <c r="V151" s="75">
        <v>0</v>
      </c>
      <c r="W151" s="72">
        <v>294</v>
      </c>
      <c r="X151" s="72">
        <v>0</v>
      </c>
      <c r="Y151" s="72">
        <v>294</v>
      </c>
      <c r="Z151" s="75">
        <v>0</v>
      </c>
      <c r="AA151" s="72">
        <v>694</v>
      </c>
      <c r="AB151" s="72">
        <v>0</v>
      </c>
      <c r="AC151" s="72">
        <v>694</v>
      </c>
      <c r="AD151" s="77">
        <v>0.5</v>
      </c>
    </row>
    <row r="152" spans="1:30" ht="12.75" x14ac:dyDescent="0.2">
      <c r="A152" s="72" t="s">
        <v>356</v>
      </c>
      <c r="B152" s="72">
        <v>128</v>
      </c>
      <c r="C152" s="72">
        <v>15</v>
      </c>
      <c r="D152" s="72">
        <v>15</v>
      </c>
      <c r="E152" s="72">
        <v>0</v>
      </c>
      <c r="F152" s="72">
        <v>113</v>
      </c>
      <c r="G152" s="73">
        <v>0.11700000000000001</v>
      </c>
      <c r="H152" s="74">
        <v>48</v>
      </c>
      <c r="I152" s="74">
        <v>0</v>
      </c>
      <c r="J152" s="72">
        <v>169</v>
      </c>
      <c r="K152" s="72">
        <v>15</v>
      </c>
      <c r="L152" s="72">
        <v>15</v>
      </c>
      <c r="M152" s="72">
        <v>0</v>
      </c>
      <c r="N152" s="72">
        <v>154</v>
      </c>
      <c r="O152" s="72">
        <v>15</v>
      </c>
      <c r="P152" s="72">
        <v>154</v>
      </c>
      <c r="Q152" s="75">
        <v>8.8999999999999996E-2</v>
      </c>
      <c r="R152" s="75">
        <v>8.8999999999999996E-2</v>
      </c>
      <c r="S152" s="72">
        <v>204</v>
      </c>
      <c r="T152" s="72">
        <v>0</v>
      </c>
      <c r="U152" s="72">
        <v>204</v>
      </c>
      <c r="V152" s="75">
        <v>0</v>
      </c>
      <c r="W152" s="72">
        <v>211</v>
      </c>
      <c r="X152" s="72">
        <v>0</v>
      </c>
      <c r="Y152" s="72">
        <v>211</v>
      </c>
      <c r="Z152" s="75">
        <v>0</v>
      </c>
      <c r="AA152" s="72">
        <v>712</v>
      </c>
      <c r="AB152" s="72">
        <v>30</v>
      </c>
      <c r="AC152" s="72">
        <v>682</v>
      </c>
      <c r="AD152" s="77">
        <v>0.375</v>
      </c>
    </row>
    <row r="153" spans="1:30" ht="12.75" x14ac:dyDescent="0.2">
      <c r="A153" s="72" t="s">
        <v>380</v>
      </c>
      <c r="B153" s="76">
        <v>1218</v>
      </c>
      <c r="C153" s="72">
        <v>6</v>
      </c>
      <c r="D153" s="72">
        <v>6</v>
      </c>
      <c r="E153" s="72">
        <v>0</v>
      </c>
      <c r="F153" s="76">
        <v>1212</v>
      </c>
      <c r="G153" s="73">
        <v>5.0000000000000001E-3</v>
      </c>
      <c r="H153" s="74">
        <v>609</v>
      </c>
      <c r="I153" s="74">
        <v>0</v>
      </c>
      <c r="J153" s="72">
        <v>854</v>
      </c>
      <c r="K153" s="72">
        <v>0</v>
      </c>
      <c r="L153" s="72">
        <v>0</v>
      </c>
      <c r="M153" s="72">
        <v>0</v>
      </c>
      <c r="N153" s="72">
        <v>854</v>
      </c>
      <c r="O153" s="72">
        <v>0</v>
      </c>
      <c r="P153" s="72">
        <v>854</v>
      </c>
      <c r="Q153" s="75">
        <v>0</v>
      </c>
      <c r="R153" s="75">
        <v>0</v>
      </c>
      <c r="S153" s="72">
        <v>862</v>
      </c>
      <c r="T153" s="72">
        <v>593</v>
      </c>
      <c r="U153" s="72">
        <v>269</v>
      </c>
      <c r="V153" s="78">
        <v>0.68799999999999994</v>
      </c>
      <c r="W153" s="76">
        <v>1699</v>
      </c>
      <c r="X153" s="76">
        <v>1322</v>
      </c>
      <c r="Y153" s="72">
        <v>377</v>
      </c>
      <c r="Z153" s="78">
        <v>0.77800000000000002</v>
      </c>
      <c r="AA153" s="76">
        <v>4633</v>
      </c>
      <c r="AB153" s="76">
        <v>1921</v>
      </c>
      <c r="AC153" s="76">
        <v>2712</v>
      </c>
      <c r="AD153" s="77">
        <v>0.5</v>
      </c>
    </row>
    <row r="154" spans="1:30" ht="12.75" x14ac:dyDescent="0.2">
      <c r="A154" s="72" t="s">
        <v>382</v>
      </c>
      <c r="B154" s="76">
        <v>1442</v>
      </c>
      <c r="C154" s="72">
        <v>63</v>
      </c>
      <c r="D154" s="72">
        <v>63</v>
      </c>
      <c r="E154" s="72">
        <v>0</v>
      </c>
      <c r="F154" s="76">
        <v>1379</v>
      </c>
      <c r="G154" s="73">
        <v>4.3999999999999997E-2</v>
      </c>
      <c r="H154" s="74">
        <v>721</v>
      </c>
      <c r="I154" s="74">
        <v>0</v>
      </c>
      <c r="J154" s="72">
        <v>974</v>
      </c>
      <c r="K154" s="72">
        <v>147</v>
      </c>
      <c r="L154" s="72">
        <v>147</v>
      </c>
      <c r="M154" s="72">
        <v>0</v>
      </c>
      <c r="N154" s="72">
        <v>827</v>
      </c>
      <c r="O154" s="72">
        <v>147</v>
      </c>
      <c r="P154" s="72">
        <v>827</v>
      </c>
      <c r="Q154" s="75">
        <v>0.151</v>
      </c>
      <c r="R154" s="75">
        <v>0.151</v>
      </c>
      <c r="S154" s="76">
        <v>1090</v>
      </c>
      <c r="T154" s="72">
        <v>0</v>
      </c>
      <c r="U154" s="76">
        <v>1090</v>
      </c>
      <c r="V154" s="75">
        <v>0</v>
      </c>
      <c r="W154" s="76">
        <v>2471</v>
      </c>
      <c r="X154" s="76">
        <v>1918</v>
      </c>
      <c r="Y154" s="72">
        <v>553</v>
      </c>
      <c r="Z154" s="78">
        <v>0.77600000000000002</v>
      </c>
      <c r="AA154" s="76">
        <v>5977</v>
      </c>
      <c r="AB154" s="76">
        <v>2128</v>
      </c>
      <c r="AC154" s="76">
        <v>3849</v>
      </c>
      <c r="AD154" s="77">
        <v>0.5</v>
      </c>
    </row>
    <row r="155" spans="1:30" ht="12.75" x14ac:dyDescent="0.2">
      <c r="A155" s="72" t="s">
        <v>384</v>
      </c>
      <c r="B155" s="72">
        <v>5</v>
      </c>
      <c r="C155" s="72">
        <v>0</v>
      </c>
      <c r="D155" s="72">
        <v>0</v>
      </c>
      <c r="E155" s="72">
        <v>0</v>
      </c>
      <c r="F155" s="72">
        <v>5</v>
      </c>
      <c r="G155" s="73">
        <v>0</v>
      </c>
      <c r="H155" s="74">
        <v>5</v>
      </c>
      <c r="I155" s="74">
        <v>0</v>
      </c>
      <c r="J155" s="72">
        <v>3</v>
      </c>
      <c r="K155" s="72">
        <v>2</v>
      </c>
      <c r="L155" s="72">
        <v>2</v>
      </c>
      <c r="M155" s="72">
        <v>0</v>
      </c>
      <c r="N155" s="72">
        <v>1</v>
      </c>
      <c r="O155" s="72">
        <v>2</v>
      </c>
      <c r="P155" s="72">
        <v>1</v>
      </c>
      <c r="Q155" s="75">
        <v>0.66700000000000004</v>
      </c>
      <c r="R155" s="75">
        <v>0.66700000000000004</v>
      </c>
      <c r="S155" s="72">
        <v>3</v>
      </c>
      <c r="T155" s="72">
        <v>0</v>
      </c>
      <c r="U155" s="72">
        <v>3</v>
      </c>
      <c r="V155" s="75">
        <v>0</v>
      </c>
      <c r="W155" s="72">
        <v>9</v>
      </c>
      <c r="X155" s="72">
        <v>12</v>
      </c>
      <c r="Y155" s="72">
        <v>0</v>
      </c>
      <c r="Z155" s="78">
        <v>1.333</v>
      </c>
      <c r="AA155" s="72">
        <v>20</v>
      </c>
      <c r="AB155" s="72">
        <v>14</v>
      </c>
      <c r="AC155" s="72">
        <v>9</v>
      </c>
      <c r="AD155" s="77">
        <v>1</v>
      </c>
    </row>
    <row r="156" spans="1:30" ht="12.75" x14ac:dyDescent="0.2">
      <c r="A156" s="72" t="s">
        <v>386</v>
      </c>
      <c r="B156" s="72">
        <v>2</v>
      </c>
      <c r="C156" s="72">
        <v>0</v>
      </c>
      <c r="D156" s="72">
        <v>0</v>
      </c>
      <c r="E156" s="72">
        <v>0</v>
      </c>
      <c r="F156" s="72">
        <v>2</v>
      </c>
      <c r="G156" s="73">
        <v>0</v>
      </c>
      <c r="H156" s="74">
        <v>2</v>
      </c>
      <c r="I156" s="74">
        <v>0</v>
      </c>
      <c r="J156" s="72">
        <v>1</v>
      </c>
      <c r="K156" s="72">
        <v>0</v>
      </c>
      <c r="L156" s="72">
        <v>0</v>
      </c>
      <c r="M156" s="72">
        <v>0</v>
      </c>
      <c r="N156" s="72">
        <v>1</v>
      </c>
      <c r="O156" s="72">
        <v>0</v>
      </c>
      <c r="P156" s="72">
        <v>1</v>
      </c>
      <c r="Q156" s="75">
        <v>0</v>
      </c>
      <c r="R156" s="75">
        <v>0</v>
      </c>
      <c r="S156" s="72">
        <v>2</v>
      </c>
      <c r="T156" s="72">
        <v>0</v>
      </c>
      <c r="U156" s="72">
        <v>2</v>
      </c>
      <c r="V156" s="75">
        <v>0</v>
      </c>
      <c r="W156" s="72">
        <v>4</v>
      </c>
      <c r="X156" s="72">
        <v>0</v>
      </c>
      <c r="Y156" s="72">
        <v>4</v>
      </c>
      <c r="Z156" s="75">
        <v>0</v>
      </c>
      <c r="AA156" s="72">
        <v>9</v>
      </c>
      <c r="AB156" s="72">
        <v>0</v>
      </c>
      <c r="AC156" s="72">
        <v>9</v>
      </c>
      <c r="AD156" s="77">
        <v>1</v>
      </c>
    </row>
    <row r="157" spans="1:30" ht="12.75" x14ac:dyDescent="0.2">
      <c r="A157" s="72" t="s">
        <v>387</v>
      </c>
      <c r="B157" s="72">
        <v>39</v>
      </c>
      <c r="C157" s="72">
        <v>0</v>
      </c>
      <c r="D157" s="72">
        <v>0</v>
      </c>
      <c r="E157" s="72">
        <v>0</v>
      </c>
      <c r="F157" s="72">
        <v>39</v>
      </c>
      <c r="G157" s="73">
        <v>0</v>
      </c>
      <c r="H157" s="74">
        <v>39</v>
      </c>
      <c r="I157" s="74">
        <v>0</v>
      </c>
      <c r="J157" s="72">
        <v>24</v>
      </c>
      <c r="K157" s="72">
        <v>0</v>
      </c>
      <c r="L157" s="72">
        <v>0</v>
      </c>
      <c r="M157" s="72">
        <v>0</v>
      </c>
      <c r="N157" s="72">
        <v>24</v>
      </c>
      <c r="O157" s="72">
        <v>0</v>
      </c>
      <c r="P157" s="72">
        <v>24</v>
      </c>
      <c r="Q157" s="75">
        <v>0</v>
      </c>
      <c r="R157" s="75">
        <v>0</v>
      </c>
      <c r="S157" s="72">
        <v>27</v>
      </c>
      <c r="T157" s="72">
        <v>20</v>
      </c>
      <c r="U157" s="72">
        <v>7</v>
      </c>
      <c r="V157" s="75">
        <v>0.74099999999999999</v>
      </c>
      <c r="W157" s="72">
        <v>71</v>
      </c>
      <c r="X157" s="72">
        <v>25</v>
      </c>
      <c r="Y157" s="72">
        <v>46</v>
      </c>
      <c r="Z157" s="75">
        <v>0.35199999999999998</v>
      </c>
      <c r="AA157" s="72">
        <v>161</v>
      </c>
      <c r="AB157" s="72">
        <v>45</v>
      </c>
      <c r="AC157" s="72">
        <v>116</v>
      </c>
      <c r="AD157" s="77">
        <v>1</v>
      </c>
    </row>
    <row r="158" spans="1:30" ht="12.75" x14ac:dyDescent="0.2">
      <c r="A158" s="72" t="s">
        <v>389</v>
      </c>
      <c r="B158" s="72">
        <v>148</v>
      </c>
      <c r="C158" s="72">
        <v>84</v>
      </c>
      <c r="D158" s="72">
        <v>83</v>
      </c>
      <c r="E158" s="72">
        <v>1</v>
      </c>
      <c r="F158" s="72">
        <v>64</v>
      </c>
      <c r="G158" s="79">
        <v>0.56799999999999995</v>
      </c>
      <c r="H158" s="74">
        <v>74</v>
      </c>
      <c r="I158" s="74">
        <v>10</v>
      </c>
      <c r="J158" s="72">
        <v>87</v>
      </c>
      <c r="K158" s="72">
        <v>49</v>
      </c>
      <c r="L158" s="72">
        <v>49</v>
      </c>
      <c r="M158" s="72">
        <v>0</v>
      </c>
      <c r="N158" s="72">
        <v>38</v>
      </c>
      <c r="O158" s="72">
        <v>59</v>
      </c>
      <c r="P158" s="72">
        <v>28</v>
      </c>
      <c r="Q158" s="78">
        <v>0.56299999999999994</v>
      </c>
      <c r="R158" s="78">
        <v>0.67800000000000005</v>
      </c>
      <c r="S158" s="72">
        <v>76</v>
      </c>
      <c r="T158" s="72">
        <v>14</v>
      </c>
      <c r="U158" s="72">
        <v>62</v>
      </c>
      <c r="V158" s="75">
        <v>0.184</v>
      </c>
      <c r="W158" s="72">
        <v>119</v>
      </c>
      <c r="X158" s="72">
        <v>637</v>
      </c>
      <c r="Y158" s="72">
        <v>0</v>
      </c>
      <c r="Z158" s="78">
        <v>5.3529999999999998</v>
      </c>
      <c r="AA158" s="72">
        <v>430</v>
      </c>
      <c r="AB158" s="72">
        <v>784</v>
      </c>
      <c r="AC158" s="72">
        <v>164</v>
      </c>
      <c r="AD158" s="77">
        <v>0.5</v>
      </c>
    </row>
    <row r="159" spans="1:30" ht="12.75" x14ac:dyDescent="0.2">
      <c r="A159" s="72" t="s">
        <v>391</v>
      </c>
      <c r="B159" s="72">
        <v>83</v>
      </c>
      <c r="C159" s="72">
        <v>0</v>
      </c>
      <c r="D159" s="72">
        <v>0</v>
      </c>
      <c r="E159" s="72">
        <v>0</v>
      </c>
      <c r="F159" s="72">
        <v>83</v>
      </c>
      <c r="G159" s="73">
        <v>0</v>
      </c>
      <c r="H159" s="74">
        <v>42</v>
      </c>
      <c r="I159" s="74">
        <v>0</v>
      </c>
      <c r="J159" s="72">
        <v>59</v>
      </c>
      <c r="K159" s="72">
        <v>13</v>
      </c>
      <c r="L159" s="72">
        <v>0</v>
      </c>
      <c r="M159" s="72">
        <v>13</v>
      </c>
      <c r="N159" s="72">
        <v>46</v>
      </c>
      <c r="O159" s="72">
        <v>13</v>
      </c>
      <c r="P159" s="72">
        <v>46</v>
      </c>
      <c r="Q159" s="75">
        <v>0.22</v>
      </c>
      <c r="R159" s="75">
        <v>0.22</v>
      </c>
      <c r="S159" s="72">
        <v>65</v>
      </c>
      <c r="T159" s="72">
        <v>6</v>
      </c>
      <c r="U159" s="72">
        <v>59</v>
      </c>
      <c r="V159" s="75">
        <v>9.1999999999999998E-2</v>
      </c>
      <c r="W159" s="72">
        <v>151</v>
      </c>
      <c r="X159" s="72">
        <v>34</v>
      </c>
      <c r="Y159" s="72">
        <v>117</v>
      </c>
      <c r="Z159" s="75">
        <v>0.22500000000000001</v>
      </c>
      <c r="AA159" s="72">
        <v>358</v>
      </c>
      <c r="AB159" s="72">
        <v>53</v>
      </c>
      <c r="AC159" s="72">
        <v>305</v>
      </c>
      <c r="AD159" s="77">
        <v>0.5</v>
      </c>
    </row>
    <row r="160" spans="1:30" ht="12.75" x14ac:dyDescent="0.2">
      <c r="A160" s="72" t="s">
        <v>392</v>
      </c>
      <c r="B160" s="72">
        <v>123</v>
      </c>
      <c r="C160" s="72">
        <v>0</v>
      </c>
      <c r="D160" s="72">
        <v>0</v>
      </c>
      <c r="E160" s="72">
        <v>0</v>
      </c>
      <c r="F160" s="72">
        <v>123</v>
      </c>
      <c r="G160" s="73">
        <v>0</v>
      </c>
      <c r="H160" s="74">
        <v>46</v>
      </c>
      <c r="I160" s="74">
        <v>0</v>
      </c>
      <c r="J160" s="72">
        <v>83</v>
      </c>
      <c r="K160" s="72">
        <v>0</v>
      </c>
      <c r="L160" s="72">
        <v>0</v>
      </c>
      <c r="M160" s="72">
        <v>0</v>
      </c>
      <c r="N160" s="72">
        <v>83</v>
      </c>
      <c r="O160" s="72">
        <v>0</v>
      </c>
      <c r="P160" s="72">
        <v>83</v>
      </c>
      <c r="Q160" s="75">
        <v>0</v>
      </c>
      <c r="R160" s="75">
        <v>0</v>
      </c>
      <c r="S160" s="72">
        <v>75</v>
      </c>
      <c r="T160" s="72">
        <v>0</v>
      </c>
      <c r="U160" s="72">
        <v>75</v>
      </c>
      <c r="V160" s="75">
        <v>0</v>
      </c>
      <c r="W160" s="72">
        <v>243</v>
      </c>
      <c r="X160" s="72">
        <v>0</v>
      </c>
      <c r="Y160" s="72">
        <v>243</v>
      </c>
      <c r="Z160" s="75">
        <v>0</v>
      </c>
      <c r="AA160" s="72">
        <v>524</v>
      </c>
      <c r="AB160" s="72">
        <v>0</v>
      </c>
      <c r="AC160" s="72">
        <v>524</v>
      </c>
      <c r="AD160" s="77">
        <v>0.375</v>
      </c>
    </row>
    <row r="161" spans="1:30" ht="12.75" x14ac:dyDescent="0.2">
      <c r="A161" s="72" t="s">
        <v>168</v>
      </c>
      <c r="B161" s="76">
        <v>1714</v>
      </c>
      <c r="C161" s="72">
        <v>317</v>
      </c>
      <c r="D161" s="72">
        <v>317</v>
      </c>
      <c r="E161" s="72">
        <v>0</v>
      </c>
      <c r="F161" s="76">
        <v>1397</v>
      </c>
      <c r="G161" s="73">
        <v>0.185</v>
      </c>
      <c r="H161" s="74">
        <v>857</v>
      </c>
      <c r="I161" s="74">
        <v>0</v>
      </c>
      <c r="J161" s="72">
        <v>926</v>
      </c>
      <c r="K161" s="72">
        <v>317</v>
      </c>
      <c r="L161" s="72">
        <v>317</v>
      </c>
      <c r="M161" s="72">
        <v>0</v>
      </c>
      <c r="N161" s="72">
        <v>609</v>
      </c>
      <c r="O161" s="72">
        <v>317</v>
      </c>
      <c r="P161" s="72">
        <v>609</v>
      </c>
      <c r="Q161" s="75">
        <v>0.34200000000000003</v>
      </c>
      <c r="R161" s="75">
        <v>0.34200000000000003</v>
      </c>
      <c r="S161" s="72">
        <v>978</v>
      </c>
      <c r="T161" s="72">
        <v>19</v>
      </c>
      <c r="U161" s="72">
        <v>959</v>
      </c>
      <c r="V161" s="75">
        <v>1.9E-2</v>
      </c>
      <c r="W161" s="76">
        <v>1837</v>
      </c>
      <c r="X161" s="76">
        <v>4315</v>
      </c>
      <c r="Y161" s="72">
        <v>0</v>
      </c>
      <c r="Z161" s="78">
        <v>2.3490000000000002</v>
      </c>
      <c r="AA161" s="76">
        <v>5455</v>
      </c>
      <c r="AB161" s="76">
        <v>4968</v>
      </c>
      <c r="AC161" s="76">
        <v>2965</v>
      </c>
      <c r="AD161" s="77">
        <v>0.5</v>
      </c>
    </row>
    <row r="162" spans="1:30" ht="12.75" x14ac:dyDescent="0.2">
      <c r="A162" s="83" t="s">
        <v>125</v>
      </c>
      <c r="B162" s="76">
        <v>5666</v>
      </c>
      <c r="C162" s="72">
        <v>448</v>
      </c>
      <c r="D162" s="72">
        <v>448</v>
      </c>
      <c r="E162" s="72">
        <v>0</v>
      </c>
      <c r="F162" s="76">
        <v>5218</v>
      </c>
      <c r="G162" s="73">
        <v>7.9000000000000001E-2</v>
      </c>
      <c r="H162" s="74">
        <v>2125</v>
      </c>
      <c r="I162" s="74">
        <v>0</v>
      </c>
      <c r="J162" s="76">
        <v>3289</v>
      </c>
      <c r="K162" s="72">
        <v>280</v>
      </c>
      <c r="L162" s="72">
        <v>280</v>
      </c>
      <c r="M162" s="72">
        <v>0</v>
      </c>
      <c r="N162" s="76">
        <v>3009</v>
      </c>
      <c r="O162" s="72">
        <v>280</v>
      </c>
      <c r="P162" s="76">
        <v>3009</v>
      </c>
      <c r="Q162" s="75">
        <v>8.5000000000000006E-2</v>
      </c>
      <c r="R162" s="75">
        <v>8.5000000000000006E-2</v>
      </c>
      <c r="S162" s="76">
        <v>3571</v>
      </c>
      <c r="T162" s="76">
        <v>1505</v>
      </c>
      <c r="U162" s="76">
        <v>2066</v>
      </c>
      <c r="V162" s="78">
        <v>0.42099999999999999</v>
      </c>
      <c r="W162" s="76">
        <v>11039</v>
      </c>
      <c r="X162" s="76">
        <v>5129</v>
      </c>
      <c r="Y162" s="76">
        <v>5910</v>
      </c>
      <c r="Z162" s="78">
        <v>0.46500000000000002</v>
      </c>
      <c r="AA162" s="76">
        <v>23565</v>
      </c>
      <c r="AB162" s="76">
        <v>7362</v>
      </c>
      <c r="AC162" s="76">
        <v>16203</v>
      </c>
      <c r="AD162" s="77">
        <v>0.375</v>
      </c>
    </row>
    <row r="163" spans="1:30" ht="12.75" x14ac:dyDescent="0.2">
      <c r="A163" s="83" t="s">
        <v>358</v>
      </c>
      <c r="B163" s="72">
        <v>460</v>
      </c>
      <c r="C163" s="72">
        <v>28</v>
      </c>
      <c r="D163" s="72">
        <v>2</v>
      </c>
      <c r="E163" s="72">
        <v>26</v>
      </c>
      <c r="F163" s="72">
        <v>432</v>
      </c>
      <c r="G163" s="73">
        <v>6.0999999999999999E-2</v>
      </c>
      <c r="H163" s="74">
        <v>173</v>
      </c>
      <c r="I163" s="74">
        <v>0</v>
      </c>
      <c r="J163" s="72">
        <v>527</v>
      </c>
      <c r="K163" s="72">
        <v>9</v>
      </c>
      <c r="L163" s="72">
        <v>0</v>
      </c>
      <c r="M163" s="72">
        <v>9</v>
      </c>
      <c r="N163" s="72">
        <v>518</v>
      </c>
      <c r="O163" s="72">
        <v>9</v>
      </c>
      <c r="P163" s="72">
        <v>518</v>
      </c>
      <c r="Q163" s="75">
        <v>1.7000000000000001E-2</v>
      </c>
      <c r="R163" s="75">
        <v>1.7000000000000001E-2</v>
      </c>
      <c r="S163" s="72">
        <v>589</v>
      </c>
      <c r="T163" s="72">
        <v>237</v>
      </c>
      <c r="U163" s="72">
        <v>352</v>
      </c>
      <c r="V163" s="78">
        <v>0.40200000000000002</v>
      </c>
      <c r="W163" s="76">
        <v>1146</v>
      </c>
      <c r="X163" s="72">
        <v>271</v>
      </c>
      <c r="Y163" s="72">
        <v>875</v>
      </c>
      <c r="Z163" s="75">
        <v>0.23599999999999999</v>
      </c>
      <c r="AA163" s="76">
        <v>2722</v>
      </c>
      <c r="AB163" s="72">
        <v>545</v>
      </c>
      <c r="AC163" s="76">
        <v>2177</v>
      </c>
      <c r="AD163" s="77">
        <v>0.375</v>
      </c>
    </row>
    <row r="164" spans="1:30" ht="12.75" x14ac:dyDescent="0.2">
      <c r="A164" s="83" t="s">
        <v>394</v>
      </c>
      <c r="B164" s="72">
        <v>411</v>
      </c>
      <c r="C164" s="72">
        <v>264</v>
      </c>
      <c r="D164" s="72">
        <v>116</v>
      </c>
      <c r="E164" s="72">
        <v>148</v>
      </c>
      <c r="F164" s="72">
        <v>147</v>
      </c>
      <c r="G164" s="79">
        <v>0.64200000000000002</v>
      </c>
      <c r="H164" s="74">
        <v>206</v>
      </c>
      <c r="I164" s="74">
        <v>58</v>
      </c>
      <c r="J164" s="72">
        <v>299</v>
      </c>
      <c r="K164" s="72">
        <v>133</v>
      </c>
      <c r="L164" s="72">
        <v>133</v>
      </c>
      <c r="M164" s="72">
        <v>0</v>
      </c>
      <c r="N164" s="72">
        <v>166</v>
      </c>
      <c r="O164" s="72">
        <v>191</v>
      </c>
      <c r="P164" s="72">
        <v>108</v>
      </c>
      <c r="Q164" s="75">
        <v>0.44500000000000001</v>
      </c>
      <c r="R164" s="78">
        <v>0.63900000000000001</v>
      </c>
      <c r="S164" s="72">
        <v>337</v>
      </c>
      <c r="T164" s="72">
        <v>3</v>
      </c>
      <c r="U164" s="72">
        <v>334</v>
      </c>
      <c r="V164" s="75">
        <v>8.9999999999999993E-3</v>
      </c>
      <c r="W164" s="72">
        <v>794</v>
      </c>
      <c r="X164" s="72">
        <v>843</v>
      </c>
      <c r="Y164" s="72">
        <v>0</v>
      </c>
      <c r="Z164" s="78">
        <v>1.0620000000000001</v>
      </c>
      <c r="AA164" s="76">
        <v>1841</v>
      </c>
      <c r="AB164" s="76">
        <v>1243</v>
      </c>
      <c r="AC164" s="72">
        <v>647</v>
      </c>
      <c r="AD164" s="77">
        <v>0.5</v>
      </c>
    </row>
    <row r="165" spans="1:30" ht="12.75" x14ac:dyDescent="0.2">
      <c r="A165" s="83" t="s">
        <v>395</v>
      </c>
      <c r="B165" s="72">
        <v>131</v>
      </c>
      <c r="C165" s="72">
        <v>0</v>
      </c>
      <c r="D165" s="72">
        <v>0</v>
      </c>
      <c r="E165" s="72">
        <v>0</v>
      </c>
      <c r="F165" s="72">
        <v>131</v>
      </c>
      <c r="G165" s="73">
        <v>0</v>
      </c>
      <c r="H165" s="74">
        <v>66</v>
      </c>
      <c r="I165" s="74">
        <v>0</v>
      </c>
      <c r="J165" s="72">
        <v>91</v>
      </c>
      <c r="K165" s="72">
        <v>14</v>
      </c>
      <c r="L165" s="72">
        <v>0</v>
      </c>
      <c r="M165" s="72">
        <v>14</v>
      </c>
      <c r="N165" s="72">
        <v>77</v>
      </c>
      <c r="O165" s="72">
        <v>14</v>
      </c>
      <c r="P165" s="72">
        <v>77</v>
      </c>
      <c r="Q165" s="75">
        <v>0.154</v>
      </c>
      <c r="R165" s="75">
        <v>0.154</v>
      </c>
      <c r="S165" s="72">
        <v>126</v>
      </c>
      <c r="T165" s="72">
        <v>0</v>
      </c>
      <c r="U165" s="72">
        <v>126</v>
      </c>
      <c r="V165" s="75">
        <v>0</v>
      </c>
      <c r="W165" s="72">
        <v>331</v>
      </c>
      <c r="X165" s="72">
        <v>344</v>
      </c>
      <c r="Y165" s="72">
        <v>0</v>
      </c>
      <c r="Z165" s="78">
        <v>1.0389999999999999</v>
      </c>
      <c r="AA165" s="72">
        <v>679</v>
      </c>
      <c r="AB165" s="72">
        <v>358</v>
      </c>
      <c r="AC165" s="72">
        <v>334</v>
      </c>
      <c r="AD165" s="77">
        <v>0.5</v>
      </c>
    </row>
    <row r="166" spans="1:30" ht="12.75" x14ac:dyDescent="0.2">
      <c r="A166" s="83" t="s">
        <v>396</v>
      </c>
      <c r="B166" s="72">
        <v>164</v>
      </c>
      <c r="C166" s="72">
        <v>13</v>
      </c>
      <c r="D166" s="72">
        <v>13</v>
      </c>
      <c r="E166" s="72">
        <v>0</v>
      </c>
      <c r="F166" s="72">
        <v>151</v>
      </c>
      <c r="G166" s="73">
        <v>7.9000000000000001E-2</v>
      </c>
      <c r="H166" s="74">
        <v>82</v>
      </c>
      <c r="I166" s="74">
        <v>0</v>
      </c>
      <c r="J166" s="72">
        <v>120</v>
      </c>
      <c r="K166" s="72">
        <v>47</v>
      </c>
      <c r="L166" s="72">
        <v>47</v>
      </c>
      <c r="M166" s="72">
        <v>0</v>
      </c>
      <c r="N166" s="72">
        <v>73</v>
      </c>
      <c r="O166" s="72">
        <v>47</v>
      </c>
      <c r="P166" s="72">
        <v>73</v>
      </c>
      <c r="Q166" s="75">
        <v>0.39200000000000002</v>
      </c>
      <c r="R166" s="75">
        <v>0.39200000000000002</v>
      </c>
      <c r="S166" s="72">
        <v>135</v>
      </c>
      <c r="T166" s="72">
        <v>79</v>
      </c>
      <c r="U166" s="72">
        <v>56</v>
      </c>
      <c r="V166" s="78">
        <v>0.58499999999999996</v>
      </c>
      <c r="W166" s="72">
        <v>328</v>
      </c>
      <c r="X166" s="72">
        <v>102</v>
      </c>
      <c r="Y166" s="72">
        <v>226</v>
      </c>
      <c r="Z166" s="75">
        <v>0.311</v>
      </c>
      <c r="AA166" s="72">
        <v>747</v>
      </c>
      <c r="AB166" s="72">
        <v>241</v>
      </c>
      <c r="AC166" s="72">
        <v>506</v>
      </c>
      <c r="AD166" s="77">
        <v>0.5</v>
      </c>
    </row>
    <row r="167" spans="1:30" ht="12.75" x14ac:dyDescent="0.2">
      <c r="A167" s="83" t="s">
        <v>397</v>
      </c>
      <c r="B167" s="72">
        <v>98</v>
      </c>
      <c r="C167" s="72">
        <v>0</v>
      </c>
      <c r="D167" s="72">
        <v>0</v>
      </c>
      <c r="E167" s="72">
        <v>0</v>
      </c>
      <c r="F167" s="72">
        <v>98</v>
      </c>
      <c r="G167" s="73">
        <v>0</v>
      </c>
      <c r="H167" s="74">
        <v>49</v>
      </c>
      <c r="I167" s="74">
        <v>0</v>
      </c>
      <c r="J167" s="72">
        <v>60</v>
      </c>
      <c r="K167" s="72">
        <v>0</v>
      </c>
      <c r="L167" s="72">
        <v>0</v>
      </c>
      <c r="M167" s="72">
        <v>0</v>
      </c>
      <c r="N167" s="72">
        <v>60</v>
      </c>
      <c r="O167" s="72">
        <v>0</v>
      </c>
      <c r="P167" s="72">
        <v>60</v>
      </c>
      <c r="Q167" s="75">
        <v>0</v>
      </c>
      <c r="R167" s="75">
        <v>0</v>
      </c>
      <c r="S167" s="72">
        <v>66</v>
      </c>
      <c r="T167" s="72">
        <v>54</v>
      </c>
      <c r="U167" s="72">
        <v>12</v>
      </c>
      <c r="V167" s="78">
        <v>0.81799999999999995</v>
      </c>
      <c r="W167" s="72">
        <v>173</v>
      </c>
      <c r="X167" s="72">
        <v>305</v>
      </c>
      <c r="Y167" s="72">
        <v>0</v>
      </c>
      <c r="Z167" s="78">
        <v>1.7629999999999999</v>
      </c>
      <c r="AA167" s="72">
        <v>397</v>
      </c>
      <c r="AB167" s="72">
        <v>359</v>
      </c>
      <c r="AC167" s="72">
        <v>170</v>
      </c>
      <c r="AD167" s="77">
        <v>0.5</v>
      </c>
    </row>
    <row r="168" spans="1:30" ht="12.75" x14ac:dyDescent="0.2">
      <c r="A168" s="83" t="s">
        <v>398</v>
      </c>
      <c r="B168" s="72">
        <v>236</v>
      </c>
      <c r="C168" s="72">
        <v>63</v>
      </c>
      <c r="D168" s="72">
        <v>63</v>
      </c>
      <c r="E168" s="72">
        <v>0</v>
      </c>
      <c r="F168" s="72">
        <v>173</v>
      </c>
      <c r="G168" s="73">
        <v>0.26700000000000002</v>
      </c>
      <c r="H168" s="74">
        <v>118</v>
      </c>
      <c r="I168" s="74">
        <v>0</v>
      </c>
      <c r="J168" s="72">
        <v>160</v>
      </c>
      <c r="K168" s="72">
        <v>487</v>
      </c>
      <c r="L168" s="72">
        <v>487</v>
      </c>
      <c r="M168" s="72">
        <v>0</v>
      </c>
      <c r="N168" s="72">
        <v>0</v>
      </c>
      <c r="O168" s="72">
        <v>487</v>
      </c>
      <c r="P168" s="72">
        <v>0</v>
      </c>
      <c r="Q168" s="78">
        <v>3.044</v>
      </c>
      <c r="R168" s="78">
        <v>3.044</v>
      </c>
      <c r="S168" s="72">
        <v>217</v>
      </c>
      <c r="T168" s="72">
        <v>14</v>
      </c>
      <c r="U168" s="72">
        <v>203</v>
      </c>
      <c r="V168" s="75">
        <v>6.5000000000000002E-2</v>
      </c>
      <c r="W168" s="72">
        <v>475</v>
      </c>
      <c r="X168" s="72">
        <v>971</v>
      </c>
      <c r="Y168" s="72">
        <v>0</v>
      </c>
      <c r="Z168" s="78">
        <v>2.044</v>
      </c>
      <c r="AA168" s="76">
        <v>1088</v>
      </c>
      <c r="AB168" s="76">
        <v>1535</v>
      </c>
      <c r="AC168" s="72">
        <v>376</v>
      </c>
      <c r="AD168" s="77">
        <v>0.5</v>
      </c>
    </row>
    <row r="169" spans="1:30" ht="12.75" x14ac:dyDescent="0.2">
      <c r="A169" s="83" t="s">
        <v>399</v>
      </c>
      <c r="B169" s="72">
        <v>508</v>
      </c>
      <c r="C169" s="72">
        <v>88</v>
      </c>
      <c r="D169" s="72">
        <v>88</v>
      </c>
      <c r="E169" s="72">
        <v>0</v>
      </c>
      <c r="F169" s="72">
        <v>420</v>
      </c>
      <c r="G169" s="73">
        <v>0.17299999999999999</v>
      </c>
      <c r="H169" s="74">
        <v>254</v>
      </c>
      <c r="I169" s="74">
        <v>0</v>
      </c>
      <c r="J169" s="72">
        <v>310</v>
      </c>
      <c r="K169" s="72">
        <v>97</v>
      </c>
      <c r="L169" s="72">
        <v>97</v>
      </c>
      <c r="M169" s="72">
        <v>0</v>
      </c>
      <c r="N169" s="72">
        <v>213</v>
      </c>
      <c r="O169" s="72">
        <v>97</v>
      </c>
      <c r="P169" s="72">
        <v>213</v>
      </c>
      <c r="Q169" s="75">
        <v>0.313</v>
      </c>
      <c r="R169" s="75">
        <v>0.313</v>
      </c>
      <c r="S169" s="72">
        <v>337</v>
      </c>
      <c r="T169" s="72">
        <v>1</v>
      </c>
      <c r="U169" s="72">
        <v>336</v>
      </c>
      <c r="V169" s="75">
        <v>3.0000000000000001E-3</v>
      </c>
      <c r="W169" s="72">
        <v>862</v>
      </c>
      <c r="X169" s="76">
        <v>3105</v>
      </c>
      <c r="Y169" s="72">
        <v>0</v>
      </c>
      <c r="Z169" s="78">
        <v>3.6019999999999999</v>
      </c>
      <c r="AA169" s="76">
        <v>2017</v>
      </c>
      <c r="AB169" s="76">
        <v>3291</v>
      </c>
      <c r="AC169" s="72">
        <v>969</v>
      </c>
      <c r="AD169" s="77">
        <v>0.5</v>
      </c>
    </row>
    <row r="170" spans="1:30" ht="12.75" x14ac:dyDescent="0.2">
      <c r="A170" s="83" t="s">
        <v>401</v>
      </c>
      <c r="B170" s="72">
        <v>171</v>
      </c>
      <c r="C170" s="72">
        <v>0</v>
      </c>
      <c r="D170" s="72">
        <v>0</v>
      </c>
      <c r="E170" s="72">
        <v>0</v>
      </c>
      <c r="F170" s="72">
        <v>171</v>
      </c>
      <c r="G170" s="73">
        <v>0</v>
      </c>
      <c r="H170" s="74">
        <v>86</v>
      </c>
      <c r="I170" s="74">
        <v>0</v>
      </c>
      <c r="J170" s="72">
        <v>100</v>
      </c>
      <c r="K170" s="72">
        <v>0</v>
      </c>
      <c r="L170" s="72">
        <v>0</v>
      </c>
      <c r="M170" s="72">
        <v>0</v>
      </c>
      <c r="N170" s="72">
        <v>100</v>
      </c>
      <c r="O170" s="72">
        <v>0</v>
      </c>
      <c r="P170" s="72">
        <v>100</v>
      </c>
      <c r="Q170" s="75">
        <v>0</v>
      </c>
      <c r="R170" s="75">
        <v>0</v>
      </c>
      <c r="S170" s="72">
        <v>108</v>
      </c>
      <c r="T170" s="72">
        <v>0</v>
      </c>
      <c r="U170" s="72">
        <v>108</v>
      </c>
      <c r="V170" s="75">
        <v>0</v>
      </c>
      <c r="W170" s="72">
        <v>267</v>
      </c>
      <c r="X170" s="72">
        <v>534</v>
      </c>
      <c r="Y170" s="72">
        <v>0</v>
      </c>
      <c r="Z170" s="78">
        <v>2</v>
      </c>
      <c r="AA170" s="72">
        <v>646</v>
      </c>
      <c r="AB170" s="72">
        <v>534</v>
      </c>
      <c r="AC170" s="72">
        <v>379</v>
      </c>
      <c r="AD170" s="77">
        <v>0.5</v>
      </c>
    </row>
    <row r="171" spans="1:30" ht="12.75" x14ac:dyDescent="0.2">
      <c r="A171" s="83" t="s">
        <v>385</v>
      </c>
      <c r="B171" s="72">
        <v>25</v>
      </c>
      <c r="C171" s="72">
        <v>10</v>
      </c>
      <c r="D171" s="72">
        <v>6</v>
      </c>
      <c r="E171" s="72">
        <v>4</v>
      </c>
      <c r="F171" s="72">
        <v>15</v>
      </c>
      <c r="G171" s="73">
        <v>0.4</v>
      </c>
      <c r="H171" s="74">
        <v>25</v>
      </c>
      <c r="I171" s="74">
        <v>0</v>
      </c>
      <c r="J171" s="72">
        <v>19</v>
      </c>
      <c r="K171" s="72">
        <v>10</v>
      </c>
      <c r="L171" s="72">
        <v>2</v>
      </c>
      <c r="M171" s="72">
        <v>8</v>
      </c>
      <c r="N171" s="72">
        <v>9</v>
      </c>
      <c r="O171" s="72">
        <v>10</v>
      </c>
      <c r="P171" s="72">
        <v>9</v>
      </c>
      <c r="Q171" s="75">
        <v>0.52600000000000002</v>
      </c>
      <c r="R171" s="75">
        <v>0.52600000000000002</v>
      </c>
      <c r="S171" s="72">
        <v>25</v>
      </c>
      <c r="T171" s="72">
        <v>9</v>
      </c>
      <c r="U171" s="72">
        <v>16</v>
      </c>
      <c r="V171" s="75">
        <v>0.36</v>
      </c>
      <c r="W171" s="72">
        <v>48</v>
      </c>
      <c r="X171" s="72">
        <v>30</v>
      </c>
      <c r="Y171" s="72">
        <v>18</v>
      </c>
      <c r="Z171" s="75">
        <v>0.625</v>
      </c>
      <c r="AA171" s="72">
        <v>117</v>
      </c>
      <c r="AB171" s="72">
        <v>59</v>
      </c>
      <c r="AC171" s="72">
        <v>58</v>
      </c>
      <c r="AD171" s="77">
        <v>1</v>
      </c>
    </row>
    <row r="172" spans="1:30" ht="12.75" x14ac:dyDescent="0.2">
      <c r="A172" s="83" t="s">
        <v>402</v>
      </c>
      <c r="B172" s="72">
        <v>235</v>
      </c>
      <c r="C172" s="72">
        <v>0</v>
      </c>
      <c r="D172" s="72">
        <v>0</v>
      </c>
      <c r="E172" s="72">
        <v>0</v>
      </c>
      <c r="F172" s="72">
        <v>235</v>
      </c>
      <c r="G172" s="73">
        <v>0</v>
      </c>
      <c r="H172" s="74">
        <v>118</v>
      </c>
      <c r="I172" s="74">
        <v>0</v>
      </c>
      <c r="J172" s="72">
        <v>157</v>
      </c>
      <c r="K172" s="72">
        <v>69</v>
      </c>
      <c r="L172" s="72">
        <v>69</v>
      </c>
      <c r="M172" s="72">
        <v>0</v>
      </c>
      <c r="N172" s="72">
        <v>88</v>
      </c>
      <c r="O172" s="72">
        <v>69</v>
      </c>
      <c r="P172" s="72">
        <v>88</v>
      </c>
      <c r="Q172" s="75">
        <v>0.439</v>
      </c>
      <c r="R172" s="75">
        <v>0.439</v>
      </c>
      <c r="S172" s="72">
        <v>174</v>
      </c>
      <c r="T172" s="72">
        <v>5</v>
      </c>
      <c r="U172" s="72">
        <v>169</v>
      </c>
      <c r="V172" s="75">
        <v>2.9000000000000001E-2</v>
      </c>
      <c r="W172" s="72">
        <v>413</v>
      </c>
      <c r="X172" s="72">
        <v>564</v>
      </c>
      <c r="Y172" s="72">
        <v>0</v>
      </c>
      <c r="Z172" s="78">
        <v>1.3660000000000001</v>
      </c>
      <c r="AA172" s="72">
        <v>979</v>
      </c>
      <c r="AB172" s="72">
        <v>638</v>
      </c>
      <c r="AC172" s="72">
        <v>492</v>
      </c>
      <c r="AD172" s="77">
        <v>0.5</v>
      </c>
    </row>
    <row r="173" spans="1:30" ht="12.75" x14ac:dyDescent="0.2">
      <c r="A173" s="83" t="s">
        <v>405</v>
      </c>
      <c r="B173" s="72">
        <v>71</v>
      </c>
      <c r="C173" s="72">
        <v>0</v>
      </c>
      <c r="D173" s="72">
        <v>0</v>
      </c>
      <c r="E173" s="72">
        <v>0</v>
      </c>
      <c r="F173" s="72">
        <v>71</v>
      </c>
      <c r="G173" s="73">
        <v>0</v>
      </c>
      <c r="H173" s="74">
        <v>27</v>
      </c>
      <c r="I173" s="74">
        <v>0</v>
      </c>
      <c r="J173" s="72">
        <v>46</v>
      </c>
      <c r="K173" s="72">
        <v>0</v>
      </c>
      <c r="L173" s="72">
        <v>0</v>
      </c>
      <c r="M173" s="72">
        <v>0</v>
      </c>
      <c r="N173" s="72">
        <v>46</v>
      </c>
      <c r="O173" s="72">
        <v>0</v>
      </c>
      <c r="P173" s="72">
        <v>46</v>
      </c>
      <c r="Q173" s="75">
        <v>0</v>
      </c>
      <c r="R173" s="75">
        <v>0</v>
      </c>
      <c r="S173" s="72">
        <v>53</v>
      </c>
      <c r="T173" s="72">
        <v>0</v>
      </c>
      <c r="U173" s="72">
        <v>53</v>
      </c>
      <c r="V173" s="75">
        <v>0</v>
      </c>
      <c r="W173" s="72">
        <v>123</v>
      </c>
      <c r="X173" s="72">
        <v>0</v>
      </c>
      <c r="Y173" s="72">
        <v>123</v>
      </c>
      <c r="Z173" s="75">
        <v>0</v>
      </c>
      <c r="AA173" s="72">
        <v>293</v>
      </c>
      <c r="AB173" s="72">
        <v>0</v>
      </c>
      <c r="AC173" s="72">
        <v>293</v>
      </c>
      <c r="AD173" s="77">
        <v>0.375</v>
      </c>
    </row>
    <row r="174" spans="1:30" ht="12.75" x14ac:dyDescent="0.2">
      <c r="A174" s="83" t="s">
        <v>407</v>
      </c>
      <c r="B174" s="72">
        <v>28</v>
      </c>
      <c r="C174" s="72">
        <v>1</v>
      </c>
      <c r="D174" s="72">
        <v>1</v>
      </c>
      <c r="E174" s="72">
        <v>0</v>
      </c>
      <c r="F174" s="72">
        <v>27</v>
      </c>
      <c r="G174" s="73">
        <v>3.5999999999999997E-2</v>
      </c>
      <c r="H174" s="74">
        <v>14</v>
      </c>
      <c r="I174" s="74">
        <v>0</v>
      </c>
      <c r="J174" s="72">
        <v>19</v>
      </c>
      <c r="K174" s="72">
        <v>1</v>
      </c>
      <c r="L174" s="72">
        <v>1</v>
      </c>
      <c r="M174" s="72">
        <v>0</v>
      </c>
      <c r="N174" s="72">
        <v>18</v>
      </c>
      <c r="O174" s="72">
        <v>1</v>
      </c>
      <c r="P174" s="72">
        <v>18</v>
      </c>
      <c r="Q174" s="75">
        <v>5.2999999999999999E-2</v>
      </c>
      <c r="R174" s="75">
        <v>5.2999999999999999E-2</v>
      </c>
      <c r="S174" s="72">
        <v>22</v>
      </c>
      <c r="T174" s="72">
        <v>16</v>
      </c>
      <c r="U174" s="72">
        <v>6</v>
      </c>
      <c r="V174" s="78">
        <v>0.72699999999999998</v>
      </c>
      <c r="W174" s="72">
        <v>49</v>
      </c>
      <c r="X174" s="72">
        <v>38</v>
      </c>
      <c r="Y174" s="72">
        <v>11</v>
      </c>
      <c r="Z174" s="78">
        <v>0.77600000000000002</v>
      </c>
      <c r="AA174" s="72">
        <v>118</v>
      </c>
      <c r="AB174" s="72">
        <v>56</v>
      </c>
      <c r="AC174" s="72">
        <v>62</v>
      </c>
      <c r="AD174" s="77">
        <v>0.5</v>
      </c>
    </row>
    <row r="175" spans="1:30" ht="12.75" x14ac:dyDescent="0.2">
      <c r="A175" s="83" t="s">
        <v>408</v>
      </c>
      <c r="B175" s="72">
        <v>122</v>
      </c>
      <c r="C175" s="72">
        <v>15</v>
      </c>
      <c r="D175" s="72">
        <v>15</v>
      </c>
      <c r="E175" s="72">
        <v>0</v>
      </c>
      <c r="F175" s="72">
        <v>107</v>
      </c>
      <c r="G175" s="73">
        <v>0.123</v>
      </c>
      <c r="H175" s="74">
        <v>122</v>
      </c>
      <c r="I175" s="74">
        <v>0</v>
      </c>
      <c r="J175" s="72">
        <v>88</v>
      </c>
      <c r="K175" s="72">
        <v>79</v>
      </c>
      <c r="L175" s="72">
        <v>72</v>
      </c>
      <c r="M175" s="72">
        <v>7</v>
      </c>
      <c r="N175" s="72">
        <v>9</v>
      </c>
      <c r="O175" s="72">
        <v>79</v>
      </c>
      <c r="P175" s="72">
        <v>9</v>
      </c>
      <c r="Q175" s="75">
        <v>0.89800000000000002</v>
      </c>
      <c r="R175" s="75">
        <v>0.89800000000000002</v>
      </c>
      <c r="S175" s="72">
        <v>100</v>
      </c>
      <c r="T175" s="72">
        <v>2</v>
      </c>
      <c r="U175" s="72">
        <v>98</v>
      </c>
      <c r="V175" s="75">
        <v>0.02</v>
      </c>
      <c r="W175" s="72">
        <v>220</v>
      </c>
      <c r="X175" s="72">
        <v>49</v>
      </c>
      <c r="Y175" s="72">
        <v>171</v>
      </c>
      <c r="Z175" s="75">
        <v>0.223</v>
      </c>
      <c r="AA175" s="72">
        <v>530</v>
      </c>
      <c r="AB175" s="72">
        <v>145</v>
      </c>
      <c r="AC175" s="72">
        <v>385</v>
      </c>
      <c r="AD175" s="77">
        <v>1</v>
      </c>
    </row>
    <row r="176" spans="1:30" ht="12.75" x14ac:dyDescent="0.2">
      <c r="A176" s="83" t="s">
        <v>409</v>
      </c>
      <c r="B176" s="72">
        <v>87</v>
      </c>
      <c r="C176" s="72">
        <v>0</v>
      </c>
      <c r="D176" s="72">
        <v>0</v>
      </c>
      <c r="E176" s="72">
        <v>0</v>
      </c>
      <c r="F176" s="72">
        <v>87</v>
      </c>
      <c r="G176" s="73">
        <v>0</v>
      </c>
      <c r="H176" s="74">
        <v>33</v>
      </c>
      <c r="I176" s="74">
        <v>0</v>
      </c>
      <c r="J176" s="72">
        <v>57</v>
      </c>
      <c r="K176" s="72">
        <v>0</v>
      </c>
      <c r="L176" s="72">
        <v>0</v>
      </c>
      <c r="M176" s="72">
        <v>0</v>
      </c>
      <c r="N176" s="72">
        <v>57</v>
      </c>
      <c r="O176" s="72">
        <v>0</v>
      </c>
      <c r="P176" s="72">
        <v>57</v>
      </c>
      <c r="Q176" s="75">
        <v>0</v>
      </c>
      <c r="R176" s="75">
        <v>0</v>
      </c>
      <c r="S176" s="72">
        <v>66</v>
      </c>
      <c r="T176" s="72">
        <v>1</v>
      </c>
      <c r="U176" s="72">
        <v>65</v>
      </c>
      <c r="V176" s="75">
        <v>1.4999999999999999E-2</v>
      </c>
      <c r="W176" s="72">
        <v>153</v>
      </c>
      <c r="X176" s="72">
        <v>1</v>
      </c>
      <c r="Y176" s="72">
        <v>152</v>
      </c>
      <c r="Z176" s="75">
        <v>7.0000000000000001E-3</v>
      </c>
      <c r="AA176" s="72">
        <v>363</v>
      </c>
      <c r="AB176" s="72">
        <v>2</v>
      </c>
      <c r="AC176" s="72">
        <v>361</v>
      </c>
      <c r="AD176" s="77">
        <v>0.375</v>
      </c>
    </row>
    <row r="177" spans="1:30" ht="12.75" x14ac:dyDescent="0.2">
      <c r="A177" s="83" t="s">
        <v>239</v>
      </c>
      <c r="B177" s="72">
        <v>231</v>
      </c>
      <c r="C177" s="72">
        <v>0</v>
      </c>
      <c r="D177" s="72">
        <v>0</v>
      </c>
      <c r="E177" s="72">
        <v>0</v>
      </c>
      <c r="F177" s="72">
        <v>231</v>
      </c>
      <c r="G177" s="73">
        <v>0</v>
      </c>
      <c r="H177" s="74">
        <v>116</v>
      </c>
      <c r="I177" s="74">
        <v>0</v>
      </c>
      <c r="J177" s="72">
        <v>118</v>
      </c>
      <c r="K177" s="72">
        <v>0</v>
      </c>
      <c r="L177" s="72">
        <v>0</v>
      </c>
      <c r="M177" s="72">
        <v>0</v>
      </c>
      <c r="N177" s="72">
        <v>118</v>
      </c>
      <c r="O177" s="72">
        <v>0</v>
      </c>
      <c r="P177" s="72">
        <v>118</v>
      </c>
      <c r="Q177" s="75">
        <v>0</v>
      </c>
      <c r="R177" s="75">
        <v>0</v>
      </c>
      <c r="S177" s="72">
        <v>99</v>
      </c>
      <c r="T177" s="72">
        <v>0</v>
      </c>
      <c r="U177" s="72">
        <v>99</v>
      </c>
      <c r="V177" s="75">
        <v>0</v>
      </c>
      <c r="W177" s="72">
        <v>321</v>
      </c>
      <c r="X177" s="72">
        <v>46</v>
      </c>
      <c r="Y177" s="72">
        <v>275</v>
      </c>
      <c r="Z177" s="75">
        <v>0.14299999999999999</v>
      </c>
      <c r="AA177" s="72">
        <v>769</v>
      </c>
      <c r="AB177" s="72">
        <v>46</v>
      </c>
      <c r="AC177" s="72">
        <v>723</v>
      </c>
      <c r="AD177" s="77">
        <v>0.5</v>
      </c>
    </row>
    <row r="178" spans="1:30" ht="12.75" x14ac:dyDescent="0.2">
      <c r="A178" s="83" t="s">
        <v>410</v>
      </c>
      <c r="B178" s="72">
        <v>41</v>
      </c>
      <c r="C178" s="72">
        <v>0</v>
      </c>
      <c r="D178" s="72">
        <v>0</v>
      </c>
      <c r="E178" s="72">
        <v>0</v>
      </c>
      <c r="F178" s="72">
        <v>41</v>
      </c>
      <c r="G178" s="73">
        <v>0</v>
      </c>
      <c r="H178" s="74">
        <v>41</v>
      </c>
      <c r="I178" s="74">
        <v>0</v>
      </c>
      <c r="J178" s="72">
        <v>26</v>
      </c>
      <c r="K178" s="72">
        <v>9</v>
      </c>
      <c r="L178" s="72">
        <v>9</v>
      </c>
      <c r="M178" s="72">
        <v>0</v>
      </c>
      <c r="N178" s="72">
        <v>17</v>
      </c>
      <c r="O178" s="72">
        <v>9</v>
      </c>
      <c r="P178" s="72">
        <v>17</v>
      </c>
      <c r="Q178" s="75">
        <v>0.34599999999999997</v>
      </c>
      <c r="R178" s="75">
        <v>0.34599999999999997</v>
      </c>
      <c r="S178" s="72">
        <v>29</v>
      </c>
      <c r="T178" s="72">
        <v>0</v>
      </c>
      <c r="U178" s="72">
        <v>29</v>
      </c>
      <c r="V178" s="75">
        <v>0</v>
      </c>
      <c r="W178" s="72">
        <v>69</v>
      </c>
      <c r="X178" s="72">
        <v>105</v>
      </c>
      <c r="Y178" s="72">
        <v>0</v>
      </c>
      <c r="Z178" s="78">
        <v>1.522</v>
      </c>
      <c r="AA178" s="72">
        <v>165</v>
      </c>
      <c r="AB178" s="72">
        <v>114</v>
      </c>
      <c r="AC178" s="72">
        <v>87</v>
      </c>
      <c r="AD178" s="77">
        <v>1</v>
      </c>
    </row>
    <row r="179" spans="1:30" ht="12.75" x14ac:dyDescent="0.2">
      <c r="A179" s="83" t="s">
        <v>413</v>
      </c>
      <c r="B179" s="72">
        <v>12</v>
      </c>
      <c r="C179" s="72">
        <v>30</v>
      </c>
      <c r="D179" s="72">
        <v>30</v>
      </c>
      <c r="E179" s="72">
        <v>0</v>
      </c>
      <c r="F179" s="72">
        <v>0</v>
      </c>
      <c r="G179" s="79">
        <v>2.5</v>
      </c>
      <c r="H179" s="74">
        <v>6</v>
      </c>
      <c r="I179" s="74">
        <v>24</v>
      </c>
      <c r="J179" s="72">
        <v>8</v>
      </c>
      <c r="K179" s="72">
        <v>7</v>
      </c>
      <c r="L179" s="72">
        <v>7</v>
      </c>
      <c r="M179" s="72">
        <v>0</v>
      </c>
      <c r="N179" s="72">
        <v>1</v>
      </c>
      <c r="O179" s="72">
        <v>31</v>
      </c>
      <c r="P179" s="72">
        <v>0</v>
      </c>
      <c r="Q179" s="78">
        <v>0.875</v>
      </c>
      <c r="R179" s="78">
        <v>3.875</v>
      </c>
      <c r="S179" s="72">
        <v>13</v>
      </c>
      <c r="T179" s="72">
        <v>0</v>
      </c>
      <c r="U179" s="72">
        <v>13</v>
      </c>
      <c r="V179" s="75">
        <v>0</v>
      </c>
      <c r="W179" s="72">
        <v>16</v>
      </c>
      <c r="X179" s="72">
        <v>62</v>
      </c>
      <c r="Y179" s="72">
        <v>0</v>
      </c>
      <c r="Z179" s="78">
        <v>3.875</v>
      </c>
      <c r="AA179" s="72">
        <v>49</v>
      </c>
      <c r="AB179" s="72">
        <v>99</v>
      </c>
      <c r="AC179" s="72">
        <v>14</v>
      </c>
      <c r="AD179" s="77">
        <v>0.5</v>
      </c>
    </row>
    <row r="180" spans="1:30" ht="12.75" x14ac:dyDescent="0.2">
      <c r="A180" s="83" t="s">
        <v>414</v>
      </c>
      <c r="B180" s="72">
        <v>61</v>
      </c>
      <c r="C180" s="72">
        <v>0</v>
      </c>
      <c r="D180" s="72">
        <v>0</v>
      </c>
      <c r="E180" s="72">
        <v>0</v>
      </c>
      <c r="F180" s="72">
        <v>61</v>
      </c>
      <c r="G180" s="73">
        <v>0</v>
      </c>
      <c r="H180" s="74">
        <v>23</v>
      </c>
      <c r="I180" s="74">
        <v>0</v>
      </c>
      <c r="J180" s="72">
        <v>56</v>
      </c>
      <c r="K180" s="72">
        <v>0</v>
      </c>
      <c r="L180" s="72">
        <v>0</v>
      </c>
      <c r="M180" s="72">
        <v>0</v>
      </c>
      <c r="N180" s="72">
        <v>56</v>
      </c>
      <c r="O180" s="72">
        <v>0</v>
      </c>
      <c r="P180" s="72">
        <v>56</v>
      </c>
      <c r="Q180" s="75">
        <v>0</v>
      </c>
      <c r="R180" s="75">
        <v>0</v>
      </c>
      <c r="S180" s="72">
        <v>51</v>
      </c>
      <c r="T180" s="72">
        <v>0</v>
      </c>
      <c r="U180" s="72">
        <v>51</v>
      </c>
      <c r="V180" s="75">
        <v>0</v>
      </c>
      <c r="W180" s="72">
        <v>136</v>
      </c>
      <c r="X180" s="72">
        <v>0</v>
      </c>
      <c r="Y180" s="72">
        <v>136</v>
      </c>
      <c r="Z180" s="75">
        <v>0</v>
      </c>
      <c r="AA180" s="72">
        <v>304</v>
      </c>
      <c r="AB180" s="72">
        <v>0</v>
      </c>
      <c r="AC180" s="72">
        <v>304</v>
      </c>
      <c r="AD180" s="77">
        <v>0.375</v>
      </c>
    </row>
    <row r="181" spans="1:30" ht="12.75" x14ac:dyDescent="0.2">
      <c r="A181" s="83" t="s">
        <v>415</v>
      </c>
      <c r="B181" s="72">
        <v>52</v>
      </c>
      <c r="C181" s="72">
        <v>52</v>
      </c>
      <c r="D181" s="72">
        <v>52</v>
      </c>
      <c r="E181" s="72">
        <v>0</v>
      </c>
      <c r="F181" s="72">
        <v>0</v>
      </c>
      <c r="G181" s="79">
        <v>1</v>
      </c>
      <c r="H181" s="74">
        <v>26</v>
      </c>
      <c r="I181" s="74">
        <v>26</v>
      </c>
      <c r="J181" s="72">
        <v>31</v>
      </c>
      <c r="K181" s="72">
        <v>3</v>
      </c>
      <c r="L181" s="72">
        <v>3</v>
      </c>
      <c r="M181" s="72">
        <v>0</v>
      </c>
      <c r="N181" s="72">
        <v>28</v>
      </c>
      <c r="O181" s="72">
        <v>29</v>
      </c>
      <c r="P181" s="72">
        <v>2</v>
      </c>
      <c r="Q181" s="75">
        <v>9.7000000000000003E-2</v>
      </c>
      <c r="R181" s="78">
        <v>0.93500000000000005</v>
      </c>
      <c r="S181" s="72">
        <v>36</v>
      </c>
      <c r="T181" s="72">
        <v>12</v>
      </c>
      <c r="U181" s="72">
        <v>24</v>
      </c>
      <c r="V181" s="75">
        <v>0.33300000000000002</v>
      </c>
      <c r="W181" s="72">
        <v>121</v>
      </c>
      <c r="X181" s="72">
        <v>45</v>
      </c>
      <c r="Y181" s="72">
        <v>76</v>
      </c>
      <c r="Z181" s="75">
        <v>0.372</v>
      </c>
      <c r="AA181" s="72">
        <v>240</v>
      </c>
      <c r="AB181" s="72">
        <v>112</v>
      </c>
      <c r="AC181" s="72">
        <v>128</v>
      </c>
      <c r="AD181" s="77">
        <v>0.5</v>
      </c>
    </row>
    <row r="182" spans="1:30" ht="12.75" x14ac:dyDescent="0.2">
      <c r="A182" s="83" t="s">
        <v>416</v>
      </c>
      <c r="B182" s="76">
        <v>1097</v>
      </c>
      <c r="C182" s="72">
        <v>0</v>
      </c>
      <c r="D182" s="72">
        <v>0</v>
      </c>
      <c r="E182" s="72">
        <v>0</v>
      </c>
      <c r="F182" s="76">
        <v>1097</v>
      </c>
      <c r="G182" s="73">
        <v>0</v>
      </c>
      <c r="H182" s="74">
        <v>411</v>
      </c>
      <c r="I182" s="74">
        <v>0</v>
      </c>
      <c r="J182" s="72">
        <v>821</v>
      </c>
      <c r="K182" s="72">
        <v>0</v>
      </c>
      <c r="L182" s="72">
        <v>0</v>
      </c>
      <c r="M182" s="72">
        <v>0</v>
      </c>
      <c r="N182" s="72">
        <v>821</v>
      </c>
      <c r="O182" s="72">
        <v>0</v>
      </c>
      <c r="P182" s="72">
        <v>821</v>
      </c>
      <c r="Q182" s="75">
        <v>0</v>
      </c>
      <c r="R182" s="75">
        <v>0</v>
      </c>
      <c r="S182" s="72">
        <v>865</v>
      </c>
      <c r="T182" s="72">
        <v>0</v>
      </c>
      <c r="U182" s="72">
        <v>865</v>
      </c>
      <c r="V182" s="75">
        <v>0</v>
      </c>
      <c r="W182" s="76">
        <v>2049</v>
      </c>
      <c r="X182" s="72">
        <v>202</v>
      </c>
      <c r="Y182" s="76">
        <v>1847</v>
      </c>
      <c r="Z182" s="75">
        <v>9.9000000000000005E-2</v>
      </c>
      <c r="AA182" s="76">
        <v>4832</v>
      </c>
      <c r="AB182" s="72">
        <v>202</v>
      </c>
      <c r="AC182" s="76">
        <v>4630</v>
      </c>
      <c r="AD182" s="77">
        <v>0.375</v>
      </c>
    </row>
    <row r="183" spans="1:30" ht="12.75" x14ac:dyDescent="0.2">
      <c r="A183" s="83" t="s">
        <v>417</v>
      </c>
      <c r="B183" s="72">
        <v>32</v>
      </c>
      <c r="C183" s="72">
        <v>0</v>
      </c>
      <c r="D183" s="72">
        <v>0</v>
      </c>
      <c r="E183" s="72">
        <v>0</v>
      </c>
      <c r="F183" s="72">
        <v>32</v>
      </c>
      <c r="G183" s="73">
        <v>0</v>
      </c>
      <c r="H183" s="74">
        <v>16</v>
      </c>
      <c r="I183" s="74">
        <v>0</v>
      </c>
      <c r="J183" s="72">
        <v>19</v>
      </c>
      <c r="K183" s="72">
        <v>0</v>
      </c>
      <c r="L183" s="72">
        <v>0</v>
      </c>
      <c r="M183" s="72">
        <v>0</v>
      </c>
      <c r="N183" s="72">
        <v>19</v>
      </c>
      <c r="O183" s="72">
        <v>0</v>
      </c>
      <c r="P183" s="72">
        <v>19</v>
      </c>
      <c r="Q183" s="75">
        <v>0</v>
      </c>
      <c r="R183" s="75">
        <v>0</v>
      </c>
      <c r="S183" s="72">
        <v>21</v>
      </c>
      <c r="T183" s="72">
        <v>0</v>
      </c>
      <c r="U183" s="72">
        <v>21</v>
      </c>
      <c r="V183" s="75">
        <v>0</v>
      </c>
      <c r="W183" s="72">
        <v>57</v>
      </c>
      <c r="X183" s="72">
        <v>1</v>
      </c>
      <c r="Y183" s="72">
        <v>56</v>
      </c>
      <c r="Z183" s="75">
        <v>1.7999999999999999E-2</v>
      </c>
      <c r="AA183" s="72">
        <v>129</v>
      </c>
      <c r="AB183" s="72">
        <v>1</v>
      </c>
      <c r="AC183" s="72">
        <v>128</v>
      </c>
      <c r="AD183" s="77">
        <v>0.5</v>
      </c>
    </row>
    <row r="184" spans="1:30" ht="12.75" x14ac:dyDescent="0.2">
      <c r="A184" s="83" t="s">
        <v>419</v>
      </c>
      <c r="B184" s="72">
        <v>170</v>
      </c>
      <c r="C184" s="72">
        <v>9</v>
      </c>
      <c r="D184" s="72">
        <v>9</v>
      </c>
      <c r="E184" s="72">
        <v>0</v>
      </c>
      <c r="F184" s="72">
        <v>161</v>
      </c>
      <c r="G184" s="73">
        <v>5.2999999999999999E-2</v>
      </c>
      <c r="H184" s="74">
        <v>85</v>
      </c>
      <c r="I184" s="74">
        <v>0</v>
      </c>
      <c r="J184" s="72">
        <v>101</v>
      </c>
      <c r="K184" s="72">
        <v>127</v>
      </c>
      <c r="L184" s="72">
        <v>127</v>
      </c>
      <c r="M184" s="72">
        <v>0</v>
      </c>
      <c r="N184" s="72">
        <v>0</v>
      </c>
      <c r="O184" s="72">
        <v>127</v>
      </c>
      <c r="P184" s="72">
        <v>0</v>
      </c>
      <c r="Q184" s="78">
        <v>1.2569999999999999</v>
      </c>
      <c r="R184" s="78">
        <v>1.2569999999999999</v>
      </c>
      <c r="S184" s="72">
        <v>112</v>
      </c>
      <c r="T184" s="72">
        <v>42</v>
      </c>
      <c r="U184" s="72">
        <v>70</v>
      </c>
      <c r="V184" s="75">
        <v>0.375</v>
      </c>
      <c r="W184" s="72">
        <v>300</v>
      </c>
      <c r="X184" s="72">
        <v>643</v>
      </c>
      <c r="Y184" s="72">
        <v>0</v>
      </c>
      <c r="Z184" s="78">
        <v>2.1429999999999998</v>
      </c>
      <c r="AA184" s="72">
        <v>683</v>
      </c>
      <c r="AB184" s="72">
        <v>821</v>
      </c>
      <c r="AC184" s="72">
        <v>231</v>
      </c>
      <c r="AD184" s="77">
        <v>0.5</v>
      </c>
    </row>
    <row r="185" spans="1:30" ht="12.75" x14ac:dyDescent="0.2">
      <c r="A185" s="83" t="s">
        <v>180</v>
      </c>
      <c r="B185" s="72">
        <v>851</v>
      </c>
      <c r="C185" s="72">
        <v>40</v>
      </c>
      <c r="D185" s="72">
        <v>40</v>
      </c>
      <c r="E185" s="72">
        <v>0</v>
      </c>
      <c r="F185" s="72">
        <v>811</v>
      </c>
      <c r="G185" s="73">
        <v>4.7E-2</v>
      </c>
      <c r="H185" s="74">
        <v>426</v>
      </c>
      <c r="I185" s="74">
        <v>0</v>
      </c>
      <c r="J185" s="72">
        <v>480</v>
      </c>
      <c r="K185" s="72">
        <v>19</v>
      </c>
      <c r="L185" s="72">
        <v>19</v>
      </c>
      <c r="M185" s="72">
        <v>0</v>
      </c>
      <c r="N185" s="72">
        <v>461</v>
      </c>
      <c r="O185" s="72">
        <v>19</v>
      </c>
      <c r="P185" s="72">
        <v>461</v>
      </c>
      <c r="Q185" s="75">
        <v>0.04</v>
      </c>
      <c r="R185" s="75">
        <v>0.04</v>
      </c>
      <c r="S185" s="72">
        <v>608</v>
      </c>
      <c r="T185" s="72">
        <v>0</v>
      </c>
      <c r="U185" s="72">
        <v>608</v>
      </c>
      <c r="V185" s="75">
        <v>0</v>
      </c>
      <c r="W185" s="76">
        <v>1981</v>
      </c>
      <c r="X185" s="72">
        <v>873</v>
      </c>
      <c r="Y185" s="76">
        <v>1108</v>
      </c>
      <c r="Z185" s="75">
        <v>0.441</v>
      </c>
      <c r="AA185" s="76">
        <v>3920</v>
      </c>
      <c r="AB185" s="72">
        <v>932</v>
      </c>
      <c r="AC185" s="76">
        <v>2988</v>
      </c>
      <c r="AD185" s="77">
        <v>0.5</v>
      </c>
    </row>
    <row r="186" spans="1:30" ht="12.75" x14ac:dyDescent="0.2">
      <c r="A186" s="83" t="s">
        <v>420</v>
      </c>
      <c r="B186" s="72">
        <v>31</v>
      </c>
      <c r="C186" s="72">
        <v>15</v>
      </c>
      <c r="D186" s="72">
        <v>15</v>
      </c>
      <c r="E186" s="72">
        <v>0</v>
      </c>
      <c r="F186" s="72">
        <v>16</v>
      </c>
      <c r="G186" s="73">
        <v>0.48399999999999999</v>
      </c>
      <c r="H186" s="74">
        <v>16</v>
      </c>
      <c r="I186" s="74">
        <v>0</v>
      </c>
      <c r="J186" s="72">
        <v>24</v>
      </c>
      <c r="K186" s="72">
        <v>25</v>
      </c>
      <c r="L186" s="72">
        <v>25</v>
      </c>
      <c r="M186" s="72">
        <v>0</v>
      </c>
      <c r="N186" s="72">
        <v>0</v>
      </c>
      <c r="O186" s="72">
        <v>25</v>
      </c>
      <c r="P186" s="72">
        <v>0</v>
      </c>
      <c r="Q186" s="78">
        <v>1.042</v>
      </c>
      <c r="R186" s="78">
        <v>1.042</v>
      </c>
      <c r="S186" s="72">
        <v>26</v>
      </c>
      <c r="T186" s="72">
        <v>56</v>
      </c>
      <c r="U186" s="72">
        <v>0</v>
      </c>
      <c r="V186" s="78">
        <v>2.1539999999999999</v>
      </c>
      <c r="W186" s="72">
        <v>76</v>
      </c>
      <c r="X186" s="72">
        <v>151</v>
      </c>
      <c r="Y186" s="72">
        <v>0</v>
      </c>
      <c r="Z186" s="78">
        <v>1.9870000000000001</v>
      </c>
      <c r="AA186" s="72">
        <v>157</v>
      </c>
      <c r="AB186" s="72">
        <v>247</v>
      </c>
      <c r="AC186" s="72">
        <v>16</v>
      </c>
      <c r="AD186" s="77">
        <v>0.5</v>
      </c>
    </row>
    <row r="187" spans="1:30" ht="12.75" x14ac:dyDescent="0.2">
      <c r="A187" s="83" t="s">
        <v>422</v>
      </c>
      <c r="B187" s="72">
        <v>134</v>
      </c>
      <c r="C187" s="72">
        <v>0</v>
      </c>
      <c r="D187" s="72">
        <v>0</v>
      </c>
      <c r="E187" s="72">
        <v>0</v>
      </c>
      <c r="F187" s="72">
        <v>134</v>
      </c>
      <c r="G187" s="73">
        <v>0</v>
      </c>
      <c r="H187" s="74">
        <v>67</v>
      </c>
      <c r="I187" s="74">
        <v>0</v>
      </c>
      <c r="J187" s="72">
        <v>96</v>
      </c>
      <c r="K187" s="72">
        <v>49</v>
      </c>
      <c r="L187" s="72">
        <v>41</v>
      </c>
      <c r="M187" s="72">
        <v>8</v>
      </c>
      <c r="N187" s="72">
        <v>47</v>
      </c>
      <c r="O187" s="72">
        <v>49</v>
      </c>
      <c r="P187" s="72">
        <v>47</v>
      </c>
      <c r="Q187" s="78">
        <v>0.51</v>
      </c>
      <c r="R187" s="78">
        <v>0.51</v>
      </c>
      <c r="S187" s="72">
        <v>112</v>
      </c>
      <c r="T187" s="72">
        <v>276</v>
      </c>
      <c r="U187" s="72">
        <v>0</v>
      </c>
      <c r="V187" s="78">
        <v>2.464</v>
      </c>
      <c r="W187" s="72">
        <v>262</v>
      </c>
      <c r="X187" s="72">
        <v>70</v>
      </c>
      <c r="Y187" s="72">
        <v>192</v>
      </c>
      <c r="Z187" s="75">
        <v>0.26700000000000002</v>
      </c>
      <c r="AA187" s="72">
        <v>604</v>
      </c>
      <c r="AB187" s="72">
        <v>395</v>
      </c>
      <c r="AC187" s="72">
        <v>373</v>
      </c>
      <c r="AD187" s="77">
        <v>0.5</v>
      </c>
    </row>
    <row r="188" spans="1:30" ht="12.75" x14ac:dyDescent="0.2">
      <c r="A188" s="83" t="s">
        <v>285</v>
      </c>
      <c r="B188" s="72">
        <v>220</v>
      </c>
      <c r="C188" s="72">
        <v>0</v>
      </c>
      <c r="D188" s="72">
        <v>0</v>
      </c>
      <c r="E188" s="72">
        <v>0</v>
      </c>
      <c r="F188" s="72">
        <v>220</v>
      </c>
      <c r="G188" s="73">
        <v>0</v>
      </c>
      <c r="H188" s="74">
        <v>110</v>
      </c>
      <c r="I188" s="74">
        <v>0</v>
      </c>
      <c r="J188" s="72">
        <v>118</v>
      </c>
      <c r="K188" s="72">
        <v>1</v>
      </c>
      <c r="L188" s="72">
        <v>0</v>
      </c>
      <c r="M188" s="72">
        <v>1</v>
      </c>
      <c r="N188" s="72">
        <v>117</v>
      </c>
      <c r="O188" s="72">
        <v>1</v>
      </c>
      <c r="P188" s="72">
        <v>117</v>
      </c>
      <c r="Q188" s="75">
        <v>8.0000000000000002E-3</v>
      </c>
      <c r="R188" s="75">
        <v>8.0000000000000002E-3</v>
      </c>
      <c r="S188" s="72">
        <v>100</v>
      </c>
      <c r="T188" s="72">
        <v>0</v>
      </c>
      <c r="U188" s="72">
        <v>100</v>
      </c>
      <c r="V188" s="75">
        <v>0</v>
      </c>
      <c r="W188" s="72">
        <v>244</v>
      </c>
      <c r="X188" s="72">
        <v>488</v>
      </c>
      <c r="Y188" s="72">
        <v>0</v>
      </c>
      <c r="Z188" s="78">
        <v>2</v>
      </c>
      <c r="AA188" s="72">
        <v>682</v>
      </c>
      <c r="AB188" s="72">
        <v>489</v>
      </c>
      <c r="AC188" s="72">
        <v>437</v>
      </c>
      <c r="AD188" s="77">
        <v>0.5</v>
      </c>
    </row>
    <row r="189" spans="1:30" ht="12.75" x14ac:dyDescent="0.2">
      <c r="A189" s="83" t="s">
        <v>424</v>
      </c>
      <c r="B189" s="72">
        <v>1</v>
      </c>
      <c r="C189" s="72">
        <v>0</v>
      </c>
      <c r="D189" s="72">
        <v>0</v>
      </c>
      <c r="E189" s="72">
        <v>0</v>
      </c>
      <c r="F189" s="72">
        <v>1</v>
      </c>
      <c r="G189" s="73">
        <v>0</v>
      </c>
      <c r="H189" s="74">
        <v>1</v>
      </c>
      <c r="I189" s="74">
        <v>0</v>
      </c>
      <c r="J189" s="72">
        <v>1</v>
      </c>
      <c r="K189" s="72">
        <v>0</v>
      </c>
      <c r="L189" s="72">
        <v>0</v>
      </c>
      <c r="M189" s="72">
        <v>0</v>
      </c>
      <c r="N189" s="72">
        <v>1</v>
      </c>
      <c r="O189" s="72">
        <v>0</v>
      </c>
      <c r="P189" s="72">
        <v>1</v>
      </c>
      <c r="Q189" s="75">
        <v>0</v>
      </c>
      <c r="R189" s="75">
        <v>0</v>
      </c>
      <c r="S189" s="72">
        <v>0</v>
      </c>
      <c r="T189" s="72">
        <v>1</v>
      </c>
      <c r="U189" s="72">
        <v>0</v>
      </c>
      <c r="V189" s="80" t="s">
        <v>196</v>
      </c>
      <c r="W189" s="72">
        <v>0</v>
      </c>
      <c r="X189" s="72">
        <v>10</v>
      </c>
      <c r="Y189" s="72">
        <v>0</v>
      </c>
      <c r="Z189" s="80" t="s">
        <v>196</v>
      </c>
      <c r="AA189" s="72">
        <v>2</v>
      </c>
      <c r="AB189" s="72">
        <v>11</v>
      </c>
      <c r="AC189" s="72">
        <v>2</v>
      </c>
      <c r="AD189" s="77">
        <v>0.5</v>
      </c>
    </row>
    <row r="190" spans="1:30" ht="12.75" x14ac:dyDescent="0.2">
      <c r="A190" s="83" t="s">
        <v>426</v>
      </c>
      <c r="B190" s="72">
        <v>398</v>
      </c>
      <c r="C190" s="72">
        <v>0</v>
      </c>
      <c r="D190" s="72">
        <v>0</v>
      </c>
      <c r="E190" s="72">
        <v>0</v>
      </c>
      <c r="F190" s="72">
        <v>398</v>
      </c>
      <c r="G190" s="73">
        <v>0</v>
      </c>
      <c r="H190" s="74">
        <v>199</v>
      </c>
      <c r="I190" s="74">
        <v>0</v>
      </c>
      <c r="J190" s="72">
        <v>274</v>
      </c>
      <c r="K190" s="72">
        <v>20</v>
      </c>
      <c r="L190" s="72">
        <v>20</v>
      </c>
      <c r="M190" s="72">
        <v>0</v>
      </c>
      <c r="N190" s="72">
        <v>254</v>
      </c>
      <c r="O190" s="72">
        <v>20</v>
      </c>
      <c r="P190" s="72">
        <v>254</v>
      </c>
      <c r="Q190" s="75">
        <v>7.2999999999999995E-2</v>
      </c>
      <c r="R190" s="75">
        <v>7.2999999999999995E-2</v>
      </c>
      <c r="S190" s="72">
        <v>314</v>
      </c>
      <c r="T190" s="72">
        <v>157</v>
      </c>
      <c r="U190" s="72">
        <v>157</v>
      </c>
      <c r="V190" s="78">
        <v>0.5</v>
      </c>
      <c r="W190" s="72">
        <v>729</v>
      </c>
      <c r="X190" s="72">
        <v>500</v>
      </c>
      <c r="Y190" s="72">
        <v>229</v>
      </c>
      <c r="Z190" s="78">
        <v>0.68600000000000005</v>
      </c>
      <c r="AA190" s="76">
        <v>1715</v>
      </c>
      <c r="AB190" s="72">
        <v>677</v>
      </c>
      <c r="AC190" s="76">
        <v>1038</v>
      </c>
      <c r="AD190" s="77">
        <v>0.5</v>
      </c>
    </row>
    <row r="191" spans="1:30" ht="12.75" x14ac:dyDescent="0.2">
      <c r="A191" s="83" t="s">
        <v>427</v>
      </c>
      <c r="B191" s="72">
        <v>5</v>
      </c>
      <c r="C191" s="72">
        <v>0</v>
      </c>
      <c r="D191" s="72">
        <v>0</v>
      </c>
      <c r="E191" s="72">
        <v>0</v>
      </c>
      <c r="F191" s="72">
        <v>5</v>
      </c>
      <c r="G191" s="73">
        <v>0</v>
      </c>
      <c r="H191" s="74">
        <v>3</v>
      </c>
      <c r="I191" s="74">
        <v>0</v>
      </c>
      <c r="J191" s="72">
        <v>3</v>
      </c>
      <c r="K191" s="72">
        <v>0</v>
      </c>
      <c r="L191" s="72">
        <v>0</v>
      </c>
      <c r="M191" s="72">
        <v>0</v>
      </c>
      <c r="N191" s="72">
        <v>3</v>
      </c>
      <c r="O191" s="72">
        <v>0</v>
      </c>
      <c r="P191" s="72">
        <v>3</v>
      </c>
      <c r="Q191" s="75">
        <v>0</v>
      </c>
      <c r="R191" s="75">
        <v>0</v>
      </c>
      <c r="S191" s="72">
        <v>3</v>
      </c>
      <c r="T191" s="72">
        <v>0</v>
      </c>
      <c r="U191" s="72">
        <v>3</v>
      </c>
      <c r="V191" s="75">
        <v>0</v>
      </c>
      <c r="W191" s="72">
        <v>7</v>
      </c>
      <c r="X191" s="72">
        <v>0</v>
      </c>
      <c r="Y191" s="72">
        <v>7</v>
      </c>
      <c r="Z191" s="75">
        <v>0</v>
      </c>
      <c r="AA191" s="72">
        <v>18</v>
      </c>
      <c r="AB191" s="72">
        <v>0</v>
      </c>
      <c r="AC191" s="72">
        <v>18</v>
      </c>
      <c r="AD191" s="77">
        <v>0.5</v>
      </c>
    </row>
    <row r="192" spans="1:30" ht="12.75" x14ac:dyDescent="0.2">
      <c r="A192" s="83" t="s">
        <v>428</v>
      </c>
      <c r="B192" s="72">
        <v>349</v>
      </c>
      <c r="C192" s="72">
        <v>0</v>
      </c>
      <c r="D192" s="72">
        <v>0</v>
      </c>
      <c r="E192" s="72">
        <v>0</v>
      </c>
      <c r="F192" s="72">
        <v>349</v>
      </c>
      <c r="G192" s="73">
        <v>0</v>
      </c>
      <c r="H192" s="74">
        <v>175</v>
      </c>
      <c r="I192" s="74">
        <v>0</v>
      </c>
      <c r="J192" s="72">
        <v>246</v>
      </c>
      <c r="K192" s="72">
        <v>0</v>
      </c>
      <c r="L192" s="72">
        <v>0</v>
      </c>
      <c r="M192" s="72">
        <v>0</v>
      </c>
      <c r="N192" s="72">
        <v>246</v>
      </c>
      <c r="O192" s="72">
        <v>0</v>
      </c>
      <c r="P192" s="72">
        <v>246</v>
      </c>
      <c r="Q192" s="75">
        <v>0</v>
      </c>
      <c r="R192" s="75">
        <v>0</v>
      </c>
      <c r="S192" s="72">
        <v>280</v>
      </c>
      <c r="T192" s="72">
        <v>16</v>
      </c>
      <c r="U192" s="72">
        <v>264</v>
      </c>
      <c r="V192" s="75">
        <v>5.7000000000000002E-2</v>
      </c>
      <c r="W192" s="72">
        <v>625</v>
      </c>
      <c r="X192" s="72">
        <v>114</v>
      </c>
      <c r="Y192" s="72">
        <v>511</v>
      </c>
      <c r="Z192" s="75">
        <v>0.182</v>
      </c>
      <c r="AA192" s="76">
        <v>1500</v>
      </c>
      <c r="AB192" s="72">
        <v>130</v>
      </c>
      <c r="AC192" s="76">
        <v>1370</v>
      </c>
      <c r="AD192" s="77">
        <v>0.5</v>
      </c>
    </row>
    <row r="193" spans="1:30" ht="12.75" x14ac:dyDescent="0.2">
      <c r="A193" s="83" t="s">
        <v>429</v>
      </c>
      <c r="B193" s="72">
        <v>32</v>
      </c>
      <c r="C193" s="72">
        <v>34</v>
      </c>
      <c r="D193" s="72">
        <v>0</v>
      </c>
      <c r="E193" s="72">
        <v>34</v>
      </c>
      <c r="F193" s="72">
        <v>0</v>
      </c>
      <c r="G193" s="79">
        <v>1.0629999999999999</v>
      </c>
      <c r="H193" s="74">
        <v>16</v>
      </c>
      <c r="I193" s="74">
        <v>18</v>
      </c>
      <c r="J193" s="72">
        <v>17</v>
      </c>
      <c r="K193" s="72">
        <v>17</v>
      </c>
      <c r="L193" s="72">
        <v>0</v>
      </c>
      <c r="M193" s="72">
        <v>17</v>
      </c>
      <c r="N193" s="72">
        <v>0</v>
      </c>
      <c r="O193" s="72">
        <v>35</v>
      </c>
      <c r="P193" s="72">
        <v>0</v>
      </c>
      <c r="Q193" s="78">
        <v>1</v>
      </c>
      <c r="R193" s="78">
        <v>2.0590000000000002</v>
      </c>
      <c r="S193" s="72">
        <v>21</v>
      </c>
      <c r="T193" s="72">
        <v>19</v>
      </c>
      <c r="U193" s="72">
        <v>2</v>
      </c>
      <c r="V193" s="78">
        <v>0.90500000000000003</v>
      </c>
      <c r="W193" s="72">
        <v>21</v>
      </c>
      <c r="X193" s="72">
        <v>13</v>
      </c>
      <c r="Y193" s="72">
        <v>8</v>
      </c>
      <c r="Z193" s="78">
        <v>0.61899999999999999</v>
      </c>
      <c r="AA193" s="72">
        <v>91</v>
      </c>
      <c r="AB193" s="72">
        <v>83</v>
      </c>
      <c r="AC193" s="72">
        <v>10</v>
      </c>
      <c r="AD193" s="77">
        <v>0.5</v>
      </c>
    </row>
    <row r="194" spans="1:30" ht="12.75" x14ac:dyDescent="0.2">
      <c r="A194" s="83" t="s">
        <v>430</v>
      </c>
      <c r="B194" s="72">
        <v>312</v>
      </c>
      <c r="C194" s="72">
        <v>0</v>
      </c>
      <c r="D194" s="72">
        <v>0</v>
      </c>
      <c r="E194" s="72">
        <v>0</v>
      </c>
      <c r="F194" s="72">
        <v>312</v>
      </c>
      <c r="G194" s="73">
        <v>0</v>
      </c>
      <c r="H194" s="74">
        <v>117</v>
      </c>
      <c r="I194" s="74">
        <v>0</v>
      </c>
      <c r="J194" s="72">
        <v>189</v>
      </c>
      <c r="K194" s="72">
        <v>0</v>
      </c>
      <c r="L194" s="72">
        <v>0</v>
      </c>
      <c r="M194" s="72">
        <v>0</v>
      </c>
      <c r="N194" s="72">
        <v>189</v>
      </c>
      <c r="O194" s="72">
        <v>0</v>
      </c>
      <c r="P194" s="72">
        <v>189</v>
      </c>
      <c r="Q194" s="75">
        <v>0</v>
      </c>
      <c r="R194" s="75">
        <v>0</v>
      </c>
      <c r="S194" s="72">
        <v>258</v>
      </c>
      <c r="T194" s="72">
        <v>104</v>
      </c>
      <c r="U194" s="72">
        <v>154</v>
      </c>
      <c r="V194" s="78">
        <v>0.40300000000000002</v>
      </c>
      <c r="W194" s="72">
        <v>557</v>
      </c>
      <c r="X194" s="72">
        <v>461</v>
      </c>
      <c r="Y194" s="72">
        <v>96</v>
      </c>
      <c r="Z194" s="78">
        <v>0.82799999999999996</v>
      </c>
      <c r="AA194" s="76">
        <v>1316</v>
      </c>
      <c r="AB194" s="72">
        <v>565</v>
      </c>
      <c r="AC194" s="72">
        <v>751</v>
      </c>
      <c r="AD194" s="77">
        <v>0.375</v>
      </c>
    </row>
    <row r="195" spans="1:30" ht="12.75" x14ac:dyDescent="0.2">
      <c r="A195" s="83" t="s">
        <v>418</v>
      </c>
      <c r="B195" s="72">
        <v>54</v>
      </c>
      <c r="C195" s="72">
        <v>0</v>
      </c>
      <c r="D195" s="72">
        <v>0</v>
      </c>
      <c r="E195" s="72">
        <v>0</v>
      </c>
      <c r="F195" s="72">
        <v>54</v>
      </c>
      <c r="G195" s="73">
        <v>0</v>
      </c>
      <c r="H195" s="74">
        <v>27</v>
      </c>
      <c r="I195" s="74">
        <v>0</v>
      </c>
      <c r="J195" s="72">
        <v>31</v>
      </c>
      <c r="K195" s="72">
        <v>1</v>
      </c>
      <c r="L195" s="72">
        <v>0</v>
      </c>
      <c r="M195" s="72">
        <v>1</v>
      </c>
      <c r="N195" s="72">
        <v>30</v>
      </c>
      <c r="O195" s="72">
        <v>1</v>
      </c>
      <c r="P195" s="72">
        <v>30</v>
      </c>
      <c r="Q195" s="75">
        <v>3.2000000000000001E-2</v>
      </c>
      <c r="R195" s="75">
        <v>3.2000000000000001E-2</v>
      </c>
      <c r="S195" s="72">
        <v>32</v>
      </c>
      <c r="T195" s="72">
        <v>1</v>
      </c>
      <c r="U195" s="72">
        <v>31</v>
      </c>
      <c r="V195" s="75">
        <v>3.1E-2</v>
      </c>
      <c r="W195" s="72">
        <v>92</v>
      </c>
      <c r="X195" s="72">
        <v>1</v>
      </c>
      <c r="Y195" s="72">
        <v>91</v>
      </c>
      <c r="Z195" s="75">
        <v>1.0999999999999999E-2</v>
      </c>
      <c r="AA195" s="72">
        <v>209</v>
      </c>
      <c r="AB195" s="72">
        <v>3</v>
      </c>
      <c r="AC195" s="72">
        <v>206</v>
      </c>
      <c r="AD195" s="77">
        <v>0.5</v>
      </c>
    </row>
    <row r="196" spans="1:30" ht="12.75" x14ac:dyDescent="0.2">
      <c r="A196" s="83" t="s">
        <v>431</v>
      </c>
      <c r="B196" s="72">
        <v>53</v>
      </c>
      <c r="C196" s="72">
        <v>0</v>
      </c>
      <c r="D196" s="72">
        <v>0</v>
      </c>
      <c r="E196" s="72">
        <v>0</v>
      </c>
      <c r="F196" s="72">
        <v>53</v>
      </c>
      <c r="G196" s="73">
        <v>0</v>
      </c>
      <c r="H196" s="74">
        <v>20</v>
      </c>
      <c r="I196" s="74">
        <v>0</v>
      </c>
      <c r="J196" s="72">
        <v>34</v>
      </c>
      <c r="K196" s="72">
        <v>0</v>
      </c>
      <c r="L196" s="72">
        <v>0</v>
      </c>
      <c r="M196" s="72">
        <v>0</v>
      </c>
      <c r="N196" s="72">
        <v>34</v>
      </c>
      <c r="O196" s="72">
        <v>0</v>
      </c>
      <c r="P196" s="72">
        <v>34</v>
      </c>
      <c r="Q196" s="75">
        <v>0</v>
      </c>
      <c r="R196" s="75">
        <v>0</v>
      </c>
      <c r="S196" s="72">
        <v>38</v>
      </c>
      <c r="T196" s="72">
        <v>0</v>
      </c>
      <c r="U196" s="72">
        <v>38</v>
      </c>
      <c r="V196" s="75">
        <v>0</v>
      </c>
      <c r="W196" s="72">
        <v>93</v>
      </c>
      <c r="X196" s="72">
        <v>71</v>
      </c>
      <c r="Y196" s="72">
        <v>22</v>
      </c>
      <c r="Z196" s="78">
        <v>0.76300000000000001</v>
      </c>
      <c r="AA196" s="72">
        <v>218</v>
      </c>
      <c r="AB196" s="72">
        <v>71</v>
      </c>
      <c r="AC196" s="72">
        <v>147</v>
      </c>
      <c r="AD196" s="77">
        <v>0.375</v>
      </c>
    </row>
    <row r="197" spans="1:30" ht="12.75" x14ac:dyDescent="0.2">
      <c r="A197" s="83" t="s">
        <v>400</v>
      </c>
      <c r="B197" s="72">
        <v>212</v>
      </c>
      <c r="C197" s="72">
        <v>33</v>
      </c>
      <c r="D197" s="72">
        <v>0</v>
      </c>
      <c r="E197" s="72">
        <v>33</v>
      </c>
      <c r="F197" s="72">
        <v>179</v>
      </c>
      <c r="G197" s="73">
        <v>0.156</v>
      </c>
      <c r="H197" s="74">
        <v>212</v>
      </c>
      <c r="I197" s="74">
        <v>0</v>
      </c>
      <c r="J197" s="72">
        <v>135</v>
      </c>
      <c r="K197" s="72">
        <v>44</v>
      </c>
      <c r="L197" s="72">
        <v>0</v>
      </c>
      <c r="M197" s="72">
        <v>44</v>
      </c>
      <c r="N197" s="72">
        <v>91</v>
      </c>
      <c r="O197" s="72">
        <v>44</v>
      </c>
      <c r="P197" s="72">
        <v>91</v>
      </c>
      <c r="Q197" s="75">
        <v>0.32600000000000001</v>
      </c>
      <c r="R197" s="75">
        <v>0.32600000000000001</v>
      </c>
      <c r="S197" s="72">
        <v>146</v>
      </c>
      <c r="T197" s="72">
        <v>226</v>
      </c>
      <c r="U197" s="72">
        <v>0</v>
      </c>
      <c r="V197" s="78">
        <v>1.548</v>
      </c>
      <c r="W197" s="72">
        <v>366</v>
      </c>
      <c r="X197" s="72">
        <v>201</v>
      </c>
      <c r="Y197" s="72">
        <v>165</v>
      </c>
      <c r="Z197" s="75">
        <v>0.54900000000000004</v>
      </c>
      <c r="AA197" s="72">
        <v>859</v>
      </c>
      <c r="AB197" s="72">
        <v>504</v>
      </c>
      <c r="AC197" s="72">
        <v>435</v>
      </c>
      <c r="AD197" s="77">
        <v>1</v>
      </c>
    </row>
    <row r="198" spans="1:30" ht="12.75" x14ac:dyDescent="0.2">
      <c r="A198" s="83" t="s">
        <v>433</v>
      </c>
      <c r="B198" s="72">
        <v>313</v>
      </c>
      <c r="C198" s="72">
        <v>0</v>
      </c>
      <c r="D198" s="72">
        <v>0</v>
      </c>
      <c r="E198" s="72">
        <v>0</v>
      </c>
      <c r="F198" s="72">
        <v>313</v>
      </c>
      <c r="G198" s="73">
        <v>0</v>
      </c>
      <c r="H198" s="74">
        <v>157</v>
      </c>
      <c r="I198" s="74">
        <v>0</v>
      </c>
      <c r="J198" s="72">
        <v>220</v>
      </c>
      <c r="K198" s="72">
        <v>0</v>
      </c>
      <c r="L198" s="72">
        <v>0</v>
      </c>
      <c r="M198" s="72">
        <v>0</v>
      </c>
      <c r="N198" s="72">
        <v>220</v>
      </c>
      <c r="O198" s="72">
        <v>0</v>
      </c>
      <c r="P198" s="72">
        <v>220</v>
      </c>
      <c r="Q198" s="75">
        <v>0</v>
      </c>
      <c r="R198" s="75">
        <v>0</v>
      </c>
      <c r="S198" s="72">
        <v>248</v>
      </c>
      <c r="T198" s="72">
        <v>0</v>
      </c>
      <c r="U198" s="72">
        <v>248</v>
      </c>
      <c r="V198" s="75">
        <v>0</v>
      </c>
      <c r="W198" s="72">
        <v>572</v>
      </c>
      <c r="X198" s="72">
        <v>0</v>
      </c>
      <c r="Y198" s="72">
        <v>572</v>
      </c>
      <c r="Z198" s="75">
        <v>0</v>
      </c>
      <c r="AA198" s="76">
        <v>1353</v>
      </c>
      <c r="AB198" s="72">
        <v>0</v>
      </c>
      <c r="AC198" s="76">
        <v>1353</v>
      </c>
      <c r="AD198" s="77">
        <v>0.5</v>
      </c>
    </row>
    <row r="199" spans="1:30" ht="12.75" x14ac:dyDescent="0.2">
      <c r="A199" s="83" t="s">
        <v>434</v>
      </c>
      <c r="B199" s="72">
        <v>216</v>
      </c>
      <c r="C199" s="72">
        <v>0</v>
      </c>
      <c r="D199" s="72">
        <v>0</v>
      </c>
      <c r="E199" s="72">
        <v>0</v>
      </c>
      <c r="F199" s="72">
        <v>216</v>
      </c>
      <c r="G199" s="73">
        <v>0</v>
      </c>
      <c r="H199" s="74">
        <v>108</v>
      </c>
      <c r="I199" s="74">
        <v>0</v>
      </c>
      <c r="J199" s="72">
        <v>128</v>
      </c>
      <c r="K199" s="72">
        <v>0</v>
      </c>
      <c r="L199" s="72">
        <v>0</v>
      </c>
      <c r="M199" s="72">
        <v>0</v>
      </c>
      <c r="N199" s="72">
        <v>128</v>
      </c>
      <c r="O199" s="72">
        <v>0</v>
      </c>
      <c r="P199" s="72">
        <v>128</v>
      </c>
      <c r="Q199" s="75">
        <v>0</v>
      </c>
      <c r="R199" s="75">
        <v>0</v>
      </c>
      <c r="S199" s="72">
        <v>149</v>
      </c>
      <c r="T199" s="72">
        <v>0</v>
      </c>
      <c r="U199" s="72">
        <v>149</v>
      </c>
      <c r="V199" s="75">
        <v>0</v>
      </c>
      <c r="W199" s="72">
        <v>402</v>
      </c>
      <c r="X199" s="72">
        <v>0</v>
      </c>
      <c r="Y199" s="72">
        <v>402</v>
      </c>
      <c r="Z199" s="75">
        <v>0</v>
      </c>
      <c r="AA199" s="72">
        <v>895</v>
      </c>
      <c r="AB199" s="72">
        <v>0</v>
      </c>
      <c r="AC199" s="72">
        <v>895</v>
      </c>
      <c r="AD199" s="77">
        <v>0.5</v>
      </c>
    </row>
    <row r="200" spans="1:30" ht="12.75" x14ac:dyDescent="0.2">
      <c r="A200" s="83" t="s">
        <v>361</v>
      </c>
      <c r="B200" s="72">
        <v>87</v>
      </c>
      <c r="C200" s="72">
        <v>0</v>
      </c>
      <c r="D200" s="72">
        <v>0</v>
      </c>
      <c r="E200" s="72">
        <v>0</v>
      </c>
      <c r="F200" s="72">
        <v>87</v>
      </c>
      <c r="G200" s="73">
        <v>0</v>
      </c>
      <c r="H200" s="74">
        <v>33</v>
      </c>
      <c r="I200" s="74">
        <v>0</v>
      </c>
      <c r="J200" s="72">
        <v>107</v>
      </c>
      <c r="K200" s="72">
        <v>22</v>
      </c>
      <c r="L200" s="72">
        <v>22</v>
      </c>
      <c r="M200" s="72">
        <v>0</v>
      </c>
      <c r="N200" s="72">
        <v>85</v>
      </c>
      <c r="O200" s="72">
        <v>22</v>
      </c>
      <c r="P200" s="72">
        <v>85</v>
      </c>
      <c r="Q200" s="75">
        <v>0.20599999999999999</v>
      </c>
      <c r="R200" s="75">
        <v>0.20599999999999999</v>
      </c>
      <c r="S200" s="72">
        <v>106</v>
      </c>
      <c r="T200" s="72">
        <v>34</v>
      </c>
      <c r="U200" s="72">
        <v>72</v>
      </c>
      <c r="V200" s="75">
        <v>0.32100000000000001</v>
      </c>
      <c r="W200" s="72">
        <v>124</v>
      </c>
      <c r="X200" s="72">
        <v>0</v>
      </c>
      <c r="Y200" s="72">
        <v>124</v>
      </c>
      <c r="Z200" s="75">
        <v>0</v>
      </c>
      <c r="AA200" s="72">
        <v>424</v>
      </c>
      <c r="AB200" s="72">
        <v>56</v>
      </c>
      <c r="AC200" s="72">
        <v>368</v>
      </c>
      <c r="AD200" s="77">
        <v>0.375</v>
      </c>
    </row>
    <row r="201" spans="1:30" ht="12.75" x14ac:dyDescent="0.2">
      <c r="A201" s="83" t="s">
        <v>189</v>
      </c>
      <c r="B201" s="72">
        <v>349</v>
      </c>
      <c r="C201" s="72">
        <v>56</v>
      </c>
      <c r="D201" s="72">
        <v>56</v>
      </c>
      <c r="E201" s="72">
        <v>0</v>
      </c>
      <c r="F201" s="72">
        <v>293</v>
      </c>
      <c r="G201" s="73">
        <v>0.16</v>
      </c>
      <c r="H201" s="74">
        <v>175</v>
      </c>
      <c r="I201" s="74">
        <v>0</v>
      </c>
      <c r="J201" s="72">
        <v>205</v>
      </c>
      <c r="K201" s="72">
        <v>10</v>
      </c>
      <c r="L201" s="72">
        <v>10</v>
      </c>
      <c r="M201" s="72">
        <v>0</v>
      </c>
      <c r="N201" s="72">
        <v>195</v>
      </c>
      <c r="O201" s="72">
        <v>10</v>
      </c>
      <c r="P201" s="72">
        <v>195</v>
      </c>
      <c r="Q201" s="75">
        <v>4.9000000000000002E-2</v>
      </c>
      <c r="R201" s="75">
        <v>4.9000000000000002E-2</v>
      </c>
      <c r="S201" s="72">
        <v>202</v>
      </c>
      <c r="T201" s="72">
        <v>516</v>
      </c>
      <c r="U201" s="72">
        <v>0</v>
      </c>
      <c r="V201" s="78">
        <v>2.5539999999999998</v>
      </c>
      <c r="W201" s="72">
        <v>553</v>
      </c>
      <c r="X201" s="72">
        <v>137</v>
      </c>
      <c r="Y201" s="72">
        <v>416</v>
      </c>
      <c r="Z201" s="75">
        <v>0.248</v>
      </c>
      <c r="AA201" s="76">
        <v>1309</v>
      </c>
      <c r="AB201" s="72">
        <v>719</v>
      </c>
      <c r="AC201" s="72">
        <v>904</v>
      </c>
      <c r="AD201" s="77">
        <v>0.5</v>
      </c>
    </row>
    <row r="202" spans="1:30" ht="12.75" x14ac:dyDescent="0.2">
      <c r="A202" s="83" t="s">
        <v>435</v>
      </c>
      <c r="B202" s="72">
        <v>63</v>
      </c>
      <c r="C202" s="72">
        <v>3</v>
      </c>
      <c r="D202" s="72">
        <v>3</v>
      </c>
      <c r="E202" s="72">
        <v>0</v>
      </c>
      <c r="F202" s="72">
        <v>60</v>
      </c>
      <c r="G202" s="73">
        <v>4.8000000000000001E-2</v>
      </c>
      <c r="H202" s="74">
        <v>32</v>
      </c>
      <c r="I202" s="74">
        <v>0</v>
      </c>
      <c r="J202" s="72">
        <v>48</v>
      </c>
      <c r="K202" s="72">
        <v>32</v>
      </c>
      <c r="L202" s="72">
        <v>32</v>
      </c>
      <c r="M202" s="72">
        <v>0</v>
      </c>
      <c r="N202" s="72">
        <v>16</v>
      </c>
      <c r="O202" s="72">
        <v>32</v>
      </c>
      <c r="P202" s="72">
        <v>16</v>
      </c>
      <c r="Q202" s="78">
        <v>0.66700000000000004</v>
      </c>
      <c r="R202" s="78">
        <v>0.66700000000000004</v>
      </c>
      <c r="S202" s="72">
        <v>45</v>
      </c>
      <c r="T202" s="72">
        <v>5</v>
      </c>
      <c r="U202" s="72">
        <v>40</v>
      </c>
      <c r="V202" s="75">
        <v>0.111</v>
      </c>
      <c r="W202" s="72">
        <v>98</v>
      </c>
      <c r="X202" s="72">
        <v>276</v>
      </c>
      <c r="Y202" s="72">
        <v>0</v>
      </c>
      <c r="Z202" s="78">
        <v>2.8159999999999998</v>
      </c>
      <c r="AA202" s="72">
        <v>254</v>
      </c>
      <c r="AB202" s="72">
        <v>316</v>
      </c>
      <c r="AC202" s="72">
        <v>116</v>
      </c>
      <c r="AD202" s="77">
        <v>0.5</v>
      </c>
    </row>
    <row r="203" spans="1:30" ht="12.75" x14ac:dyDescent="0.2">
      <c r="A203" s="83" t="s">
        <v>421</v>
      </c>
      <c r="B203" s="76">
        <v>1633</v>
      </c>
      <c r="C203" s="72">
        <v>0</v>
      </c>
      <c r="D203" s="72">
        <v>0</v>
      </c>
      <c r="E203" s="72">
        <v>0</v>
      </c>
      <c r="F203" s="76">
        <v>1633</v>
      </c>
      <c r="G203" s="73">
        <v>0</v>
      </c>
      <c r="H203" s="74">
        <v>817</v>
      </c>
      <c r="I203" s="74">
        <v>0</v>
      </c>
      <c r="J203" s="76">
        <v>1001</v>
      </c>
      <c r="K203" s="72">
        <v>0</v>
      </c>
      <c r="L203" s="72">
        <v>0</v>
      </c>
      <c r="M203" s="72">
        <v>0</v>
      </c>
      <c r="N203" s="76">
        <v>1001</v>
      </c>
      <c r="O203" s="72">
        <v>0</v>
      </c>
      <c r="P203" s="76">
        <v>1001</v>
      </c>
      <c r="Q203" s="75">
        <v>0</v>
      </c>
      <c r="R203" s="75">
        <v>0</v>
      </c>
      <c r="S203" s="76">
        <v>1001</v>
      </c>
      <c r="T203" s="72">
        <v>37</v>
      </c>
      <c r="U203" s="72">
        <v>964</v>
      </c>
      <c r="V203" s="75">
        <v>3.6999999999999998E-2</v>
      </c>
      <c r="W203" s="76">
        <v>2839</v>
      </c>
      <c r="X203" s="72">
        <v>0</v>
      </c>
      <c r="Y203" s="76">
        <v>2839</v>
      </c>
      <c r="Z203" s="75">
        <v>0</v>
      </c>
      <c r="AA203" s="76">
        <v>6474</v>
      </c>
      <c r="AB203" s="72">
        <v>37</v>
      </c>
      <c r="AC203" s="76">
        <v>6437</v>
      </c>
      <c r="AD203" s="77">
        <v>0.5</v>
      </c>
    </row>
    <row r="204" spans="1:30" ht="12.75" x14ac:dyDescent="0.2">
      <c r="A204" s="83" t="s">
        <v>437</v>
      </c>
      <c r="B204" s="72">
        <v>40</v>
      </c>
      <c r="C204" s="72">
        <v>0</v>
      </c>
      <c r="D204" s="72">
        <v>0</v>
      </c>
      <c r="E204" s="72">
        <v>0</v>
      </c>
      <c r="F204" s="72">
        <v>40</v>
      </c>
      <c r="G204" s="73">
        <v>0</v>
      </c>
      <c r="H204" s="74">
        <v>20</v>
      </c>
      <c r="I204" s="74">
        <v>0</v>
      </c>
      <c r="J204" s="72">
        <v>27</v>
      </c>
      <c r="K204" s="72">
        <v>0</v>
      </c>
      <c r="L204" s="72">
        <v>0</v>
      </c>
      <c r="M204" s="72">
        <v>0</v>
      </c>
      <c r="N204" s="72">
        <v>27</v>
      </c>
      <c r="O204" s="72">
        <v>0</v>
      </c>
      <c r="P204" s="72">
        <v>27</v>
      </c>
      <c r="Q204" s="75">
        <v>0</v>
      </c>
      <c r="R204" s="75">
        <v>0</v>
      </c>
      <c r="S204" s="72">
        <v>31</v>
      </c>
      <c r="T204" s="72">
        <v>0</v>
      </c>
      <c r="U204" s="72">
        <v>31</v>
      </c>
      <c r="V204" s="75">
        <v>0</v>
      </c>
      <c r="W204" s="72">
        <v>62</v>
      </c>
      <c r="X204" s="72">
        <v>189</v>
      </c>
      <c r="Y204" s="72">
        <v>0</v>
      </c>
      <c r="Z204" s="78">
        <v>3.048</v>
      </c>
      <c r="AA204" s="72">
        <v>160</v>
      </c>
      <c r="AB204" s="72">
        <v>189</v>
      </c>
      <c r="AC204" s="72">
        <v>98</v>
      </c>
      <c r="AD204" s="77">
        <v>0.5</v>
      </c>
    </row>
    <row r="205" spans="1:30" ht="12.75" x14ac:dyDescent="0.2">
      <c r="A205" s="83" t="s">
        <v>439</v>
      </c>
      <c r="B205" s="72">
        <v>714</v>
      </c>
      <c r="C205" s="72">
        <v>84</v>
      </c>
      <c r="D205" s="72">
        <v>84</v>
      </c>
      <c r="E205" s="72">
        <v>0</v>
      </c>
      <c r="F205" s="72">
        <v>630</v>
      </c>
      <c r="G205" s="73">
        <v>0.11799999999999999</v>
      </c>
      <c r="H205" s="74">
        <v>357</v>
      </c>
      <c r="I205" s="74">
        <v>0</v>
      </c>
      <c r="J205" s="72">
        <v>487</v>
      </c>
      <c r="K205" s="72">
        <v>0</v>
      </c>
      <c r="L205" s="72">
        <v>0</v>
      </c>
      <c r="M205" s="72">
        <v>0</v>
      </c>
      <c r="N205" s="72">
        <v>487</v>
      </c>
      <c r="O205" s="72">
        <v>0</v>
      </c>
      <c r="P205" s="72">
        <v>487</v>
      </c>
      <c r="Q205" s="75">
        <v>0</v>
      </c>
      <c r="R205" s="75">
        <v>0</v>
      </c>
      <c r="S205" s="72">
        <v>553</v>
      </c>
      <c r="T205" s="72">
        <v>1</v>
      </c>
      <c r="U205" s="72">
        <v>552</v>
      </c>
      <c r="V205" s="75">
        <v>2E-3</v>
      </c>
      <c r="W205" s="76">
        <v>1271</v>
      </c>
      <c r="X205" s="76">
        <v>1192</v>
      </c>
      <c r="Y205" s="72">
        <v>79</v>
      </c>
      <c r="Z205" s="78">
        <v>0.93799999999999994</v>
      </c>
      <c r="AA205" s="76">
        <v>3025</v>
      </c>
      <c r="AB205" s="76">
        <v>1277</v>
      </c>
      <c r="AC205" s="76">
        <v>1748</v>
      </c>
      <c r="AD205" s="77">
        <v>0.5</v>
      </c>
    </row>
    <row r="206" spans="1:30" ht="12.75" x14ac:dyDescent="0.2">
      <c r="A206" s="83" t="s">
        <v>441</v>
      </c>
      <c r="B206" s="72">
        <v>0</v>
      </c>
      <c r="C206" s="72">
        <v>0</v>
      </c>
      <c r="D206" s="72">
        <v>0</v>
      </c>
      <c r="E206" s="72">
        <v>0</v>
      </c>
      <c r="F206" s="72">
        <v>0</v>
      </c>
      <c r="G206" s="88" t="s">
        <v>196</v>
      </c>
      <c r="H206" s="74">
        <v>0</v>
      </c>
      <c r="I206" s="74">
        <v>0</v>
      </c>
      <c r="J206" s="72">
        <v>0</v>
      </c>
      <c r="K206" s="72">
        <v>0</v>
      </c>
      <c r="L206" s="72">
        <v>0</v>
      </c>
      <c r="M206" s="72">
        <v>0</v>
      </c>
      <c r="N206" s="72">
        <v>0</v>
      </c>
      <c r="O206" s="72">
        <v>0</v>
      </c>
      <c r="P206" s="72">
        <v>0</v>
      </c>
      <c r="Q206" s="80" t="s">
        <v>196</v>
      </c>
      <c r="R206" s="80" t="s">
        <v>196</v>
      </c>
      <c r="S206" s="72">
        <v>0</v>
      </c>
      <c r="T206" s="72">
        <v>0</v>
      </c>
      <c r="U206" s="72">
        <v>0</v>
      </c>
      <c r="V206" s="80" t="s">
        <v>196</v>
      </c>
      <c r="W206" s="72">
        <v>0</v>
      </c>
      <c r="X206" s="72">
        <v>0</v>
      </c>
      <c r="Y206" s="72">
        <v>0</v>
      </c>
      <c r="Z206" s="80" t="s">
        <v>196</v>
      </c>
      <c r="AA206" s="72">
        <v>0</v>
      </c>
      <c r="AB206" s="72">
        <v>0</v>
      </c>
      <c r="AC206" s="84">
        <v>0</v>
      </c>
      <c r="AD206" s="77">
        <v>0.5</v>
      </c>
    </row>
    <row r="207" spans="1:30" ht="12.75" x14ac:dyDescent="0.2">
      <c r="A207" s="83" t="s">
        <v>443</v>
      </c>
      <c r="B207" s="72">
        <v>250</v>
      </c>
      <c r="C207" s="72">
        <v>39</v>
      </c>
      <c r="D207" s="72">
        <v>39</v>
      </c>
      <c r="E207" s="72">
        <v>0</v>
      </c>
      <c r="F207" s="72">
        <v>211</v>
      </c>
      <c r="G207" s="73">
        <v>0.156</v>
      </c>
      <c r="H207" s="74">
        <v>125</v>
      </c>
      <c r="I207" s="74">
        <v>0</v>
      </c>
      <c r="J207" s="72">
        <v>150</v>
      </c>
      <c r="K207" s="72">
        <v>1</v>
      </c>
      <c r="L207" s="72">
        <v>1</v>
      </c>
      <c r="M207" s="72">
        <v>0</v>
      </c>
      <c r="N207" s="72">
        <v>149</v>
      </c>
      <c r="O207" s="72">
        <v>1</v>
      </c>
      <c r="P207" s="72">
        <v>149</v>
      </c>
      <c r="Q207" s="75">
        <v>7.0000000000000001E-3</v>
      </c>
      <c r="R207" s="75">
        <v>7.0000000000000001E-3</v>
      </c>
      <c r="S207" s="72">
        <v>167</v>
      </c>
      <c r="T207" s="72">
        <v>0</v>
      </c>
      <c r="U207" s="72">
        <v>167</v>
      </c>
      <c r="V207" s="75">
        <v>0</v>
      </c>
      <c r="W207" s="72">
        <v>446</v>
      </c>
      <c r="X207" s="72">
        <v>33</v>
      </c>
      <c r="Y207" s="72">
        <v>413</v>
      </c>
      <c r="Z207" s="75">
        <v>7.3999999999999996E-2</v>
      </c>
      <c r="AA207" s="76">
        <v>1013</v>
      </c>
      <c r="AB207" s="72">
        <v>73</v>
      </c>
      <c r="AC207" s="72">
        <v>940</v>
      </c>
      <c r="AD207" s="77">
        <v>0.5</v>
      </c>
    </row>
    <row r="208" spans="1:30" ht="12.75" x14ac:dyDescent="0.2">
      <c r="A208" s="83" t="s">
        <v>432</v>
      </c>
      <c r="B208" s="72">
        <v>35</v>
      </c>
      <c r="C208" s="72">
        <v>0</v>
      </c>
      <c r="D208" s="72">
        <v>0</v>
      </c>
      <c r="E208" s="72">
        <v>0</v>
      </c>
      <c r="F208" s="72">
        <v>35</v>
      </c>
      <c r="G208" s="73">
        <v>0</v>
      </c>
      <c r="H208" s="74">
        <v>35</v>
      </c>
      <c r="I208" s="74">
        <v>0</v>
      </c>
      <c r="J208" s="72">
        <v>25</v>
      </c>
      <c r="K208" s="72">
        <v>0</v>
      </c>
      <c r="L208" s="72">
        <v>0</v>
      </c>
      <c r="M208" s="72">
        <v>0</v>
      </c>
      <c r="N208" s="72">
        <v>25</v>
      </c>
      <c r="O208" s="72">
        <v>0</v>
      </c>
      <c r="P208" s="72">
        <v>25</v>
      </c>
      <c r="Q208" s="75">
        <v>0</v>
      </c>
      <c r="R208" s="75">
        <v>0</v>
      </c>
      <c r="S208" s="72">
        <v>28</v>
      </c>
      <c r="T208" s="72">
        <v>0</v>
      </c>
      <c r="U208" s="72">
        <v>28</v>
      </c>
      <c r="V208" s="75">
        <v>0</v>
      </c>
      <c r="W208" s="72">
        <v>72</v>
      </c>
      <c r="X208" s="72">
        <v>21</v>
      </c>
      <c r="Y208" s="72">
        <v>51</v>
      </c>
      <c r="Z208" s="75">
        <v>0.29199999999999998</v>
      </c>
      <c r="AA208" s="72">
        <v>160</v>
      </c>
      <c r="AB208" s="72">
        <v>21</v>
      </c>
      <c r="AC208" s="72">
        <v>139</v>
      </c>
      <c r="AD208" s="77">
        <v>1</v>
      </c>
    </row>
    <row r="209" spans="1:30" ht="12.75" x14ac:dyDescent="0.2">
      <c r="A209" s="83" t="s">
        <v>217</v>
      </c>
      <c r="B209" s="72">
        <v>3</v>
      </c>
      <c r="C209" s="72">
        <v>0</v>
      </c>
      <c r="D209" s="72">
        <v>0</v>
      </c>
      <c r="E209" s="72">
        <v>0</v>
      </c>
      <c r="F209" s="72">
        <v>3</v>
      </c>
      <c r="G209" s="73">
        <v>0</v>
      </c>
      <c r="H209" s="74">
        <v>3</v>
      </c>
      <c r="I209" s="74">
        <v>0</v>
      </c>
      <c r="J209" s="72">
        <v>3</v>
      </c>
      <c r="K209" s="72">
        <v>0</v>
      </c>
      <c r="L209" s="72">
        <v>0</v>
      </c>
      <c r="M209" s="72">
        <v>0</v>
      </c>
      <c r="N209" s="72">
        <v>3</v>
      </c>
      <c r="O209" s="72">
        <v>0</v>
      </c>
      <c r="P209" s="72">
        <v>3</v>
      </c>
      <c r="Q209" s="75">
        <v>0</v>
      </c>
      <c r="R209" s="75">
        <v>0</v>
      </c>
      <c r="S209" s="72">
        <v>3</v>
      </c>
      <c r="T209" s="72">
        <v>66</v>
      </c>
      <c r="U209" s="72">
        <v>0</v>
      </c>
      <c r="V209" s="78">
        <v>22</v>
      </c>
      <c r="W209" s="72">
        <v>7</v>
      </c>
      <c r="X209" s="72">
        <v>75</v>
      </c>
      <c r="Y209" s="72">
        <v>0</v>
      </c>
      <c r="Z209" s="78">
        <v>10.714</v>
      </c>
      <c r="AA209" s="72">
        <v>16</v>
      </c>
      <c r="AB209" s="72">
        <v>141</v>
      </c>
      <c r="AC209" s="72">
        <v>6</v>
      </c>
      <c r="AD209" s="77">
        <v>1</v>
      </c>
    </row>
    <row r="210" spans="1:30" ht="12.75" x14ac:dyDescent="0.2">
      <c r="A210" s="83" t="s">
        <v>445</v>
      </c>
      <c r="B210" s="76">
        <v>2817</v>
      </c>
      <c r="C210" s="72">
        <v>907</v>
      </c>
      <c r="D210" s="72">
        <v>907</v>
      </c>
      <c r="E210" s="72">
        <v>0</v>
      </c>
      <c r="F210" s="76">
        <v>1910</v>
      </c>
      <c r="G210" s="73">
        <v>0.32200000000000001</v>
      </c>
      <c r="H210" s="74">
        <v>1409</v>
      </c>
      <c r="I210" s="74">
        <v>0</v>
      </c>
      <c r="J210" s="76">
        <v>2034</v>
      </c>
      <c r="K210" s="72">
        <v>3</v>
      </c>
      <c r="L210" s="72">
        <v>3</v>
      </c>
      <c r="M210" s="72">
        <v>0</v>
      </c>
      <c r="N210" s="76">
        <v>2031</v>
      </c>
      <c r="O210" s="72">
        <v>3</v>
      </c>
      <c r="P210" s="76">
        <v>2031</v>
      </c>
      <c r="Q210" s="75">
        <v>1E-3</v>
      </c>
      <c r="R210" s="75">
        <v>1E-3</v>
      </c>
      <c r="S210" s="76">
        <v>2239</v>
      </c>
      <c r="T210" s="76">
        <v>12973</v>
      </c>
      <c r="U210" s="72">
        <v>0</v>
      </c>
      <c r="V210" s="78">
        <v>5.7939999999999996</v>
      </c>
      <c r="W210" s="76">
        <v>5059</v>
      </c>
      <c r="X210" s="76">
        <v>12137</v>
      </c>
      <c r="Y210" s="72">
        <v>0</v>
      </c>
      <c r="Z210" s="78">
        <v>2.399</v>
      </c>
      <c r="AA210" s="76">
        <v>12149</v>
      </c>
      <c r="AB210" s="76">
        <v>26020</v>
      </c>
      <c r="AC210" s="76">
        <v>3941</v>
      </c>
      <c r="AD210" s="77">
        <v>0.5</v>
      </c>
    </row>
    <row r="211" spans="1:30" ht="12.75" x14ac:dyDescent="0.2">
      <c r="A211" s="83" t="s">
        <v>446</v>
      </c>
      <c r="B211" s="72">
        <v>4</v>
      </c>
      <c r="C211" s="72">
        <v>3</v>
      </c>
      <c r="D211" s="72">
        <v>3</v>
      </c>
      <c r="E211" s="72">
        <v>0</v>
      </c>
      <c r="F211" s="72">
        <v>1</v>
      </c>
      <c r="G211" s="79">
        <v>0.75</v>
      </c>
      <c r="H211" s="74">
        <v>2</v>
      </c>
      <c r="I211" s="74">
        <v>1</v>
      </c>
      <c r="J211" s="72">
        <v>2</v>
      </c>
      <c r="K211" s="72">
        <v>2</v>
      </c>
      <c r="L211" s="72">
        <v>2</v>
      </c>
      <c r="M211" s="72">
        <v>0</v>
      </c>
      <c r="N211" s="72">
        <v>0</v>
      </c>
      <c r="O211" s="72">
        <v>3</v>
      </c>
      <c r="P211" s="72">
        <v>0</v>
      </c>
      <c r="Q211" s="78">
        <v>1</v>
      </c>
      <c r="R211" s="78">
        <v>1.5</v>
      </c>
      <c r="S211" s="72">
        <v>2</v>
      </c>
      <c r="T211" s="72">
        <v>4</v>
      </c>
      <c r="U211" s="72">
        <v>0</v>
      </c>
      <c r="V211" s="78">
        <v>2</v>
      </c>
      <c r="W211" s="72">
        <v>7</v>
      </c>
      <c r="X211" s="72">
        <v>0</v>
      </c>
      <c r="Y211" s="72">
        <v>7</v>
      </c>
      <c r="Z211" s="75">
        <v>0</v>
      </c>
      <c r="AA211" s="72">
        <v>15</v>
      </c>
      <c r="AB211" s="72">
        <v>9</v>
      </c>
      <c r="AC211" s="72">
        <v>8</v>
      </c>
      <c r="AD211" s="77">
        <v>0.5</v>
      </c>
    </row>
    <row r="212" spans="1:30" ht="12.75" x14ac:dyDescent="0.2">
      <c r="A212" s="83" t="s">
        <v>447</v>
      </c>
      <c r="B212" s="72">
        <v>4</v>
      </c>
      <c r="C212" s="72">
        <v>0</v>
      </c>
      <c r="D212" s="72">
        <v>0</v>
      </c>
      <c r="E212" s="72">
        <v>0</v>
      </c>
      <c r="F212" s="72">
        <v>4</v>
      </c>
      <c r="G212" s="73">
        <v>0</v>
      </c>
      <c r="H212" s="74">
        <v>2</v>
      </c>
      <c r="I212" s="74">
        <v>0</v>
      </c>
      <c r="J212" s="72">
        <v>3</v>
      </c>
      <c r="K212" s="72">
        <v>0</v>
      </c>
      <c r="L212" s="72">
        <v>0</v>
      </c>
      <c r="M212" s="72">
        <v>0</v>
      </c>
      <c r="N212" s="72">
        <v>3</v>
      </c>
      <c r="O212" s="72">
        <v>0</v>
      </c>
      <c r="P212" s="72">
        <v>3</v>
      </c>
      <c r="Q212" s="75">
        <v>0</v>
      </c>
      <c r="R212" s="75">
        <v>0</v>
      </c>
      <c r="S212" s="72">
        <v>4</v>
      </c>
      <c r="T212" s="72">
        <v>0</v>
      </c>
      <c r="U212" s="72">
        <v>4</v>
      </c>
      <c r="V212" s="75">
        <v>0</v>
      </c>
      <c r="W212" s="72">
        <v>12</v>
      </c>
      <c r="X212" s="72">
        <v>0</v>
      </c>
      <c r="Y212" s="72">
        <v>12</v>
      </c>
      <c r="Z212" s="75">
        <v>0</v>
      </c>
      <c r="AA212" s="72">
        <v>23</v>
      </c>
      <c r="AB212" s="72">
        <v>0</v>
      </c>
      <c r="AC212" s="72">
        <v>23</v>
      </c>
      <c r="AD212" s="77">
        <v>0.5</v>
      </c>
    </row>
    <row r="213" spans="1:30" ht="12.75" x14ac:dyDescent="0.2">
      <c r="A213" s="83" t="s">
        <v>219</v>
      </c>
      <c r="B213" s="72">
        <v>4</v>
      </c>
      <c r="C213" s="72">
        <v>0</v>
      </c>
      <c r="D213" s="72">
        <v>0</v>
      </c>
      <c r="E213" s="72">
        <v>0</v>
      </c>
      <c r="F213" s="72">
        <v>4</v>
      </c>
      <c r="G213" s="73">
        <v>0</v>
      </c>
      <c r="H213" s="74">
        <v>4</v>
      </c>
      <c r="I213" s="74">
        <v>0</v>
      </c>
      <c r="J213" s="72">
        <v>3</v>
      </c>
      <c r="K213" s="72">
        <v>0</v>
      </c>
      <c r="L213" s="72">
        <v>0</v>
      </c>
      <c r="M213" s="72">
        <v>0</v>
      </c>
      <c r="N213" s="72">
        <v>3</v>
      </c>
      <c r="O213" s="72">
        <v>0</v>
      </c>
      <c r="P213" s="72">
        <v>3</v>
      </c>
      <c r="Q213" s="75">
        <v>0</v>
      </c>
      <c r="R213" s="75">
        <v>0</v>
      </c>
      <c r="S213" s="72">
        <v>4</v>
      </c>
      <c r="T213" s="72">
        <v>29</v>
      </c>
      <c r="U213" s="72">
        <v>0</v>
      </c>
      <c r="V213" s="78">
        <v>7.25</v>
      </c>
      <c r="W213" s="72">
        <v>8</v>
      </c>
      <c r="X213" s="72">
        <v>18</v>
      </c>
      <c r="Y213" s="72">
        <v>0</v>
      </c>
      <c r="Z213" s="78">
        <v>2.25</v>
      </c>
      <c r="AA213" s="72">
        <v>19</v>
      </c>
      <c r="AB213" s="72">
        <v>47</v>
      </c>
      <c r="AC213" s="72">
        <v>7</v>
      </c>
      <c r="AD213" s="77">
        <v>1</v>
      </c>
    </row>
    <row r="214" spans="1:30" ht="12.75" x14ac:dyDescent="0.2">
      <c r="A214" s="83" t="s">
        <v>449</v>
      </c>
      <c r="B214" s="72">
        <v>409</v>
      </c>
      <c r="C214" s="72">
        <v>0</v>
      </c>
      <c r="D214" s="72">
        <v>0</v>
      </c>
      <c r="E214" s="72">
        <v>0</v>
      </c>
      <c r="F214" s="72">
        <v>409</v>
      </c>
      <c r="G214" s="73">
        <v>0</v>
      </c>
      <c r="H214" s="74">
        <v>205</v>
      </c>
      <c r="I214" s="74">
        <v>0</v>
      </c>
      <c r="J214" s="72">
        <v>275</v>
      </c>
      <c r="K214" s="72">
        <v>0</v>
      </c>
      <c r="L214" s="72">
        <v>0</v>
      </c>
      <c r="M214" s="72">
        <v>0</v>
      </c>
      <c r="N214" s="72">
        <v>275</v>
      </c>
      <c r="O214" s="72">
        <v>0</v>
      </c>
      <c r="P214" s="72">
        <v>275</v>
      </c>
      <c r="Q214" s="75">
        <v>0</v>
      </c>
      <c r="R214" s="75">
        <v>0</v>
      </c>
      <c r="S214" s="72">
        <v>307</v>
      </c>
      <c r="T214" s="72">
        <v>0</v>
      </c>
      <c r="U214" s="72">
        <v>307</v>
      </c>
      <c r="V214" s="75">
        <v>0</v>
      </c>
      <c r="W214" s="72">
        <v>721</v>
      </c>
      <c r="X214" s="72">
        <v>340</v>
      </c>
      <c r="Y214" s="72">
        <v>381</v>
      </c>
      <c r="Z214" s="75">
        <v>0.47199999999999998</v>
      </c>
      <c r="AA214" s="76">
        <v>1712</v>
      </c>
      <c r="AB214" s="72">
        <v>340</v>
      </c>
      <c r="AC214" s="76">
        <v>1372</v>
      </c>
      <c r="AD214" s="77">
        <v>0.5</v>
      </c>
    </row>
    <row r="215" spans="1:30" ht="12.75" x14ac:dyDescent="0.2">
      <c r="A215" s="83" t="s">
        <v>363</v>
      </c>
      <c r="B215" s="72">
        <v>238</v>
      </c>
      <c r="C215" s="72">
        <v>0</v>
      </c>
      <c r="D215" s="72">
        <v>0</v>
      </c>
      <c r="E215" s="72">
        <v>0</v>
      </c>
      <c r="F215" s="72">
        <v>238</v>
      </c>
      <c r="G215" s="73">
        <v>0</v>
      </c>
      <c r="H215" s="74">
        <v>89</v>
      </c>
      <c r="I215" s="74">
        <v>0</v>
      </c>
      <c r="J215" s="72">
        <v>211</v>
      </c>
      <c r="K215" s="72">
        <v>6</v>
      </c>
      <c r="L215" s="72">
        <v>5</v>
      </c>
      <c r="M215" s="72">
        <v>1</v>
      </c>
      <c r="N215" s="72">
        <v>205</v>
      </c>
      <c r="O215" s="72">
        <v>6</v>
      </c>
      <c r="P215" s="72">
        <v>205</v>
      </c>
      <c r="Q215" s="75">
        <v>2.8000000000000001E-2</v>
      </c>
      <c r="R215" s="75">
        <v>2.8000000000000001E-2</v>
      </c>
      <c r="S215" s="72">
        <v>202</v>
      </c>
      <c r="T215" s="72">
        <v>71</v>
      </c>
      <c r="U215" s="72">
        <v>131</v>
      </c>
      <c r="V215" s="75">
        <v>0.35099999999999998</v>
      </c>
      <c r="W215" s="72">
        <v>258</v>
      </c>
      <c r="X215" s="72">
        <v>67</v>
      </c>
      <c r="Y215" s="72">
        <v>191</v>
      </c>
      <c r="Z215" s="75">
        <v>0.26</v>
      </c>
      <c r="AA215" s="72">
        <v>909</v>
      </c>
      <c r="AB215" s="72">
        <v>144</v>
      </c>
      <c r="AC215" s="72">
        <v>765</v>
      </c>
      <c r="AD215" s="77">
        <v>0.375</v>
      </c>
    </row>
    <row r="216" spans="1:30" ht="12.75" x14ac:dyDescent="0.2">
      <c r="A216" s="83" t="s">
        <v>438</v>
      </c>
      <c r="B216" s="76">
        <v>4888</v>
      </c>
      <c r="C216" s="72">
        <v>103</v>
      </c>
      <c r="D216" s="72">
        <v>103</v>
      </c>
      <c r="E216" s="72">
        <v>0</v>
      </c>
      <c r="F216" s="76">
        <v>4785</v>
      </c>
      <c r="G216" s="73">
        <v>2.1000000000000001E-2</v>
      </c>
      <c r="H216" s="74">
        <v>1833</v>
      </c>
      <c r="I216" s="74">
        <v>0</v>
      </c>
      <c r="J216" s="76">
        <v>3107</v>
      </c>
      <c r="K216" s="72">
        <v>57</v>
      </c>
      <c r="L216" s="72">
        <v>57</v>
      </c>
      <c r="M216" s="72">
        <v>0</v>
      </c>
      <c r="N216" s="76">
        <v>3050</v>
      </c>
      <c r="O216" s="72">
        <v>57</v>
      </c>
      <c r="P216" s="76">
        <v>3050</v>
      </c>
      <c r="Q216" s="75">
        <v>1.7999999999999999E-2</v>
      </c>
      <c r="R216" s="75">
        <v>1.7999999999999999E-2</v>
      </c>
      <c r="S216" s="76">
        <v>3126</v>
      </c>
      <c r="T216" s="72">
        <v>0</v>
      </c>
      <c r="U216" s="76">
        <v>3126</v>
      </c>
      <c r="V216" s="75">
        <v>0</v>
      </c>
      <c r="W216" s="76">
        <v>10462</v>
      </c>
      <c r="X216" s="72">
        <v>3</v>
      </c>
      <c r="Y216" s="76">
        <v>10459</v>
      </c>
      <c r="Z216" s="75">
        <v>0</v>
      </c>
      <c r="AA216" s="76">
        <v>21583</v>
      </c>
      <c r="AB216" s="72">
        <v>163</v>
      </c>
      <c r="AC216" s="76">
        <v>21420</v>
      </c>
      <c r="AD216" s="77">
        <v>0.375</v>
      </c>
    </row>
    <row r="217" spans="1:30" ht="12.75" x14ac:dyDescent="0.2">
      <c r="A217" s="83" t="s">
        <v>452</v>
      </c>
      <c r="B217" s="72">
        <v>43</v>
      </c>
      <c r="C217" s="72">
        <v>0</v>
      </c>
      <c r="D217" s="72">
        <v>0</v>
      </c>
      <c r="E217" s="72">
        <v>0</v>
      </c>
      <c r="F217" s="72">
        <v>43</v>
      </c>
      <c r="G217" s="73">
        <v>0</v>
      </c>
      <c r="H217" s="74">
        <v>16</v>
      </c>
      <c r="I217" s="74">
        <v>0</v>
      </c>
      <c r="J217" s="72">
        <v>28</v>
      </c>
      <c r="K217" s="72">
        <v>6</v>
      </c>
      <c r="L217" s="72">
        <v>6</v>
      </c>
      <c r="M217" s="72">
        <v>0</v>
      </c>
      <c r="N217" s="72">
        <v>22</v>
      </c>
      <c r="O217" s="72">
        <v>6</v>
      </c>
      <c r="P217" s="72">
        <v>22</v>
      </c>
      <c r="Q217" s="75">
        <v>0.214</v>
      </c>
      <c r="R217" s="75">
        <v>0.214</v>
      </c>
      <c r="S217" s="72">
        <v>33</v>
      </c>
      <c r="T217" s="72">
        <v>6</v>
      </c>
      <c r="U217" s="72">
        <v>27</v>
      </c>
      <c r="V217" s="75">
        <v>0.182</v>
      </c>
      <c r="W217" s="72">
        <v>76</v>
      </c>
      <c r="X217" s="72">
        <v>126</v>
      </c>
      <c r="Y217" s="72">
        <v>0</v>
      </c>
      <c r="Z217" s="78">
        <v>1.6579999999999999</v>
      </c>
      <c r="AA217" s="72">
        <v>180</v>
      </c>
      <c r="AB217" s="72">
        <v>138</v>
      </c>
      <c r="AC217" s="72">
        <v>92</v>
      </c>
      <c r="AD217" s="77">
        <v>0.375</v>
      </c>
    </row>
    <row r="218" spans="1:30" ht="12.75" x14ac:dyDescent="0.2">
      <c r="A218" s="83" t="s">
        <v>450</v>
      </c>
      <c r="B218" s="72">
        <v>186</v>
      </c>
      <c r="C218" s="72">
        <v>0</v>
      </c>
      <c r="D218" s="72">
        <v>0</v>
      </c>
      <c r="E218" s="72">
        <v>0</v>
      </c>
      <c r="F218" s="72">
        <v>186</v>
      </c>
      <c r="G218" s="73">
        <v>0</v>
      </c>
      <c r="H218" s="74">
        <v>70</v>
      </c>
      <c r="I218" s="74">
        <v>0</v>
      </c>
      <c r="J218" s="72">
        <v>138</v>
      </c>
      <c r="K218" s="72">
        <v>19</v>
      </c>
      <c r="L218" s="72">
        <v>8</v>
      </c>
      <c r="M218" s="72">
        <v>11</v>
      </c>
      <c r="N218" s="72">
        <v>119</v>
      </c>
      <c r="O218" s="72">
        <v>19</v>
      </c>
      <c r="P218" s="72">
        <v>119</v>
      </c>
      <c r="Q218" s="75">
        <v>0.13800000000000001</v>
      </c>
      <c r="R218" s="75">
        <v>0.13800000000000001</v>
      </c>
      <c r="S218" s="72">
        <v>147</v>
      </c>
      <c r="T218" s="72">
        <v>2</v>
      </c>
      <c r="U218" s="72">
        <v>145</v>
      </c>
      <c r="V218" s="75">
        <v>1.4E-2</v>
      </c>
      <c r="W218" s="72">
        <v>347</v>
      </c>
      <c r="X218" s="72">
        <v>16</v>
      </c>
      <c r="Y218" s="72">
        <v>331</v>
      </c>
      <c r="Z218" s="75">
        <v>4.5999999999999999E-2</v>
      </c>
      <c r="AA218" s="72">
        <v>818</v>
      </c>
      <c r="AB218" s="72">
        <v>37</v>
      </c>
      <c r="AC218" s="72">
        <v>781</v>
      </c>
      <c r="AD218" s="77">
        <v>0.375</v>
      </c>
    </row>
    <row r="219" spans="1:30" ht="12.75" x14ac:dyDescent="0.2">
      <c r="A219" s="83" t="s">
        <v>365</v>
      </c>
      <c r="B219" s="72">
        <v>113</v>
      </c>
      <c r="C219" s="72">
        <v>0</v>
      </c>
      <c r="D219" s="72">
        <v>0</v>
      </c>
      <c r="E219" s="72">
        <v>0</v>
      </c>
      <c r="F219" s="72">
        <v>113</v>
      </c>
      <c r="G219" s="73">
        <v>0</v>
      </c>
      <c r="H219" s="74">
        <v>42</v>
      </c>
      <c r="I219" s="74">
        <v>0</v>
      </c>
      <c r="J219" s="72">
        <v>70</v>
      </c>
      <c r="K219" s="72">
        <v>0</v>
      </c>
      <c r="L219" s="72">
        <v>0</v>
      </c>
      <c r="M219" s="72">
        <v>0</v>
      </c>
      <c r="N219" s="72">
        <v>70</v>
      </c>
      <c r="O219" s="72">
        <v>0</v>
      </c>
      <c r="P219" s="72">
        <v>70</v>
      </c>
      <c r="Q219" s="75">
        <v>0</v>
      </c>
      <c r="R219" s="75">
        <v>0</v>
      </c>
      <c r="S219" s="72">
        <v>60</v>
      </c>
      <c r="T219" s="72">
        <v>19</v>
      </c>
      <c r="U219" s="72">
        <v>41</v>
      </c>
      <c r="V219" s="75">
        <v>0.317</v>
      </c>
      <c r="W219" s="72">
        <v>131</v>
      </c>
      <c r="X219" s="72">
        <v>0</v>
      </c>
      <c r="Y219" s="72">
        <v>131</v>
      </c>
      <c r="Z219" s="75">
        <v>0</v>
      </c>
      <c r="AA219" s="72">
        <v>374</v>
      </c>
      <c r="AB219" s="72">
        <v>19</v>
      </c>
      <c r="AC219" s="72">
        <v>355</v>
      </c>
      <c r="AD219" s="77">
        <v>0.375</v>
      </c>
    </row>
    <row r="220" spans="1:30" ht="12.75" x14ac:dyDescent="0.2">
      <c r="A220" s="83" t="s">
        <v>453</v>
      </c>
      <c r="B220" s="72">
        <v>30</v>
      </c>
      <c r="C220" s="72">
        <v>0</v>
      </c>
      <c r="D220" s="72">
        <v>0</v>
      </c>
      <c r="E220" s="72">
        <v>0</v>
      </c>
      <c r="F220" s="72">
        <v>30</v>
      </c>
      <c r="G220" s="73">
        <v>0</v>
      </c>
      <c r="H220" s="74">
        <v>15</v>
      </c>
      <c r="I220" s="74">
        <v>0</v>
      </c>
      <c r="J220" s="72">
        <v>18</v>
      </c>
      <c r="K220" s="72">
        <v>0</v>
      </c>
      <c r="L220" s="72">
        <v>0</v>
      </c>
      <c r="M220" s="72">
        <v>0</v>
      </c>
      <c r="N220" s="72">
        <v>18</v>
      </c>
      <c r="O220" s="72">
        <v>0</v>
      </c>
      <c r="P220" s="72">
        <v>18</v>
      </c>
      <c r="Q220" s="75">
        <v>0</v>
      </c>
      <c r="R220" s="75">
        <v>0</v>
      </c>
      <c r="S220" s="72">
        <v>20</v>
      </c>
      <c r="T220" s="72">
        <v>0</v>
      </c>
      <c r="U220" s="72">
        <v>20</v>
      </c>
      <c r="V220" s="75">
        <v>0</v>
      </c>
      <c r="W220" s="72">
        <v>44</v>
      </c>
      <c r="X220" s="72">
        <v>53</v>
      </c>
      <c r="Y220" s="72">
        <v>0</v>
      </c>
      <c r="Z220" s="78">
        <v>1.2050000000000001</v>
      </c>
      <c r="AA220" s="72">
        <v>112</v>
      </c>
      <c r="AB220" s="72">
        <v>53</v>
      </c>
      <c r="AC220" s="72">
        <v>68</v>
      </c>
      <c r="AD220" s="77">
        <v>0.5</v>
      </c>
    </row>
    <row r="221" spans="1:30" ht="12.75" x14ac:dyDescent="0.2">
      <c r="A221" s="83" t="s">
        <v>454</v>
      </c>
      <c r="B221" s="72">
        <v>1</v>
      </c>
      <c r="C221" s="72">
        <v>2</v>
      </c>
      <c r="D221" s="72">
        <v>0</v>
      </c>
      <c r="E221" s="72">
        <v>2</v>
      </c>
      <c r="F221" s="72">
        <v>0</v>
      </c>
      <c r="G221" s="79">
        <v>2</v>
      </c>
      <c r="H221" s="74">
        <v>1</v>
      </c>
      <c r="I221" s="74">
        <v>1</v>
      </c>
      <c r="J221" s="72">
        <v>1</v>
      </c>
      <c r="K221" s="72">
        <v>5</v>
      </c>
      <c r="L221" s="72">
        <v>3</v>
      </c>
      <c r="M221" s="72">
        <v>2</v>
      </c>
      <c r="N221" s="72">
        <v>0</v>
      </c>
      <c r="O221" s="72">
        <v>6</v>
      </c>
      <c r="P221" s="72">
        <v>0</v>
      </c>
      <c r="Q221" s="78">
        <v>5</v>
      </c>
      <c r="R221" s="78">
        <v>6</v>
      </c>
      <c r="S221" s="72">
        <v>1</v>
      </c>
      <c r="T221" s="72">
        <v>14</v>
      </c>
      <c r="U221" s="72">
        <v>0</v>
      </c>
      <c r="V221" s="78">
        <v>14</v>
      </c>
      <c r="W221" s="72">
        <v>1</v>
      </c>
      <c r="X221" s="72">
        <v>467</v>
      </c>
      <c r="Y221" s="72">
        <v>0</v>
      </c>
      <c r="Z221" s="78">
        <v>467</v>
      </c>
      <c r="AA221" s="72">
        <v>4</v>
      </c>
      <c r="AB221" s="72">
        <v>488</v>
      </c>
      <c r="AC221" s="84">
        <v>0</v>
      </c>
      <c r="AD221" s="77">
        <v>0.5</v>
      </c>
    </row>
    <row r="222" spans="1:30" ht="12.75" x14ac:dyDescent="0.2">
      <c r="A222" s="83" t="s">
        <v>456</v>
      </c>
      <c r="B222" s="72">
        <v>32</v>
      </c>
      <c r="C222" s="72">
        <v>0</v>
      </c>
      <c r="D222" s="72">
        <v>0</v>
      </c>
      <c r="E222" s="72">
        <v>0</v>
      </c>
      <c r="F222" s="72">
        <v>32</v>
      </c>
      <c r="G222" s="73">
        <v>0</v>
      </c>
      <c r="H222" s="74">
        <v>16</v>
      </c>
      <c r="I222" s="74">
        <v>0</v>
      </c>
      <c r="J222" s="72">
        <v>19</v>
      </c>
      <c r="K222" s="72">
        <v>0</v>
      </c>
      <c r="L222" s="72">
        <v>0</v>
      </c>
      <c r="M222" s="72">
        <v>0</v>
      </c>
      <c r="N222" s="72">
        <v>19</v>
      </c>
      <c r="O222" s="72">
        <v>0</v>
      </c>
      <c r="P222" s="72">
        <v>19</v>
      </c>
      <c r="Q222" s="75">
        <v>0</v>
      </c>
      <c r="R222" s="75">
        <v>0</v>
      </c>
      <c r="S222" s="72">
        <v>21</v>
      </c>
      <c r="T222" s="72">
        <v>0</v>
      </c>
      <c r="U222" s="72">
        <v>21</v>
      </c>
      <c r="V222" s="75">
        <v>0</v>
      </c>
      <c r="W222" s="72">
        <v>47</v>
      </c>
      <c r="X222" s="72">
        <v>0</v>
      </c>
      <c r="Y222" s="72">
        <v>47</v>
      </c>
      <c r="Z222" s="75">
        <v>0</v>
      </c>
      <c r="AA222" s="72">
        <v>119</v>
      </c>
      <c r="AB222" s="72">
        <v>0</v>
      </c>
      <c r="AC222" s="72">
        <v>119</v>
      </c>
      <c r="AD222" s="77">
        <v>0.5</v>
      </c>
    </row>
    <row r="223" spans="1:30" ht="12.75" x14ac:dyDescent="0.2">
      <c r="A223" s="83" t="s">
        <v>458</v>
      </c>
      <c r="B223" s="72">
        <v>430</v>
      </c>
      <c r="C223" s="72">
        <v>18</v>
      </c>
      <c r="D223" s="72">
        <v>18</v>
      </c>
      <c r="E223" s="72">
        <v>0</v>
      </c>
      <c r="F223" s="72">
        <v>412</v>
      </c>
      <c r="G223" s="73">
        <v>4.2000000000000003E-2</v>
      </c>
      <c r="H223" s="74">
        <v>215</v>
      </c>
      <c r="I223" s="74">
        <v>0</v>
      </c>
      <c r="J223" s="72">
        <v>326</v>
      </c>
      <c r="K223" s="72">
        <v>9</v>
      </c>
      <c r="L223" s="72">
        <v>0</v>
      </c>
      <c r="M223" s="72">
        <v>9</v>
      </c>
      <c r="N223" s="72">
        <v>317</v>
      </c>
      <c r="O223" s="72">
        <v>9</v>
      </c>
      <c r="P223" s="72">
        <v>317</v>
      </c>
      <c r="Q223" s="75">
        <v>2.8000000000000001E-2</v>
      </c>
      <c r="R223" s="75">
        <v>2.8000000000000001E-2</v>
      </c>
      <c r="S223" s="72">
        <v>302</v>
      </c>
      <c r="T223" s="72">
        <v>279</v>
      </c>
      <c r="U223" s="72">
        <v>23</v>
      </c>
      <c r="V223" s="78">
        <v>0.92400000000000004</v>
      </c>
      <c r="W223" s="72">
        <v>664</v>
      </c>
      <c r="X223" s="72">
        <v>831</v>
      </c>
      <c r="Y223" s="72">
        <v>0</v>
      </c>
      <c r="Z223" s="78">
        <v>1.252</v>
      </c>
      <c r="AA223" s="76">
        <v>1722</v>
      </c>
      <c r="AB223" s="76">
        <v>1137</v>
      </c>
      <c r="AC223" s="72">
        <v>752</v>
      </c>
      <c r="AD223" s="77">
        <v>0.5</v>
      </c>
    </row>
    <row r="224" spans="1:30" ht="12.75" x14ac:dyDescent="0.2">
      <c r="A224" s="83" t="s">
        <v>459</v>
      </c>
      <c r="B224" s="72">
        <v>62</v>
      </c>
      <c r="C224" s="72">
        <v>0</v>
      </c>
      <c r="D224" s="72">
        <v>0</v>
      </c>
      <c r="E224" s="72">
        <v>0</v>
      </c>
      <c r="F224" s="72">
        <v>62</v>
      </c>
      <c r="G224" s="73">
        <v>0</v>
      </c>
      <c r="H224" s="74">
        <v>31</v>
      </c>
      <c r="I224" s="74">
        <v>0</v>
      </c>
      <c r="J224" s="72">
        <v>37</v>
      </c>
      <c r="K224" s="72">
        <v>0</v>
      </c>
      <c r="L224" s="72">
        <v>0</v>
      </c>
      <c r="M224" s="72">
        <v>0</v>
      </c>
      <c r="N224" s="72">
        <v>37</v>
      </c>
      <c r="O224" s="72">
        <v>0</v>
      </c>
      <c r="P224" s="72">
        <v>37</v>
      </c>
      <c r="Q224" s="75">
        <v>0</v>
      </c>
      <c r="R224" s="75">
        <v>0</v>
      </c>
      <c r="S224" s="72">
        <v>40</v>
      </c>
      <c r="T224" s="72">
        <v>1</v>
      </c>
      <c r="U224" s="72">
        <v>39</v>
      </c>
      <c r="V224" s="75">
        <v>2.5000000000000001E-2</v>
      </c>
      <c r="W224" s="72">
        <v>96</v>
      </c>
      <c r="X224" s="72">
        <v>31</v>
      </c>
      <c r="Y224" s="72">
        <v>65</v>
      </c>
      <c r="Z224" s="75">
        <v>0.32300000000000001</v>
      </c>
      <c r="AA224" s="72">
        <v>235</v>
      </c>
      <c r="AB224" s="72">
        <v>32</v>
      </c>
      <c r="AC224" s="72">
        <v>203</v>
      </c>
      <c r="AD224" s="77">
        <v>0.5</v>
      </c>
    </row>
    <row r="225" spans="1:30" ht="12.75" x14ac:dyDescent="0.2">
      <c r="A225" s="83" t="s">
        <v>460</v>
      </c>
      <c r="B225" s="72">
        <v>2</v>
      </c>
      <c r="C225" s="72">
        <v>0</v>
      </c>
      <c r="D225" s="72">
        <v>0</v>
      </c>
      <c r="E225" s="72">
        <v>0</v>
      </c>
      <c r="F225" s="72">
        <v>2</v>
      </c>
      <c r="G225" s="73">
        <v>0</v>
      </c>
      <c r="H225" s="74">
        <v>1</v>
      </c>
      <c r="I225" s="74">
        <v>0</v>
      </c>
      <c r="J225" s="72">
        <v>2</v>
      </c>
      <c r="K225" s="72">
        <v>0</v>
      </c>
      <c r="L225" s="72">
        <v>0</v>
      </c>
      <c r="M225" s="72">
        <v>0</v>
      </c>
      <c r="N225" s="72">
        <v>2</v>
      </c>
      <c r="O225" s="72">
        <v>0</v>
      </c>
      <c r="P225" s="72">
        <v>2</v>
      </c>
      <c r="Q225" s="75">
        <v>0</v>
      </c>
      <c r="R225" s="75">
        <v>0</v>
      </c>
      <c r="S225" s="72">
        <v>2</v>
      </c>
      <c r="T225" s="72">
        <v>0</v>
      </c>
      <c r="U225" s="72">
        <v>2</v>
      </c>
      <c r="V225" s="75">
        <v>0</v>
      </c>
      <c r="W225" s="72">
        <v>3</v>
      </c>
      <c r="X225" s="72">
        <v>10</v>
      </c>
      <c r="Y225" s="72">
        <v>0</v>
      </c>
      <c r="Z225" s="78">
        <v>3.3330000000000002</v>
      </c>
      <c r="AA225" s="72">
        <v>9</v>
      </c>
      <c r="AB225" s="72">
        <v>10</v>
      </c>
      <c r="AC225" s="72">
        <v>6</v>
      </c>
      <c r="AD225" s="77">
        <v>0.5</v>
      </c>
    </row>
    <row r="226" spans="1:30" ht="12.75" x14ac:dyDescent="0.2">
      <c r="A226" s="83" t="s">
        <v>461</v>
      </c>
      <c r="B226" s="72">
        <v>208</v>
      </c>
      <c r="C226" s="72">
        <v>0</v>
      </c>
      <c r="D226" s="72">
        <v>0</v>
      </c>
      <c r="E226" s="72">
        <v>0</v>
      </c>
      <c r="F226" s="72">
        <v>208</v>
      </c>
      <c r="G226" s="73">
        <v>0</v>
      </c>
      <c r="H226" s="74">
        <v>104</v>
      </c>
      <c r="I226" s="74">
        <v>0</v>
      </c>
      <c r="J226" s="72">
        <v>121</v>
      </c>
      <c r="K226" s="72">
        <v>0</v>
      </c>
      <c r="L226" s="72">
        <v>0</v>
      </c>
      <c r="M226" s="72">
        <v>0</v>
      </c>
      <c r="N226" s="72">
        <v>121</v>
      </c>
      <c r="O226" s="72">
        <v>0</v>
      </c>
      <c r="P226" s="72">
        <v>121</v>
      </c>
      <c r="Q226" s="75">
        <v>0</v>
      </c>
      <c r="R226" s="75">
        <v>0</v>
      </c>
      <c r="S226" s="72">
        <v>135</v>
      </c>
      <c r="T226" s="72">
        <v>0</v>
      </c>
      <c r="U226" s="72">
        <v>135</v>
      </c>
      <c r="V226" s="75">
        <v>0</v>
      </c>
      <c r="W226" s="72">
        <v>354</v>
      </c>
      <c r="X226" s="72">
        <v>0</v>
      </c>
      <c r="Y226" s="72">
        <v>354</v>
      </c>
      <c r="Z226" s="75">
        <v>0</v>
      </c>
      <c r="AA226" s="72">
        <v>818</v>
      </c>
      <c r="AB226" s="72">
        <v>0</v>
      </c>
      <c r="AC226" s="72">
        <v>818</v>
      </c>
      <c r="AD226" s="77">
        <v>0.5</v>
      </c>
    </row>
    <row r="227" spans="1:30" ht="12.75" x14ac:dyDescent="0.2">
      <c r="A227" s="83" t="s">
        <v>462</v>
      </c>
      <c r="B227" s="72">
        <v>91</v>
      </c>
      <c r="C227" s="72">
        <v>0</v>
      </c>
      <c r="D227" s="72">
        <v>0</v>
      </c>
      <c r="E227" s="72">
        <v>0</v>
      </c>
      <c r="F227" s="72">
        <v>91</v>
      </c>
      <c r="G227" s="73">
        <v>0</v>
      </c>
      <c r="H227" s="74">
        <v>46</v>
      </c>
      <c r="I227" s="74">
        <v>0</v>
      </c>
      <c r="J227" s="72">
        <v>61</v>
      </c>
      <c r="K227" s="72">
        <v>0</v>
      </c>
      <c r="L227" s="72">
        <v>0</v>
      </c>
      <c r="M227" s="72">
        <v>0</v>
      </c>
      <c r="N227" s="72">
        <v>61</v>
      </c>
      <c r="O227" s="72">
        <v>0</v>
      </c>
      <c r="P227" s="72">
        <v>61</v>
      </c>
      <c r="Q227" s="75">
        <v>0</v>
      </c>
      <c r="R227" s="75">
        <v>0</v>
      </c>
      <c r="S227" s="72">
        <v>66</v>
      </c>
      <c r="T227" s="72">
        <v>15</v>
      </c>
      <c r="U227" s="72">
        <v>51</v>
      </c>
      <c r="V227" s="75">
        <v>0.22700000000000001</v>
      </c>
      <c r="W227" s="72">
        <v>146</v>
      </c>
      <c r="X227" s="72">
        <v>147</v>
      </c>
      <c r="Y227" s="72">
        <v>0</v>
      </c>
      <c r="Z227" s="78">
        <v>1.0069999999999999</v>
      </c>
      <c r="AA227" s="72">
        <v>364</v>
      </c>
      <c r="AB227" s="72">
        <v>162</v>
      </c>
      <c r="AC227" s="72">
        <v>203</v>
      </c>
      <c r="AD227" s="77">
        <v>0.5</v>
      </c>
    </row>
    <row r="228" spans="1:30" ht="12.75" x14ac:dyDescent="0.2">
      <c r="A228" s="83" t="s">
        <v>463</v>
      </c>
      <c r="B228" s="72">
        <v>147</v>
      </c>
      <c r="C228" s="72">
        <v>36</v>
      </c>
      <c r="D228" s="72">
        <v>36</v>
      </c>
      <c r="E228" s="72">
        <v>0</v>
      </c>
      <c r="F228" s="72">
        <v>111</v>
      </c>
      <c r="G228" s="73">
        <v>0.245</v>
      </c>
      <c r="H228" s="74">
        <v>74</v>
      </c>
      <c r="I228" s="74">
        <v>0</v>
      </c>
      <c r="J228" s="72">
        <v>88</v>
      </c>
      <c r="K228" s="72">
        <v>3</v>
      </c>
      <c r="L228" s="72">
        <v>2</v>
      </c>
      <c r="M228" s="72">
        <v>1</v>
      </c>
      <c r="N228" s="72">
        <v>85</v>
      </c>
      <c r="O228" s="72">
        <v>3</v>
      </c>
      <c r="P228" s="72">
        <v>85</v>
      </c>
      <c r="Q228" s="75">
        <v>3.4000000000000002E-2</v>
      </c>
      <c r="R228" s="75">
        <v>3.4000000000000002E-2</v>
      </c>
      <c r="S228" s="72">
        <v>94</v>
      </c>
      <c r="T228" s="72">
        <v>0</v>
      </c>
      <c r="U228" s="72">
        <v>94</v>
      </c>
      <c r="V228" s="75">
        <v>0</v>
      </c>
      <c r="W228" s="72">
        <v>233</v>
      </c>
      <c r="X228" s="72">
        <v>112</v>
      </c>
      <c r="Y228" s="72">
        <v>121</v>
      </c>
      <c r="Z228" s="75">
        <v>0.48099999999999998</v>
      </c>
      <c r="AA228" s="72">
        <v>562</v>
      </c>
      <c r="AB228" s="72">
        <v>151</v>
      </c>
      <c r="AC228" s="72">
        <v>411</v>
      </c>
      <c r="AD228" s="77">
        <v>0.5</v>
      </c>
    </row>
    <row r="229" spans="1:30" ht="12.75" x14ac:dyDescent="0.2">
      <c r="A229" s="83" t="s">
        <v>287</v>
      </c>
      <c r="B229" s="72">
        <v>138</v>
      </c>
      <c r="C229" s="72">
        <v>2</v>
      </c>
      <c r="D229" s="72">
        <v>2</v>
      </c>
      <c r="E229" s="72">
        <v>0</v>
      </c>
      <c r="F229" s="72">
        <v>136</v>
      </c>
      <c r="G229" s="73">
        <v>1.4E-2</v>
      </c>
      <c r="H229" s="74">
        <v>69</v>
      </c>
      <c r="I229" s="74">
        <v>0</v>
      </c>
      <c r="J229" s="72">
        <v>78</v>
      </c>
      <c r="K229" s="72">
        <v>3</v>
      </c>
      <c r="L229" s="72">
        <v>3</v>
      </c>
      <c r="M229" s="72">
        <v>0</v>
      </c>
      <c r="N229" s="72">
        <v>75</v>
      </c>
      <c r="O229" s="72">
        <v>3</v>
      </c>
      <c r="P229" s="72">
        <v>75</v>
      </c>
      <c r="Q229" s="75">
        <v>3.7999999999999999E-2</v>
      </c>
      <c r="R229" s="75">
        <v>3.7999999999999999E-2</v>
      </c>
      <c r="S229" s="72">
        <v>85</v>
      </c>
      <c r="T229" s="72">
        <v>45</v>
      </c>
      <c r="U229" s="72">
        <v>40</v>
      </c>
      <c r="V229" s="78">
        <v>0.52900000000000003</v>
      </c>
      <c r="W229" s="72">
        <v>99</v>
      </c>
      <c r="X229" s="72">
        <v>376</v>
      </c>
      <c r="Y229" s="72">
        <v>0</v>
      </c>
      <c r="Z229" s="78">
        <v>3.798</v>
      </c>
      <c r="AA229" s="72">
        <v>400</v>
      </c>
      <c r="AB229" s="72">
        <v>426</v>
      </c>
      <c r="AC229" s="72">
        <v>251</v>
      </c>
      <c r="AD229" s="77">
        <v>0.5</v>
      </c>
    </row>
    <row r="230" spans="1:30" ht="12.75" x14ac:dyDescent="0.2">
      <c r="A230" s="83" t="s">
        <v>464</v>
      </c>
      <c r="B230" s="72">
        <v>1</v>
      </c>
      <c r="C230" s="72">
        <v>0</v>
      </c>
      <c r="D230" s="72">
        <v>0</v>
      </c>
      <c r="E230" s="72">
        <v>0</v>
      </c>
      <c r="F230" s="72">
        <v>1</v>
      </c>
      <c r="G230" s="73">
        <v>0</v>
      </c>
      <c r="H230" s="74">
        <v>1</v>
      </c>
      <c r="I230" s="74">
        <v>0</v>
      </c>
      <c r="J230" s="72">
        <v>1</v>
      </c>
      <c r="K230" s="72">
        <v>2</v>
      </c>
      <c r="L230" s="72">
        <v>2</v>
      </c>
      <c r="M230" s="72">
        <v>0</v>
      </c>
      <c r="N230" s="72">
        <v>0</v>
      </c>
      <c r="O230" s="72">
        <v>2</v>
      </c>
      <c r="P230" s="72">
        <v>0</v>
      </c>
      <c r="Q230" s="78">
        <v>2</v>
      </c>
      <c r="R230" s="78">
        <v>2</v>
      </c>
      <c r="S230" s="72">
        <v>0</v>
      </c>
      <c r="T230" s="72">
        <v>11</v>
      </c>
      <c r="U230" s="72">
        <v>0</v>
      </c>
      <c r="V230" s="80" t="s">
        <v>196</v>
      </c>
      <c r="W230" s="72">
        <v>0</v>
      </c>
      <c r="X230" s="72">
        <v>64</v>
      </c>
      <c r="Y230" s="72">
        <v>0</v>
      </c>
      <c r="Z230" s="80" t="s">
        <v>196</v>
      </c>
      <c r="AA230" s="72">
        <v>2</v>
      </c>
      <c r="AB230" s="72">
        <v>77</v>
      </c>
      <c r="AC230" s="72">
        <v>1</v>
      </c>
      <c r="AD230" s="77">
        <v>0.5</v>
      </c>
    </row>
    <row r="231" spans="1:30" ht="12.75" x14ac:dyDescent="0.2">
      <c r="A231" s="83" t="s">
        <v>465</v>
      </c>
      <c r="B231" s="72">
        <v>1</v>
      </c>
      <c r="C231" s="72">
        <v>0</v>
      </c>
      <c r="D231" s="72">
        <v>0</v>
      </c>
      <c r="E231" s="72">
        <v>0</v>
      </c>
      <c r="F231" s="72">
        <v>1</v>
      </c>
      <c r="G231" s="73">
        <v>0</v>
      </c>
      <c r="H231" s="74">
        <v>1</v>
      </c>
      <c r="I231" s="74">
        <v>0</v>
      </c>
      <c r="J231" s="72">
        <v>1</v>
      </c>
      <c r="K231" s="72">
        <v>0</v>
      </c>
      <c r="L231" s="72">
        <v>0</v>
      </c>
      <c r="M231" s="72">
        <v>0</v>
      </c>
      <c r="N231" s="72">
        <v>1</v>
      </c>
      <c r="O231" s="72">
        <v>0</v>
      </c>
      <c r="P231" s="72">
        <v>1</v>
      </c>
      <c r="Q231" s="75">
        <v>0</v>
      </c>
      <c r="R231" s="75">
        <v>0</v>
      </c>
      <c r="S231" s="72">
        <v>0</v>
      </c>
      <c r="T231" s="72">
        <v>292</v>
      </c>
      <c r="U231" s="72">
        <v>0</v>
      </c>
      <c r="V231" s="80" t="s">
        <v>196</v>
      </c>
      <c r="W231" s="72">
        <v>0</v>
      </c>
      <c r="X231" s="72">
        <v>2</v>
      </c>
      <c r="Y231" s="72">
        <v>0</v>
      </c>
      <c r="Z231" s="80" t="s">
        <v>196</v>
      </c>
      <c r="AA231" s="72">
        <v>2</v>
      </c>
      <c r="AB231" s="72">
        <v>294</v>
      </c>
      <c r="AC231" s="72">
        <v>2</v>
      </c>
      <c r="AD231" s="77">
        <v>0.5</v>
      </c>
    </row>
    <row r="232" spans="1:30" ht="12.75" x14ac:dyDescent="0.2">
      <c r="A232" s="83" t="s">
        <v>466</v>
      </c>
      <c r="B232" s="72">
        <v>43</v>
      </c>
      <c r="C232" s="72">
        <v>41</v>
      </c>
      <c r="D232" s="72">
        <v>41</v>
      </c>
      <c r="E232" s="72">
        <v>0</v>
      </c>
      <c r="F232" s="72">
        <v>2</v>
      </c>
      <c r="G232" s="79">
        <v>0.95299999999999996</v>
      </c>
      <c r="H232" s="74">
        <v>22</v>
      </c>
      <c r="I232" s="74">
        <v>19</v>
      </c>
      <c r="J232" s="72">
        <v>30</v>
      </c>
      <c r="K232" s="72">
        <v>38</v>
      </c>
      <c r="L232" s="72">
        <v>38</v>
      </c>
      <c r="M232" s="72">
        <v>0</v>
      </c>
      <c r="N232" s="72">
        <v>0</v>
      </c>
      <c r="O232" s="72">
        <v>57</v>
      </c>
      <c r="P232" s="72">
        <v>0</v>
      </c>
      <c r="Q232" s="78">
        <v>1.2669999999999999</v>
      </c>
      <c r="R232" s="78">
        <v>1.9</v>
      </c>
      <c r="S232" s="72">
        <v>34</v>
      </c>
      <c r="T232" s="72">
        <v>2</v>
      </c>
      <c r="U232" s="72">
        <v>32</v>
      </c>
      <c r="V232" s="75">
        <v>5.8999999999999997E-2</v>
      </c>
      <c r="W232" s="72">
        <v>75</v>
      </c>
      <c r="X232" s="76">
        <v>1441</v>
      </c>
      <c r="Y232" s="72">
        <v>0</v>
      </c>
      <c r="Z232" s="78">
        <v>19.213000000000001</v>
      </c>
      <c r="AA232" s="72">
        <v>182</v>
      </c>
      <c r="AB232" s="76">
        <v>1522</v>
      </c>
      <c r="AC232" s="72">
        <v>34</v>
      </c>
      <c r="AD232" s="77">
        <v>0.5</v>
      </c>
    </row>
    <row r="233" spans="1:30" ht="12.75" x14ac:dyDescent="0.2">
      <c r="A233" s="83" t="s">
        <v>469</v>
      </c>
      <c r="B233" s="72">
        <v>1</v>
      </c>
      <c r="C233" s="72">
        <v>0</v>
      </c>
      <c r="D233" s="72">
        <v>0</v>
      </c>
      <c r="E233" s="72">
        <v>0</v>
      </c>
      <c r="F233" s="72">
        <v>1</v>
      </c>
      <c r="G233" s="73">
        <v>0</v>
      </c>
      <c r="H233" s="74">
        <v>1</v>
      </c>
      <c r="I233" s="74">
        <v>0</v>
      </c>
      <c r="J233" s="72">
        <v>1</v>
      </c>
      <c r="K233" s="72">
        <v>0</v>
      </c>
      <c r="L233" s="72">
        <v>0</v>
      </c>
      <c r="M233" s="72">
        <v>0</v>
      </c>
      <c r="N233" s="72">
        <v>1</v>
      </c>
      <c r="O233" s="72">
        <v>0</v>
      </c>
      <c r="P233" s="72">
        <v>1</v>
      </c>
      <c r="Q233" s="75">
        <v>0</v>
      </c>
      <c r="R233" s="75">
        <v>0</v>
      </c>
      <c r="S233" s="72">
        <v>0</v>
      </c>
      <c r="T233" s="72">
        <v>0</v>
      </c>
      <c r="U233" s="72">
        <v>0</v>
      </c>
      <c r="V233" s="80" t="s">
        <v>196</v>
      </c>
      <c r="W233" s="72">
        <v>0</v>
      </c>
      <c r="X233" s="72">
        <v>0</v>
      </c>
      <c r="Y233" s="72">
        <v>0</v>
      </c>
      <c r="Z233" s="80" t="s">
        <v>196</v>
      </c>
      <c r="AA233" s="72">
        <v>2</v>
      </c>
      <c r="AB233" s="72">
        <v>0</v>
      </c>
      <c r="AC233" s="72">
        <v>2</v>
      </c>
      <c r="AD233" s="77">
        <v>0.5</v>
      </c>
    </row>
    <row r="234" spans="1:30" ht="12.75" x14ac:dyDescent="0.2">
      <c r="A234" s="83" t="s">
        <v>457</v>
      </c>
      <c r="B234" s="72">
        <v>368</v>
      </c>
      <c r="C234" s="72">
        <v>8</v>
      </c>
      <c r="D234" s="72">
        <v>0</v>
      </c>
      <c r="E234" s="72">
        <v>8</v>
      </c>
      <c r="F234" s="72">
        <v>360</v>
      </c>
      <c r="G234" s="73">
        <v>2.1999999999999999E-2</v>
      </c>
      <c r="H234" s="74">
        <v>368</v>
      </c>
      <c r="I234" s="74">
        <v>0</v>
      </c>
      <c r="J234" s="72">
        <v>231</v>
      </c>
      <c r="K234" s="72">
        <v>17</v>
      </c>
      <c r="L234" s="72">
        <v>0</v>
      </c>
      <c r="M234" s="72">
        <v>17</v>
      </c>
      <c r="N234" s="72">
        <v>214</v>
      </c>
      <c r="O234" s="72">
        <v>17</v>
      </c>
      <c r="P234" s="72">
        <v>214</v>
      </c>
      <c r="Q234" s="75">
        <v>7.3999999999999996E-2</v>
      </c>
      <c r="R234" s="75">
        <v>7.3999999999999996E-2</v>
      </c>
      <c r="S234" s="72">
        <v>256</v>
      </c>
      <c r="T234" s="72">
        <v>22</v>
      </c>
      <c r="U234" s="72">
        <v>234</v>
      </c>
      <c r="V234" s="75">
        <v>8.5999999999999993E-2</v>
      </c>
      <c r="W234" s="72">
        <v>601</v>
      </c>
      <c r="X234" s="72">
        <v>16</v>
      </c>
      <c r="Y234" s="72">
        <v>585</v>
      </c>
      <c r="Z234" s="75">
        <v>2.7E-2</v>
      </c>
      <c r="AA234" s="76">
        <v>1456</v>
      </c>
      <c r="AB234" s="72">
        <v>63</v>
      </c>
      <c r="AC234" s="76">
        <v>1393</v>
      </c>
      <c r="AD234" s="77">
        <v>1</v>
      </c>
    </row>
    <row r="235" spans="1:30" ht="12.75" x14ac:dyDescent="0.2">
      <c r="A235" s="83" t="s">
        <v>470</v>
      </c>
      <c r="B235" s="76">
        <v>1196</v>
      </c>
      <c r="C235" s="72">
        <v>2</v>
      </c>
      <c r="D235" s="72">
        <v>0</v>
      </c>
      <c r="E235" s="72">
        <v>2</v>
      </c>
      <c r="F235" s="76">
        <v>1194</v>
      </c>
      <c r="G235" s="73">
        <v>2E-3</v>
      </c>
      <c r="H235" s="74">
        <v>598</v>
      </c>
      <c r="I235" s="74">
        <v>0</v>
      </c>
      <c r="J235" s="72">
        <v>801</v>
      </c>
      <c r="K235" s="72">
        <v>2</v>
      </c>
      <c r="L235" s="72">
        <v>0</v>
      </c>
      <c r="M235" s="72">
        <v>2</v>
      </c>
      <c r="N235" s="72">
        <v>799</v>
      </c>
      <c r="O235" s="72">
        <v>2</v>
      </c>
      <c r="P235" s="72">
        <v>799</v>
      </c>
      <c r="Q235" s="75">
        <v>2E-3</v>
      </c>
      <c r="R235" s="75">
        <v>2E-3</v>
      </c>
      <c r="S235" s="72">
        <v>897</v>
      </c>
      <c r="T235" s="72">
        <v>729</v>
      </c>
      <c r="U235" s="72">
        <v>168</v>
      </c>
      <c r="V235" s="78">
        <v>0.81299999999999994</v>
      </c>
      <c r="W235" s="76">
        <v>2035</v>
      </c>
      <c r="X235" s="72">
        <v>981</v>
      </c>
      <c r="Y235" s="76">
        <v>1054</v>
      </c>
      <c r="Z235" s="75">
        <v>0.48199999999999998</v>
      </c>
      <c r="AA235" s="76">
        <v>4929</v>
      </c>
      <c r="AB235" s="76">
        <v>1714</v>
      </c>
      <c r="AC235" s="76">
        <v>3215</v>
      </c>
      <c r="AD235" s="77">
        <v>0.5</v>
      </c>
    </row>
    <row r="236" spans="1:30" ht="12.75" x14ac:dyDescent="0.2">
      <c r="A236" s="83" t="s">
        <v>471</v>
      </c>
      <c r="B236" s="72">
        <v>647</v>
      </c>
      <c r="C236" s="72">
        <v>0</v>
      </c>
      <c r="D236" s="72">
        <v>0</v>
      </c>
      <c r="E236" s="72">
        <v>0</v>
      </c>
      <c r="F236" s="72">
        <v>647</v>
      </c>
      <c r="G236" s="73">
        <v>0</v>
      </c>
      <c r="H236" s="74">
        <v>324</v>
      </c>
      <c r="I236" s="74">
        <v>0</v>
      </c>
      <c r="J236" s="72">
        <v>450</v>
      </c>
      <c r="K236" s="72">
        <v>0</v>
      </c>
      <c r="L236" s="72">
        <v>0</v>
      </c>
      <c r="M236" s="72">
        <v>0</v>
      </c>
      <c r="N236" s="72">
        <v>450</v>
      </c>
      <c r="O236" s="72">
        <v>0</v>
      </c>
      <c r="P236" s="72">
        <v>450</v>
      </c>
      <c r="Q236" s="75">
        <v>0</v>
      </c>
      <c r="R236" s="75">
        <v>0</v>
      </c>
      <c r="S236" s="72">
        <v>497</v>
      </c>
      <c r="T236" s="72">
        <v>202</v>
      </c>
      <c r="U236" s="72">
        <v>295</v>
      </c>
      <c r="V236" s="75">
        <v>0.40600000000000003</v>
      </c>
      <c r="W236" s="76">
        <v>1133</v>
      </c>
      <c r="X236" s="76">
        <v>2624</v>
      </c>
      <c r="Y236" s="72">
        <v>0</v>
      </c>
      <c r="Z236" s="78">
        <v>2.3159999999999998</v>
      </c>
      <c r="AA236" s="76">
        <v>2727</v>
      </c>
      <c r="AB236" s="76">
        <v>2826</v>
      </c>
      <c r="AC236" s="76">
        <v>1392</v>
      </c>
      <c r="AD236" s="77">
        <v>0.5</v>
      </c>
    </row>
    <row r="237" spans="1:30" ht="12.75" x14ac:dyDescent="0.2">
      <c r="A237" s="83" t="s">
        <v>455</v>
      </c>
      <c r="B237" s="72">
        <v>34</v>
      </c>
      <c r="C237" s="72">
        <v>0</v>
      </c>
      <c r="D237" s="72">
        <v>0</v>
      </c>
      <c r="E237" s="72">
        <v>0</v>
      </c>
      <c r="F237" s="72">
        <v>34</v>
      </c>
      <c r="G237" s="73">
        <v>0</v>
      </c>
      <c r="H237" s="74">
        <v>34</v>
      </c>
      <c r="I237" s="74">
        <v>0</v>
      </c>
      <c r="J237" s="72">
        <v>22</v>
      </c>
      <c r="K237" s="72">
        <v>0</v>
      </c>
      <c r="L237" s="72">
        <v>0</v>
      </c>
      <c r="M237" s="72">
        <v>0</v>
      </c>
      <c r="N237" s="72">
        <v>22</v>
      </c>
      <c r="O237" s="72">
        <v>0</v>
      </c>
      <c r="P237" s="72">
        <v>22</v>
      </c>
      <c r="Q237" s="75">
        <v>0</v>
      </c>
      <c r="R237" s="75">
        <v>0</v>
      </c>
      <c r="S237" s="72">
        <v>27</v>
      </c>
      <c r="T237" s="72">
        <v>0</v>
      </c>
      <c r="U237" s="72">
        <v>27</v>
      </c>
      <c r="V237" s="75">
        <v>0</v>
      </c>
      <c r="W237" s="72">
        <v>64</v>
      </c>
      <c r="X237" s="72">
        <v>4</v>
      </c>
      <c r="Y237" s="72">
        <v>60</v>
      </c>
      <c r="Z237" s="75">
        <v>6.3E-2</v>
      </c>
      <c r="AA237" s="72">
        <v>147</v>
      </c>
      <c r="AB237" s="72">
        <v>4</v>
      </c>
      <c r="AC237" s="72">
        <v>143</v>
      </c>
      <c r="AD237" s="77">
        <v>1</v>
      </c>
    </row>
    <row r="238" spans="1:30" ht="12.75" x14ac:dyDescent="0.2">
      <c r="A238" s="83" t="s">
        <v>472</v>
      </c>
      <c r="B238" s="72">
        <v>107</v>
      </c>
      <c r="C238" s="72">
        <v>11</v>
      </c>
      <c r="D238" s="72">
        <v>0</v>
      </c>
      <c r="E238" s="72">
        <v>11</v>
      </c>
      <c r="F238" s="72">
        <v>96</v>
      </c>
      <c r="G238" s="73">
        <v>0.10299999999999999</v>
      </c>
      <c r="H238" s="74">
        <v>54</v>
      </c>
      <c r="I238" s="74">
        <v>0</v>
      </c>
      <c r="J238" s="72">
        <v>63</v>
      </c>
      <c r="K238" s="72">
        <v>0</v>
      </c>
      <c r="L238" s="72">
        <v>0</v>
      </c>
      <c r="M238" s="72">
        <v>0</v>
      </c>
      <c r="N238" s="72">
        <v>63</v>
      </c>
      <c r="O238" s="72">
        <v>0</v>
      </c>
      <c r="P238" s="72">
        <v>63</v>
      </c>
      <c r="Q238" s="75">
        <v>0</v>
      </c>
      <c r="R238" s="75">
        <v>0</v>
      </c>
      <c r="S238" s="72">
        <v>67</v>
      </c>
      <c r="T238" s="72">
        <v>1</v>
      </c>
      <c r="U238" s="72">
        <v>66</v>
      </c>
      <c r="V238" s="75">
        <v>1.4999999999999999E-2</v>
      </c>
      <c r="W238" s="72">
        <v>166</v>
      </c>
      <c r="X238" s="72">
        <v>120</v>
      </c>
      <c r="Y238" s="72">
        <v>46</v>
      </c>
      <c r="Z238" s="78">
        <v>0.72299999999999998</v>
      </c>
      <c r="AA238" s="72">
        <v>403</v>
      </c>
      <c r="AB238" s="72">
        <v>132</v>
      </c>
      <c r="AC238" s="72">
        <v>271</v>
      </c>
      <c r="AD238" s="77">
        <v>0.5</v>
      </c>
    </row>
    <row r="239" spans="1:30" ht="12.75" x14ac:dyDescent="0.2">
      <c r="A239" s="83" t="s">
        <v>473</v>
      </c>
      <c r="B239" s="72">
        <v>627</v>
      </c>
      <c r="C239" s="72">
        <v>135</v>
      </c>
      <c r="D239" s="72">
        <v>135</v>
      </c>
      <c r="E239" s="72">
        <v>0</v>
      </c>
      <c r="F239" s="72">
        <v>492</v>
      </c>
      <c r="G239" s="73">
        <v>0.215</v>
      </c>
      <c r="H239" s="74">
        <v>314</v>
      </c>
      <c r="I239" s="74">
        <v>0</v>
      </c>
      <c r="J239" s="72">
        <v>384</v>
      </c>
      <c r="K239" s="72">
        <v>40</v>
      </c>
      <c r="L239" s="72">
        <v>40</v>
      </c>
      <c r="M239" s="72">
        <v>0</v>
      </c>
      <c r="N239" s="72">
        <v>344</v>
      </c>
      <c r="O239" s="72">
        <v>40</v>
      </c>
      <c r="P239" s="72">
        <v>344</v>
      </c>
      <c r="Q239" s="75">
        <v>0.104</v>
      </c>
      <c r="R239" s="75">
        <v>0.104</v>
      </c>
      <c r="S239" s="72">
        <v>413</v>
      </c>
      <c r="T239" s="72">
        <v>0</v>
      </c>
      <c r="U239" s="72">
        <v>413</v>
      </c>
      <c r="V239" s="75">
        <v>0</v>
      </c>
      <c r="W239" s="76">
        <v>1086</v>
      </c>
      <c r="X239" s="72">
        <v>33</v>
      </c>
      <c r="Y239" s="76">
        <v>1053</v>
      </c>
      <c r="Z239" s="75">
        <v>0.03</v>
      </c>
      <c r="AA239" s="76">
        <v>2510</v>
      </c>
      <c r="AB239" s="72">
        <v>208</v>
      </c>
      <c r="AC239" s="76">
        <v>2302</v>
      </c>
      <c r="AD239" s="77">
        <v>0.5</v>
      </c>
    </row>
    <row r="240" spans="1:30" ht="12.75" x14ac:dyDescent="0.2">
      <c r="A240" s="83" t="s">
        <v>476</v>
      </c>
      <c r="B240" s="72">
        <v>40</v>
      </c>
      <c r="C240" s="72">
        <v>4</v>
      </c>
      <c r="D240" s="72">
        <v>3</v>
      </c>
      <c r="E240" s="72">
        <v>1</v>
      </c>
      <c r="F240" s="72">
        <v>36</v>
      </c>
      <c r="G240" s="73">
        <v>0.1</v>
      </c>
      <c r="H240" s="74">
        <v>20</v>
      </c>
      <c r="I240" s="74">
        <v>0</v>
      </c>
      <c r="J240" s="72">
        <v>20</v>
      </c>
      <c r="K240" s="72">
        <v>10</v>
      </c>
      <c r="L240" s="72">
        <v>9</v>
      </c>
      <c r="M240" s="72">
        <v>1</v>
      </c>
      <c r="N240" s="72">
        <v>10</v>
      </c>
      <c r="O240" s="72">
        <v>10</v>
      </c>
      <c r="P240" s="72">
        <v>10</v>
      </c>
      <c r="Q240" s="78">
        <v>0.5</v>
      </c>
      <c r="R240" s="78">
        <v>0.5</v>
      </c>
      <c r="S240" s="72">
        <v>21</v>
      </c>
      <c r="T240" s="72">
        <v>9</v>
      </c>
      <c r="U240" s="72">
        <v>12</v>
      </c>
      <c r="V240" s="75">
        <v>0.42899999999999999</v>
      </c>
      <c r="W240" s="72">
        <v>51</v>
      </c>
      <c r="X240" s="72">
        <v>89</v>
      </c>
      <c r="Y240" s="72">
        <v>0</v>
      </c>
      <c r="Z240" s="78">
        <v>1.7450000000000001</v>
      </c>
      <c r="AA240" s="72">
        <v>132</v>
      </c>
      <c r="AB240" s="72">
        <v>112</v>
      </c>
      <c r="AC240" s="72">
        <v>58</v>
      </c>
      <c r="AD240" s="77">
        <v>0.5</v>
      </c>
    </row>
    <row r="241" spans="1:30" ht="12.75" x14ac:dyDescent="0.2">
      <c r="A241" s="83" t="s">
        <v>478</v>
      </c>
      <c r="B241" s="72">
        <v>10</v>
      </c>
      <c r="C241" s="72">
        <v>0</v>
      </c>
      <c r="D241" s="72">
        <v>0</v>
      </c>
      <c r="E241" s="72">
        <v>0</v>
      </c>
      <c r="F241" s="72">
        <v>10</v>
      </c>
      <c r="G241" s="73">
        <v>0</v>
      </c>
      <c r="H241" s="74">
        <v>10</v>
      </c>
      <c r="I241" s="74">
        <v>0</v>
      </c>
      <c r="J241" s="72">
        <v>5</v>
      </c>
      <c r="K241" s="72">
        <v>0</v>
      </c>
      <c r="L241" s="72">
        <v>0</v>
      </c>
      <c r="M241" s="72">
        <v>0</v>
      </c>
      <c r="N241" s="72">
        <v>5</v>
      </c>
      <c r="O241" s="72">
        <v>0</v>
      </c>
      <c r="P241" s="72">
        <v>5</v>
      </c>
      <c r="Q241" s="75">
        <v>0</v>
      </c>
      <c r="R241" s="75">
        <v>0</v>
      </c>
      <c r="S241" s="72">
        <v>7</v>
      </c>
      <c r="T241" s="72">
        <v>0</v>
      </c>
      <c r="U241" s="72">
        <v>7</v>
      </c>
      <c r="V241" s="75">
        <v>0</v>
      </c>
      <c r="W241" s="72">
        <v>18</v>
      </c>
      <c r="X241" s="72">
        <v>0</v>
      </c>
      <c r="Y241" s="72">
        <v>18</v>
      </c>
      <c r="Z241" s="75">
        <v>0</v>
      </c>
      <c r="AA241" s="72">
        <v>40</v>
      </c>
      <c r="AB241" s="72">
        <v>0</v>
      </c>
      <c r="AC241" s="72">
        <v>40</v>
      </c>
      <c r="AD241" s="77">
        <v>1</v>
      </c>
    </row>
    <row r="242" spans="1:30" ht="12.75" x14ac:dyDescent="0.2">
      <c r="A242" s="83" t="s">
        <v>479</v>
      </c>
      <c r="B242" s="76">
        <v>1019</v>
      </c>
      <c r="C242" s="72">
        <v>0</v>
      </c>
      <c r="D242" s="72">
        <v>0</v>
      </c>
      <c r="E242" s="72">
        <v>0</v>
      </c>
      <c r="F242" s="76">
        <v>1019</v>
      </c>
      <c r="G242" s="73">
        <v>0</v>
      </c>
      <c r="H242" s="74">
        <v>382</v>
      </c>
      <c r="I242" s="74">
        <v>0</v>
      </c>
      <c r="J242" s="72">
        <v>759</v>
      </c>
      <c r="K242" s="72">
        <v>0</v>
      </c>
      <c r="L242" s="72">
        <v>0</v>
      </c>
      <c r="M242" s="72">
        <v>0</v>
      </c>
      <c r="N242" s="72">
        <v>759</v>
      </c>
      <c r="O242" s="72">
        <v>0</v>
      </c>
      <c r="P242" s="72">
        <v>759</v>
      </c>
      <c r="Q242" s="75">
        <v>0</v>
      </c>
      <c r="R242" s="75">
        <v>0</v>
      </c>
      <c r="S242" s="72">
        <v>957</v>
      </c>
      <c r="T242" s="72">
        <v>0</v>
      </c>
      <c r="U242" s="72">
        <v>957</v>
      </c>
      <c r="V242" s="75">
        <v>0</v>
      </c>
      <c r="W242" s="76">
        <v>2421</v>
      </c>
      <c r="X242" s="72">
        <v>850</v>
      </c>
      <c r="Y242" s="76">
        <v>1571</v>
      </c>
      <c r="Z242" s="75">
        <v>0.35099999999999998</v>
      </c>
      <c r="AA242" s="76">
        <v>5156</v>
      </c>
      <c r="AB242" s="72">
        <v>850</v>
      </c>
      <c r="AC242" s="76">
        <v>4306</v>
      </c>
      <c r="AD242" s="77">
        <v>0.375</v>
      </c>
    </row>
    <row r="243" spans="1:30" ht="12.75" x14ac:dyDescent="0.2">
      <c r="A243" s="83" t="s">
        <v>474</v>
      </c>
      <c r="B243" s="72">
        <v>96</v>
      </c>
      <c r="C243" s="72">
        <v>0</v>
      </c>
      <c r="D243" s="72">
        <v>0</v>
      </c>
      <c r="E243" s="72">
        <v>0</v>
      </c>
      <c r="F243" s="72">
        <v>96</v>
      </c>
      <c r="G243" s="73">
        <v>0</v>
      </c>
      <c r="H243" s="74">
        <v>48</v>
      </c>
      <c r="I243" s="74">
        <v>0</v>
      </c>
      <c r="J243" s="72">
        <v>57</v>
      </c>
      <c r="K243" s="72">
        <v>0</v>
      </c>
      <c r="L243" s="72">
        <v>0</v>
      </c>
      <c r="M243" s="72">
        <v>0</v>
      </c>
      <c r="N243" s="72">
        <v>57</v>
      </c>
      <c r="O243" s="72">
        <v>0</v>
      </c>
      <c r="P243" s="72">
        <v>57</v>
      </c>
      <c r="Q243" s="75">
        <v>0</v>
      </c>
      <c r="R243" s="75">
        <v>0</v>
      </c>
      <c r="S243" s="72">
        <v>62</v>
      </c>
      <c r="T243" s="72">
        <v>0</v>
      </c>
      <c r="U243" s="72">
        <v>62</v>
      </c>
      <c r="V243" s="75">
        <v>0</v>
      </c>
      <c r="W243" s="72">
        <v>166</v>
      </c>
      <c r="X243" s="72">
        <v>41</v>
      </c>
      <c r="Y243" s="72">
        <v>125</v>
      </c>
      <c r="Z243" s="75">
        <v>0.247</v>
      </c>
      <c r="AA243" s="72">
        <v>381</v>
      </c>
      <c r="AB243" s="72">
        <v>41</v>
      </c>
      <c r="AC243" s="72">
        <v>340</v>
      </c>
      <c r="AD243" s="77">
        <v>0.5</v>
      </c>
    </row>
    <row r="244" spans="1:30" ht="12.75" x14ac:dyDescent="0.2">
      <c r="A244" s="83" t="s">
        <v>485</v>
      </c>
      <c r="B244" s="72">
        <v>77</v>
      </c>
      <c r="C244" s="72">
        <v>90</v>
      </c>
      <c r="D244" s="72">
        <v>90</v>
      </c>
      <c r="E244" s="72">
        <v>0</v>
      </c>
      <c r="F244" s="72">
        <v>0</v>
      </c>
      <c r="G244" s="79">
        <v>1.169</v>
      </c>
      <c r="H244" s="74">
        <v>39</v>
      </c>
      <c r="I244" s="74">
        <v>51</v>
      </c>
      <c r="J244" s="72">
        <v>59</v>
      </c>
      <c r="K244" s="72">
        <v>94</v>
      </c>
      <c r="L244" s="72">
        <v>93</v>
      </c>
      <c r="M244" s="72">
        <v>1</v>
      </c>
      <c r="N244" s="72">
        <v>0</v>
      </c>
      <c r="O244" s="72">
        <v>145</v>
      </c>
      <c r="P244" s="72">
        <v>0</v>
      </c>
      <c r="Q244" s="78">
        <v>1.593</v>
      </c>
      <c r="R244" s="78">
        <v>2.4580000000000002</v>
      </c>
      <c r="S244" s="72">
        <v>54</v>
      </c>
      <c r="T244" s="72">
        <v>59</v>
      </c>
      <c r="U244" s="72">
        <v>0</v>
      </c>
      <c r="V244" s="78">
        <v>1.093</v>
      </c>
      <c r="W244" s="72">
        <v>119</v>
      </c>
      <c r="X244" s="72">
        <v>106</v>
      </c>
      <c r="Y244" s="72">
        <v>13</v>
      </c>
      <c r="Z244" s="78">
        <v>0.89100000000000001</v>
      </c>
      <c r="AA244" s="72">
        <v>309</v>
      </c>
      <c r="AB244" s="72">
        <v>349</v>
      </c>
      <c r="AC244" s="72">
        <v>13</v>
      </c>
      <c r="AD244" s="77">
        <v>0.5</v>
      </c>
    </row>
    <row r="245" spans="1:30" ht="12.75" x14ac:dyDescent="0.2">
      <c r="A245" s="83" t="s">
        <v>487</v>
      </c>
      <c r="B245" s="72">
        <v>677</v>
      </c>
      <c r="C245" s="72">
        <v>0</v>
      </c>
      <c r="D245" s="72">
        <v>0</v>
      </c>
      <c r="E245" s="72">
        <v>0</v>
      </c>
      <c r="F245" s="72">
        <v>677</v>
      </c>
      <c r="G245" s="73">
        <v>0</v>
      </c>
      <c r="H245" s="74">
        <v>254</v>
      </c>
      <c r="I245" s="74">
        <v>0</v>
      </c>
      <c r="J245" s="72">
        <v>507</v>
      </c>
      <c r="K245" s="72">
        <v>0</v>
      </c>
      <c r="L245" s="72">
        <v>0</v>
      </c>
      <c r="M245" s="72">
        <v>0</v>
      </c>
      <c r="N245" s="72">
        <v>507</v>
      </c>
      <c r="O245" s="72">
        <v>0</v>
      </c>
      <c r="P245" s="72">
        <v>507</v>
      </c>
      <c r="Q245" s="75">
        <v>0</v>
      </c>
      <c r="R245" s="75">
        <v>0</v>
      </c>
      <c r="S245" s="72">
        <v>534</v>
      </c>
      <c r="T245" s="72">
        <v>0</v>
      </c>
      <c r="U245" s="72">
        <v>534</v>
      </c>
      <c r="V245" s="75">
        <v>0</v>
      </c>
      <c r="W245" s="76">
        <v>1267</v>
      </c>
      <c r="X245" s="72">
        <v>0</v>
      </c>
      <c r="Y245" s="76">
        <v>1267</v>
      </c>
      <c r="Z245" s="75">
        <v>0</v>
      </c>
      <c r="AA245" s="76">
        <v>2985</v>
      </c>
      <c r="AB245" s="72">
        <v>0</v>
      </c>
      <c r="AC245" s="76">
        <v>2985</v>
      </c>
      <c r="AD245" s="77">
        <v>0.375</v>
      </c>
    </row>
    <row r="246" spans="1:30" ht="12.75" x14ac:dyDescent="0.2">
      <c r="A246" s="83" t="s">
        <v>489</v>
      </c>
      <c r="B246" s="72">
        <v>953</v>
      </c>
      <c r="C246" s="72">
        <v>0</v>
      </c>
      <c r="D246" s="72">
        <v>0</v>
      </c>
      <c r="E246" s="72">
        <v>0</v>
      </c>
      <c r="F246" s="72">
        <v>953</v>
      </c>
      <c r="G246" s="73">
        <v>0</v>
      </c>
      <c r="H246" s="74">
        <v>477</v>
      </c>
      <c r="I246" s="74">
        <v>0</v>
      </c>
      <c r="J246" s="72">
        <v>668</v>
      </c>
      <c r="K246" s="72">
        <v>0</v>
      </c>
      <c r="L246" s="72">
        <v>0</v>
      </c>
      <c r="M246" s="72">
        <v>0</v>
      </c>
      <c r="N246" s="72">
        <v>668</v>
      </c>
      <c r="O246" s="72">
        <v>0</v>
      </c>
      <c r="P246" s="72">
        <v>668</v>
      </c>
      <c r="Q246" s="75">
        <v>0</v>
      </c>
      <c r="R246" s="75">
        <v>0</v>
      </c>
      <c r="S246" s="72">
        <v>705</v>
      </c>
      <c r="T246" s="72">
        <v>4</v>
      </c>
      <c r="U246" s="72">
        <v>701</v>
      </c>
      <c r="V246" s="75">
        <v>6.0000000000000001E-3</v>
      </c>
      <c r="W246" s="76">
        <v>1464</v>
      </c>
      <c r="X246" s="76">
        <v>1206</v>
      </c>
      <c r="Y246" s="72">
        <v>258</v>
      </c>
      <c r="Z246" s="78">
        <v>0.82399999999999995</v>
      </c>
      <c r="AA246" s="76">
        <v>3790</v>
      </c>
      <c r="AB246" s="76">
        <v>1210</v>
      </c>
      <c r="AC246" s="76">
        <v>2580</v>
      </c>
      <c r="AD246" s="77">
        <v>0.5</v>
      </c>
    </row>
    <row r="247" spans="1:30" ht="12.75" x14ac:dyDescent="0.2">
      <c r="A247" s="83" t="s">
        <v>492</v>
      </c>
      <c r="B247" s="72">
        <v>80</v>
      </c>
      <c r="C247" s="72">
        <v>40</v>
      </c>
      <c r="D247" s="72">
        <v>39</v>
      </c>
      <c r="E247" s="72">
        <v>1</v>
      </c>
      <c r="F247" s="72">
        <v>40</v>
      </c>
      <c r="G247" s="79">
        <v>0.5</v>
      </c>
      <c r="H247" s="74">
        <v>30</v>
      </c>
      <c r="I247" s="74">
        <v>10</v>
      </c>
      <c r="J247" s="72">
        <v>80</v>
      </c>
      <c r="K247" s="72">
        <v>68</v>
      </c>
      <c r="L247" s="72">
        <v>65</v>
      </c>
      <c r="M247" s="72">
        <v>3</v>
      </c>
      <c r="N247" s="72">
        <v>12</v>
      </c>
      <c r="O247" s="72">
        <v>78</v>
      </c>
      <c r="P247" s="72">
        <v>2</v>
      </c>
      <c r="Q247" s="78">
        <v>0.85</v>
      </c>
      <c r="R247" s="78">
        <v>0.97499999999999998</v>
      </c>
      <c r="S247" s="72">
        <v>82</v>
      </c>
      <c r="T247" s="72">
        <v>47</v>
      </c>
      <c r="U247" s="72">
        <v>35</v>
      </c>
      <c r="V247" s="78">
        <v>0.57299999999999995</v>
      </c>
      <c r="W247" s="72">
        <v>348</v>
      </c>
      <c r="X247" s="72">
        <v>10</v>
      </c>
      <c r="Y247" s="72">
        <v>338</v>
      </c>
      <c r="Z247" s="75">
        <v>2.9000000000000001E-2</v>
      </c>
      <c r="AA247" s="72">
        <v>590</v>
      </c>
      <c r="AB247" s="72">
        <v>165</v>
      </c>
      <c r="AC247" s="72">
        <v>425</v>
      </c>
      <c r="AD247" s="77">
        <v>0.375</v>
      </c>
    </row>
    <row r="248" spans="1:30" ht="12.75" x14ac:dyDescent="0.2">
      <c r="A248" s="83" t="s">
        <v>494</v>
      </c>
      <c r="B248" s="72">
        <v>104</v>
      </c>
      <c r="C248" s="72">
        <v>46</v>
      </c>
      <c r="D248" s="72">
        <v>46</v>
      </c>
      <c r="E248" s="72">
        <v>0</v>
      </c>
      <c r="F248" s="72">
        <v>58</v>
      </c>
      <c r="G248" s="73">
        <v>0.442</v>
      </c>
      <c r="H248" s="74">
        <v>52</v>
      </c>
      <c r="I248" s="74">
        <v>0</v>
      </c>
      <c r="J248" s="72">
        <v>72</v>
      </c>
      <c r="K248" s="72">
        <v>37</v>
      </c>
      <c r="L248" s="72">
        <v>37</v>
      </c>
      <c r="M248" s="72">
        <v>0</v>
      </c>
      <c r="N248" s="72">
        <v>35</v>
      </c>
      <c r="O248" s="72">
        <v>37</v>
      </c>
      <c r="P248" s="72">
        <v>35</v>
      </c>
      <c r="Q248" s="78">
        <v>0.51400000000000001</v>
      </c>
      <c r="R248" s="78">
        <v>0.51400000000000001</v>
      </c>
      <c r="S248" s="72">
        <v>83</v>
      </c>
      <c r="T248" s="72">
        <v>3</v>
      </c>
      <c r="U248" s="72">
        <v>80</v>
      </c>
      <c r="V248" s="75">
        <v>3.5999999999999997E-2</v>
      </c>
      <c r="W248" s="72">
        <v>190</v>
      </c>
      <c r="X248" s="72">
        <v>57</v>
      </c>
      <c r="Y248" s="72">
        <v>133</v>
      </c>
      <c r="Z248" s="75">
        <v>0.3</v>
      </c>
      <c r="AA248" s="72">
        <v>449</v>
      </c>
      <c r="AB248" s="72">
        <v>143</v>
      </c>
      <c r="AC248" s="72">
        <v>306</v>
      </c>
      <c r="AD248" s="77">
        <v>0.5</v>
      </c>
    </row>
    <row r="249" spans="1:30" ht="12.75" x14ac:dyDescent="0.2">
      <c r="A249" s="83" t="s">
        <v>183</v>
      </c>
      <c r="B249" s="72">
        <v>839</v>
      </c>
      <c r="C249" s="72">
        <v>86</v>
      </c>
      <c r="D249" s="72">
        <v>86</v>
      </c>
      <c r="E249" s="72">
        <v>0</v>
      </c>
      <c r="F249" s="72">
        <v>753</v>
      </c>
      <c r="G249" s="73">
        <v>0.10299999999999999</v>
      </c>
      <c r="H249" s="74">
        <v>420</v>
      </c>
      <c r="I249" s="74">
        <v>0</v>
      </c>
      <c r="J249" s="72">
        <v>474</v>
      </c>
      <c r="K249" s="72">
        <v>53</v>
      </c>
      <c r="L249" s="72">
        <v>41</v>
      </c>
      <c r="M249" s="72">
        <v>12</v>
      </c>
      <c r="N249" s="72">
        <v>421</v>
      </c>
      <c r="O249" s="72">
        <v>53</v>
      </c>
      <c r="P249" s="72">
        <v>421</v>
      </c>
      <c r="Q249" s="75">
        <v>0.112</v>
      </c>
      <c r="R249" s="75">
        <v>0.112</v>
      </c>
      <c r="S249" s="72">
        <v>496</v>
      </c>
      <c r="T249" s="72">
        <v>465</v>
      </c>
      <c r="U249" s="72">
        <v>31</v>
      </c>
      <c r="V249" s="78">
        <v>0.93799999999999994</v>
      </c>
      <c r="W249" s="72">
        <v>920</v>
      </c>
      <c r="X249" s="76">
        <v>1061</v>
      </c>
      <c r="Y249" s="72">
        <v>0</v>
      </c>
      <c r="Z249" s="78">
        <v>1.153</v>
      </c>
      <c r="AA249" s="76">
        <v>2729</v>
      </c>
      <c r="AB249" s="76">
        <v>1665</v>
      </c>
      <c r="AC249" s="76">
        <v>1205</v>
      </c>
      <c r="AD249" s="77">
        <v>0.5</v>
      </c>
    </row>
    <row r="250" spans="1:30" ht="12.75" x14ac:dyDescent="0.2">
      <c r="A250" s="83" t="s">
        <v>499</v>
      </c>
      <c r="B250" s="72">
        <v>249</v>
      </c>
      <c r="C250" s="72">
        <v>0</v>
      </c>
      <c r="D250" s="72">
        <v>0</v>
      </c>
      <c r="E250" s="72">
        <v>0</v>
      </c>
      <c r="F250" s="72">
        <v>249</v>
      </c>
      <c r="G250" s="73">
        <v>0</v>
      </c>
      <c r="H250" s="74">
        <v>93</v>
      </c>
      <c r="I250" s="74">
        <v>0</v>
      </c>
      <c r="J250" s="72">
        <v>178</v>
      </c>
      <c r="K250" s="72">
        <v>5</v>
      </c>
      <c r="L250" s="72">
        <v>5</v>
      </c>
      <c r="M250" s="72">
        <v>0</v>
      </c>
      <c r="N250" s="72">
        <v>173</v>
      </c>
      <c r="O250" s="72">
        <v>5</v>
      </c>
      <c r="P250" s="72">
        <v>173</v>
      </c>
      <c r="Q250" s="75">
        <v>2.8000000000000001E-2</v>
      </c>
      <c r="R250" s="75">
        <v>2.8000000000000001E-2</v>
      </c>
      <c r="S250" s="72">
        <v>163</v>
      </c>
      <c r="T250" s="72">
        <v>0</v>
      </c>
      <c r="U250" s="72">
        <v>163</v>
      </c>
      <c r="V250" s="75">
        <v>0</v>
      </c>
      <c r="W250" s="72">
        <v>435</v>
      </c>
      <c r="X250" s="72">
        <v>103</v>
      </c>
      <c r="Y250" s="72">
        <v>332</v>
      </c>
      <c r="Z250" s="75">
        <v>0.23699999999999999</v>
      </c>
      <c r="AA250" s="76">
        <v>1025</v>
      </c>
      <c r="AB250" s="72">
        <v>108</v>
      </c>
      <c r="AC250" s="72">
        <v>917</v>
      </c>
      <c r="AD250" s="77">
        <v>0.375</v>
      </c>
    </row>
    <row r="251" spans="1:30" ht="12.75" x14ac:dyDescent="0.2">
      <c r="A251" s="83" t="s">
        <v>501</v>
      </c>
      <c r="B251" s="72">
        <v>497</v>
      </c>
      <c r="C251" s="72">
        <v>52</v>
      </c>
      <c r="D251" s="72">
        <v>52</v>
      </c>
      <c r="E251" s="72">
        <v>0</v>
      </c>
      <c r="F251" s="72">
        <v>445</v>
      </c>
      <c r="G251" s="73">
        <v>0.105</v>
      </c>
      <c r="H251" s="74">
        <v>186</v>
      </c>
      <c r="I251" s="74">
        <v>0</v>
      </c>
      <c r="J251" s="72">
        <v>331</v>
      </c>
      <c r="K251" s="72">
        <v>27</v>
      </c>
      <c r="L251" s="72">
        <v>27</v>
      </c>
      <c r="M251" s="72">
        <v>0</v>
      </c>
      <c r="N251" s="72">
        <v>304</v>
      </c>
      <c r="O251" s="72">
        <v>27</v>
      </c>
      <c r="P251" s="72">
        <v>304</v>
      </c>
      <c r="Q251" s="75">
        <v>8.2000000000000003E-2</v>
      </c>
      <c r="R251" s="75">
        <v>8.2000000000000003E-2</v>
      </c>
      <c r="S251" s="72">
        <v>333</v>
      </c>
      <c r="T251" s="72">
        <v>48</v>
      </c>
      <c r="U251" s="72">
        <v>285</v>
      </c>
      <c r="V251" s="75">
        <v>0.14399999999999999</v>
      </c>
      <c r="W251" s="72">
        <v>770</v>
      </c>
      <c r="X251" s="72">
        <v>381</v>
      </c>
      <c r="Y251" s="72">
        <v>389</v>
      </c>
      <c r="Z251" s="78">
        <v>0.495</v>
      </c>
      <c r="AA251" s="76">
        <v>1931</v>
      </c>
      <c r="AB251" s="72">
        <v>508</v>
      </c>
      <c r="AC251" s="76">
        <v>1423</v>
      </c>
      <c r="AD251" s="77">
        <v>0.375</v>
      </c>
    </row>
    <row r="252" spans="1:30" ht="12.75" x14ac:dyDescent="0.2">
      <c r="A252" s="83" t="s">
        <v>503</v>
      </c>
      <c r="B252" s="72">
        <v>254</v>
      </c>
      <c r="C252" s="72">
        <v>36</v>
      </c>
      <c r="D252" s="72">
        <v>0</v>
      </c>
      <c r="E252" s="72">
        <v>36</v>
      </c>
      <c r="F252" s="72">
        <v>218</v>
      </c>
      <c r="G252" s="73">
        <v>0.14199999999999999</v>
      </c>
      <c r="H252" s="74">
        <v>127</v>
      </c>
      <c r="I252" s="74">
        <v>0</v>
      </c>
      <c r="J252" s="72">
        <v>177</v>
      </c>
      <c r="K252" s="72">
        <v>50</v>
      </c>
      <c r="L252" s="72">
        <v>0</v>
      </c>
      <c r="M252" s="72">
        <v>50</v>
      </c>
      <c r="N252" s="72">
        <v>127</v>
      </c>
      <c r="O252" s="72">
        <v>50</v>
      </c>
      <c r="P252" s="72">
        <v>127</v>
      </c>
      <c r="Q252" s="75">
        <v>0.28199999999999997</v>
      </c>
      <c r="R252" s="75">
        <v>0.28199999999999997</v>
      </c>
      <c r="S252" s="72">
        <v>202</v>
      </c>
      <c r="T252" s="72">
        <v>1</v>
      </c>
      <c r="U252" s="72">
        <v>201</v>
      </c>
      <c r="V252" s="75">
        <v>5.0000000000000001E-3</v>
      </c>
      <c r="W252" s="72">
        <v>462</v>
      </c>
      <c r="X252" s="72">
        <v>40</v>
      </c>
      <c r="Y252" s="72">
        <v>422</v>
      </c>
      <c r="Z252" s="75">
        <v>8.6999999999999994E-2</v>
      </c>
      <c r="AA252" s="76">
        <v>1095</v>
      </c>
      <c r="AB252" s="72">
        <v>127</v>
      </c>
      <c r="AC252" s="72">
        <v>968</v>
      </c>
      <c r="AD252" s="77">
        <v>0.5</v>
      </c>
    </row>
    <row r="253" spans="1:30" ht="12.75" x14ac:dyDescent="0.2">
      <c r="A253" s="83" t="s">
        <v>475</v>
      </c>
      <c r="B253" s="72">
        <v>12</v>
      </c>
      <c r="C253" s="72">
        <v>0</v>
      </c>
      <c r="D253" s="72">
        <v>0</v>
      </c>
      <c r="E253" s="72">
        <v>0</v>
      </c>
      <c r="F253" s="72">
        <v>12</v>
      </c>
      <c r="G253" s="73">
        <v>0</v>
      </c>
      <c r="H253" s="74">
        <v>6</v>
      </c>
      <c r="I253" s="74">
        <v>0</v>
      </c>
      <c r="J253" s="72">
        <v>7</v>
      </c>
      <c r="K253" s="72">
        <v>9</v>
      </c>
      <c r="L253" s="72">
        <v>0</v>
      </c>
      <c r="M253" s="72">
        <v>9</v>
      </c>
      <c r="N253" s="72">
        <v>0</v>
      </c>
      <c r="O253" s="72">
        <v>9</v>
      </c>
      <c r="P253" s="72">
        <v>0</v>
      </c>
      <c r="Q253" s="78">
        <v>1.286</v>
      </c>
      <c r="R253" s="78">
        <v>1.286</v>
      </c>
      <c r="S253" s="72">
        <v>8</v>
      </c>
      <c r="T253" s="72">
        <v>34</v>
      </c>
      <c r="U253" s="72">
        <v>0</v>
      </c>
      <c r="V253" s="78">
        <v>4.25</v>
      </c>
      <c r="W253" s="72">
        <v>20</v>
      </c>
      <c r="X253" s="72">
        <v>37</v>
      </c>
      <c r="Y253" s="72">
        <v>0</v>
      </c>
      <c r="Z253" s="78">
        <v>1.85</v>
      </c>
      <c r="AA253" s="72">
        <v>47</v>
      </c>
      <c r="AB253" s="72">
        <v>80</v>
      </c>
      <c r="AC253" s="72">
        <v>12</v>
      </c>
      <c r="AD253" s="77">
        <v>0.5</v>
      </c>
    </row>
    <row r="254" spans="1:30" ht="12.75" x14ac:dyDescent="0.2">
      <c r="A254" s="83" t="s">
        <v>507</v>
      </c>
      <c r="B254" s="72">
        <v>126</v>
      </c>
      <c r="C254" s="72">
        <v>0</v>
      </c>
      <c r="D254" s="72">
        <v>0</v>
      </c>
      <c r="E254" s="72">
        <v>0</v>
      </c>
      <c r="F254" s="72">
        <v>126</v>
      </c>
      <c r="G254" s="73">
        <v>0</v>
      </c>
      <c r="H254" s="74">
        <v>63</v>
      </c>
      <c r="I254" s="74">
        <v>0</v>
      </c>
      <c r="J254" s="72">
        <v>84</v>
      </c>
      <c r="K254" s="72">
        <v>0</v>
      </c>
      <c r="L254" s="72">
        <v>0</v>
      </c>
      <c r="M254" s="72">
        <v>0</v>
      </c>
      <c r="N254" s="72">
        <v>84</v>
      </c>
      <c r="O254" s="72">
        <v>0</v>
      </c>
      <c r="P254" s="72">
        <v>84</v>
      </c>
      <c r="Q254" s="75">
        <v>0</v>
      </c>
      <c r="R254" s="75">
        <v>0</v>
      </c>
      <c r="S254" s="72">
        <v>95</v>
      </c>
      <c r="T254" s="72">
        <v>49</v>
      </c>
      <c r="U254" s="72">
        <v>46</v>
      </c>
      <c r="V254" s="78">
        <v>0.51600000000000001</v>
      </c>
      <c r="W254" s="72">
        <v>221</v>
      </c>
      <c r="X254" s="72">
        <v>4</v>
      </c>
      <c r="Y254" s="72">
        <v>217</v>
      </c>
      <c r="Z254" s="75">
        <v>1.7999999999999999E-2</v>
      </c>
      <c r="AA254" s="72">
        <v>526</v>
      </c>
      <c r="AB254" s="72">
        <v>53</v>
      </c>
      <c r="AC254" s="72">
        <v>473</v>
      </c>
      <c r="AD254" s="77">
        <v>0.5</v>
      </c>
    </row>
    <row r="255" spans="1:30" ht="12.75" x14ac:dyDescent="0.2">
      <c r="A255" s="83" t="s">
        <v>477</v>
      </c>
      <c r="B255" s="76">
        <v>1773</v>
      </c>
      <c r="C255" s="72">
        <v>306</v>
      </c>
      <c r="D255" s="72">
        <v>306</v>
      </c>
      <c r="E255" s="72">
        <v>0</v>
      </c>
      <c r="F255" s="76">
        <v>1467</v>
      </c>
      <c r="G255" s="73">
        <v>0.17299999999999999</v>
      </c>
      <c r="H255" s="74">
        <v>887</v>
      </c>
      <c r="I255" s="74">
        <v>0</v>
      </c>
      <c r="J255" s="76">
        <v>1066</v>
      </c>
      <c r="K255" s="72">
        <v>62</v>
      </c>
      <c r="L255" s="72">
        <v>62</v>
      </c>
      <c r="M255" s="72">
        <v>0</v>
      </c>
      <c r="N255" s="76">
        <v>1004</v>
      </c>
      <c r="O255" s="72">
        <v>62</v>
      </c>
      <c r="P255" s="76">
        <v>1004</v>
      </c>
      <c r="Q255" s="75">
        <v>5.8000000000000003E-2</v>
      </c>
      <c r="R255" s="75">
        <v>5.8000000000000003E-2</v>
      </c>
      <c r="S255" s="76">
        <v>1170</v>
      </c>
      <c r="T255" s="72">
        <v>0</v>
      </c>
      <c r="U255" s="76">
        <v>1170</v>
      </c>
      <c r="V255" s="75">
        <v>0</v>
      </c>
      <c r="W255" s="76">
        <v>3039</v>
      </c>
      <c r="X255" s="76">
        <v>1551</v>
      </c>
      <c r="Y255" s="76">
        <v>1488</v>
      </c>
      <c r="Z255" s="78">
        <v>0.51</v>
      </c>
      <c r="AA255" s="76">
        <v>7048</v>
      </c>
      <c r="AB255" s="76">
        <v>1919</v>
      </c>
      <c r="AC255" s="76">
        <v>5129</v>
      </c>
      <c r="AD255" s="77">
        <v>0.5</v>
      </c>
    </row>
    <row r="256" spans="1:30" ht="12.75" x14ac:dyDescent="0.2">
      <c r="A256" s="83" t="s">
        <v>513</v>
      </c>
      <c r="B256" s="72">
        <v>39</v>
      </c>
      <c r="C256" s="72">
        <v>0</v>
      </c>
      <c r="D256" s="72">
        <v>0</v>
      </c>
      <c r="E256" s="72">
        <v>0</v>
      </c>
      <c r="F256" s="72">
        <v>39</v>
      </c>
      <c r="G256" s="73">
        <v>0</v>
      </c>
      <c r="H256" s="74">
        <v>20</v>
      </c>
      <c r="I256" s="74">
        <v>0</v>
      </c>
      <c r="J256" s="72">
        <v>27</v>
      </c>
      <c r="K256" s="72">
        <v>0</v>
      </c>
      <c r="L256" s="72">
        <v>0</v>
      </c>
      <c r="M256" s="72">
        <v>0</v>
      </c>
      <c r="N256" s="72">
        <v>27</v>
      </c>
      <c r="O256" s="72">
        <v>0</v>
      </c>
      <c r="P256" s="72">
        <v>27</v>
      </c>
      <c r="Q256" s="75">
        <v>0</v>
      </c>
      <c r="R256" s="75">
        <v>0</v>
      </c>
      <c r="S256" s="72">
        <v>29</v>
      </c>
      <c r="T256" s="72">
        <v>1</v>
      </c>
      <c r="U256" s="72">
        <v>28</v>
      </c>
      <c r="V256" s="75">
        <v>3.4000000000000002E-2</v>
      </c>
      <c r="W256" s="72">
        <v>59</v>
      </c>
      <c r="X256" s="72">
        <v>11</v>
      </c>
      <c r="Y256" s="72">
        <v>48</v>
      </c>
      <c r="Z256" s="75">
        <v>0.186</v>
      </c>
      <c r="AA256" s="72">
        <v>154</v>
      </c>
      <c r="AB256" s="72">
        <v>12</v>
      </c>
      <c r="AC256" s="72">
        <v>142</v>
      </c>
      <c r="AD256" s="77">
        <v>0.5</v>
      </c>
    </row>
    <row r="257" spans="1:30" ht="12.75" x14ac:dyDescent="0.2">
      <c r="A257" s="83" t="s">
        <v>515</v>
      </c>
      <c r="B257" s="72">
        <v>14</v>
      </c>
      <c r="C257" s="72">
        <v>0</v>
      </c>
      <c r="D257" s="72">
        <v>0</v>
      </c>
      <c r="E257" s="72">
        <v>0</v>
      </c>
      <c r="F257" s="72">
        <v>14</v>
      </c>
      <c r="G257" s="73">
        <v>0</v>
      </c>
      <c r="H257" s="74">
        <v>7</v>
      </c>
      <c r="I257" s="74">
        <v>0</v>
      </c>
      <c r="J257" s="72">
        <v>10</v>
      </c>
      <c r="K257" s="72">
        <v>0</v>
      </c>
      <c r="L257" s="72">
        <v>0</v>
      </c>
      <c r="M257" s="72">
        <v>0</v>
      </c>
      <c r="N257" s="72">
        <v>10</v>
      </c>
      <c r="O257" s="72">
        <v>0</v>
      </c>
      <c r="P257" s="72">
        <v>10</v>
      </c>
      <c r="Q257" s="75">
        <v>0</v>
      </c>
      <c r="R257" s="75">
        <v>0</v>
      </c>
      <c r="S257" s="72">
        <v>11</v>
      </c>
      <c r="T257" s="72">
        <v>0</v>
      </c>
      <c r="U257" s="72">
        <v>11</v>
      </c>
      <c r="V257" s="75">
        <v>0</v>
      </c>
      <c r="W257" s="72">
        <v>26</v>
      </c>
      <c r="X257" s="72">
        <v>5</v>
      </c>
      <c r="Y257" s="72">
        <v>21</v>
      </c>
      <c r="Z257" s="75">
        <v>0.192</v>
      </c>
      <c r="AA257" s="72">
        <v>61</v>
      </c>
      <c r="AB257" s="72">
        <v>5</v>
      </c>
      <c r="AC257" s="72">
        <v>56</v>
      </c>
      <c r="AD257" s="77">
        <v>0.5</v>
      </c>
    </row>
    <row r="258" spans="1:30" ht="12.75" x14ac:dyDescent="0.2">
      <c r="A258" s="83" t="s">
        <v>518</v>
      </c>
      <c r="B258" s="72">
        <v>169</v>
      </c>
      <c r="C258" s="72">
        <v>2</v>
      </c>
      <c r="D258" s="72">
        <v>2</v>
      </c>
      <c r="E258" s="72">
        <v>0</v>
      </c>
      <c r="F258" s="72">
        <v>167</v>
      </c>
      <c r="G258" s="73">
        <v>1.2E-2</v>
      </c>
      <c r="H258" s="74">
        <v>85</v>
      </c>
      <c r="I258" s="74">
        <v>0</v>
      </c>
      <c r="J258" s="72">
        <v>99</v>
      </c>
      <c r="K258" s="72">
        <v>28</v>
      </c>
      <c r="L258" s="72">
        <v>20</v>
      </c>
      <c r="M258" s="72">
        <v>8</v>
      </c>
      <c r="N258" s="72">
        <v>71</v>
      </c>
      <c r="O258" s="72">
        <v>28</v>
      </c>
      <c r="P258" s="72">
        <v>71</v>
      </c>
      <c r="Q258" s="75">
        <v>0.28299999999999997</v>
      </c>
      <c r="R258" s="75">
        <v>0.28299999999999997</v>
      </c>
      <c r="S258" s="72">
        <v>112</v>
      </c>
      <c r="T258" s="72">
        <v>2</v>
      </c>
      <c r="U258" s="72">
        <v>110</v>
      </c>
      <c r="V258" s="75">
        <v>1.7999999999999999E-2</v>
      </c>
      <c r="W258" s="72">
        <v>97</v>
      </c>
      <c r="X258" s="72">
        <v>428</v>
      </c>
      <c r="Y258" s="72">
        <v>0</v>
      </c>
      <c r="Z258" s="78">
        <v>4.4119999999999999</v>
      </c>
      <c r="AA258" s="72">
        <v>477</v>
      </c>
      <c r="AB258" s="72">
        <v>460</v>
      </c>
      <c r="AC258" s="72">
        <v>348</v>
      </c>
      <c r="AD258" s="77">
        <v>0.5</v>
      </c>
    </row>
    <row r="259" spans="1:30" ht="12.75" x14ac:dyDescent="0.2">
      <c r="A259" s="83" t="s">
        <v>521</v>
      </c>
      <c r="B259" s="72">
        <v>46</v>
      </c>
      <c r="C259" s="72">
        <v>8</v>
      </c>
      <c r="D259" s="72">
        <v>5</v>
      </c>
      <c r="E259" s="72">
        <v>3</v>
      </c>
      <c r="F259" s="72">
        <v>38</v>
      </c>
      <c r="G259" s="73">
        <v>0.17399999999999999</v>
      </c>
      <c r="H259" s="74">
        <v>23</v>
      </c>
      <c r="I259" s="74">
        <v>0</v>
      </c>
      <c r="J259" s="72">
        <v>28</v>
      </c>
      <c r="K259" s="72">
        <v>3</v>
      </c>
      <c r="L259" s="72">
        <v>2</v>
      </c>
      <c r="M259" s="72">
        <v>1</v>
      </c>
      <c r="N259" s="72">
        <v>25</v>
      </c>
      <c r="O259" s="72">
        <v>3</v>
      </c>
      <c r="P259" s="72">
        <v>25</v>
      </c>
      <c r="Q259" s="75">
        <v>0.107</v>
      </c>
      <c r="R259" s="75">
        <v>0.107</v>
      </c>
      <c r="S259" s="72">
        <v>32</v>
      </c>
      <c r="T259" s="72">
        <v>3</v>
      </c>
      <c r="U259" s="72">
        <v>29</v>
      </c>
      <c r="V259" s="75">
        <v>9.4E-2</v>
      </c>
      <c r="W259" s="72">
        <v>15</v>
      </c>
      <c r="X259" s="72">
        <v>27</v>
      </c>
      <c r="Y259" s="72">
        <v>0</v>
      </c>
      <c r="Z259" s="78">
        <v>1.8</v>
      </c>
      <c r="AA259" s="72">
        <v>121</v>
      </c>
      <c r="AB259" s="72">
        <v>41</v>
      </c>
      <c r="AC259" s="72">
        <v>92</v>
      </c>
      <c r="AD259" s="77">
        <v>0.5</v>
      </c>
    </row>
    <row r="260" spans="1:30" ht="12.75" x14ac:dyDescent="0.2">
      <c r="A260" s="83" t="s">
        <v>262</v>
      </c>
      <c r="B260" s="76">
        <v>20427</v>
      </c>
      <c r="C260" s="76">
        <v>4265</v>
      </c>
      <c r="D260" s="76">
        <v>4265</v>
      </c>
      <c r="E260" s="72">
        <v>0</v>
      </c>
      <c r="F260" s="76">
        <v>16162</v>
      </c>
      <c r="G260" s="73">
        <v>0.20899999999999999</v>
      </c>
      <c r="H260" s="74">
        <v>10214</v>
      </c>
      <c r="I260" s="74">
        <v>0</v>
      </c>
      <c r="J260" s="76">
        <v>12435</v>
      </c>
      <c r="K260" s="76">
        <v>2588</v>
      </c>
      <c r="L260" s="76">
        <v>2588</v>
      </c>
      <c r="M260" s="72">
        <v>0</v>
      </c>
      <c r="N260" s="76">
        <v>9847</v>
      </c>
      <c r="O260" s="76">
        <v>2588</v>
      </c>
      <c r="P260" s="76">
        <v>9847</v>
      </c>
      <c r="Q260" s="75">
        <v>0.20799999999999999</v>
      </c>
      <c r="R260" s="75">
        <v>0.20799999999999999</v>
      </c>
      <c r="S260" s="76">
        <v>13728</v>
      </c>
      <c r="T260" s="72">
        <v>430</v>
      </c>
      <c r="U260" s="76">
        <v>13298</v>
      </c>
      <c r="V260" s="75">
        <v>3.1E-2</v>
      </c>
      <c r="W260" s="76">
        <v>35412</v>
      </c>
      <c r="X260" s="76">
        <v>73387</v>
      </c>
      <c r="Y260" s="72">
        <v>0</v>
      </c>
      <c r="Z260" s="78">
        <v>2.0720000000000001</v>
      </c>
      <c r="AA260" s="76">
        <v>82002</v>
      </c>
      <c r="AB260" s="76">
        <v>80670</v>
      </c>
      <c r="AC260" s="76">
        <v>39307</v>
      </c>
      <c r="AD260" s="77">
        <v>0.5</v>
      </c>
    </row>
    <row r="261" spans="1:30" ht="12.75" x14ac:dyDescent="0.2">
      <c r="A261" s="83" t="s">
        <v>480</v>
      </c>
      <c r="B261" s="76">
        <v>7417</v>
      </c>
      <c r="C261" s="72">
        <v>618</v>
      </c>
      <c r="D261" s="72">
        <v>618</v>
      </c>
      <c r="E261" s="72">
        <v>0</v>
      </c>
      <c r="F261" s="76">
        <v>6799</v>
      </c>
      <c r="G261" s="73">
        <v>8.3000000000000004E-2</v>
      </c>
      <c r="H261" s="74">
        <v>3709</v>
      </c>
      <c r="I261" s="74">
        <v>0</v>
      </c>
      <c r="J261" s="76">
        <v>4287</v>
      </c>
      <c r="K261" s="72">
        <v>122</v>
      </c>
      <c r="L261" s="72">
        <v>122</v>
      </c>
      <c r="M261" s="72">
        <v>0</v>
      </c>
      <c r="N261" s="76">
        <v>4165</v>
      </c>
      <c r="O261" s="72">
        <v>122</v>
      </c>
      <c r="P261" s="76">
        <v>4165</v>
      </c>
      <c r="Q261" s="75">
        <v>2.8000000000000001E-2</v>
      </c>
      <c r="R261" s="75">
        <v>2.8000000000000001E-2</v>
      </c>
      <c r="S261" s="76">
        <v>4938</v>
      </c>
      <c r="T261" s="72">
        <v>19</v>
      </c>
      <c r="U261" s="76">
        <v>4919</v>
      </c>
      <c r="V261" s="75">
        <v>4.0000000000000001E-3</v>
      </c>
      <c r="W261" s="76">
        <v>10844</v>
      </c>
      <c r="X261" s="76">
        <v>4107</v>
      </c>
      <c r="Y261" s="76">
        <v>6737</v>
      </c>
      <c r="Z261" s="75">
        <v>0.379</v>
      </c>
      <c r="AA261" s="76">
        <v>27486</v>
      </c>
      <c r="AB261" s="76">
        <v>4866</v>
      </c>
      <c r="AC261" s="76">
        <v>22620</v>
      </c>
      <c r="AD261" s="77">
        <v>0.5</v>
      </c>
    </row>
    <row r="262" spans="1:30" ht="12.75" x14ac:dyDescent="0.2">
      <c r="A262" s="83" t="s">
        <v>523</v>
      </c>
      <c r="B262" s="72">
        <v>604</v>
      </c>
      <c r="C262" s="72">
        <v>41</v>
      </c>
      <c r="D262" s="72">
        <v>41</v>
      </c>
      <c r="E262" s="72">
        <v>0</v>
      </c>
      <c r="F262" s="72">
        <v>563</v>
      </c>
      <c r="G262" s="73">
        <v>6.8000000000000005E-2</v>
      </c>
      <c r="H262" s="74">
        <v>227</v>
      </c>
      <c r="I262" s="74">
        <v>0</v>
      </c>
      <c r="J262" s="72">
        <v>431</v>
      </c>
      <c r="K262" s="72">
        <v>22</v>
      </c>
      <c r="L262" s="72">
        <v>21</v>
      </c>
      <c r="M262" s="72">
        <v>1</v>
      </c>
      <c r="N262" s="72">
        <v>409</v>
      </c>
      <c r="O262" s="72">
        <v>22</v>
      </c>
      <c r="P262" s="72">
        <v>409</v>
      </c>
      <c r="Q262" s="75">
        <v>5.0999999999999997E-2</v>
      </c>
      <c r="R262" s="75">
        <v>5.0999999999999997E-2</v>
      </c>
      <c r="S262" s="72">
        <v>396</v>
      </c>
      <c r="T262" s="72">
        <v>11</v>
      </c>
      <c r="U262" s="72">
        <v>385</v>
      </c>
      <c r="V262" s="75">
        <v>2.8000000000000001E-2</v>
      </c>
      <c r="W262" s="76">
        <v>1049</v>
      </c>
      <c r="X262" s="72">
        <v>475</v>
      </c>
      <c r="Y262" s="72">
        <v>574</v>
      </c>
      <c r="Z262" s="78">
        <v>0.45300000000000001</v>
      </c>
      <c r="AA262" s="76">
        <v>2480</v>
      </c>
      <c r="AB262" s="72">
        <v>549</v>
      </c>
      <c r="AC262" s="76">
        <v>1931</v>
      </c>
      <c r="AD262" s="77">
        <v>0.375</v>
      </c>
    </row>
    <row r="263" spans="1:30" ht="12.75" x14ac:dyDescent="0.2">
      <c r="A263" s="83" t="s">
        <v>524</v>
      </c>
      <c r="B263" s="72">
        <v>201</v>
      </c>
      <c r="C263" s="72">
        <v>0</v>
      </c>
      <c r="D263" s="72">
        <v>0</v>
      </c>
      <c r="E263" s="72">
        <v>0</v>
      </c>
      <c r="F263" s="72">
        <v>201</v>
      </c>
      <c r="G263" s="73">
        <v>0</v>
      </c>
      <c r="H263" s="74">
        <v>101</v>
      </c>
      <c r="I263" s="74">
        <v>0</v>
      </c>
      <c r="J263" s="72">
        <v>112</v>
      </c>
      <c r="K263" s="72">
        <v>2</v>
      </c>
      <c r="L263" s="72">
        <v>2</v>
      </c>
      <c r="M263" s="72">
        <v>0</v>
      </c>
      <c r="N263" s="72">
        <v>110</v>
      </c>
      <c r="O263" s="72">
        <v>2</v>
      </c>
      <c r="P263" s="72">
        <v>110</v>
      </c>
      <c r="Q263" s="75">
        <v>1.7999999999999999E-2</v>
      </c>
      <c r="R263" s="75">
        <v>1.7999999999999999E-2</v>
      </c>
      <c r="S263" s="72">
        <v>132</v>
      </c>
      <c r="T263" s="72">
        <v>25</v>
      </c>
      <c r="U263" s="72">
        <v>107</v>
      </c>
      <c r="V263" s="75">
        <v>0.189</v>
      </c>
      <c r="W263" s="72">
        <v>174</v>
      </c>
      <c r="X263" s="72">
        <v>76</v>
      </c>
      <c r="Y263" s="72">
        <v>98</v>
      </c>
      <c r="Z263" s="75">
        <v>0.437</v>
      </c>
      <c r="AA263" s="72">
        <v>619</v>
      </c>
      <c r="AB263" s="72">
        <v>103</v>
      </c>
      <c r="AC263" s="72">
        <v>516</v>
      </c>
      <c r="AD263" s="77">
        <v>0.5</v>
      </c>
    </row>
    <row r="264" spans="1:30" ht="12.75" x14ac:dyDescent="0.2">
      <c r="A264" s="83" t="s">
        <v>525</v>
      </c>
      <c r="B264" s="72">
        <v>1</v>
      </c>
      <c r="C264" s="72">
        <v>0</v>
      </c>
      <c r="D264" s="72">
        <v>0</v>
      </c>
      <c r="E264" s="72">
        <v>0</v>
      </c>
      <c r="F264" s="72">
        <v>1</v>
      </c>
      <c r="G264" s="73">
        <v>0</v>
      </c>
      <c r="H264" s="74">
        <v>1</v>
      </c>
      <c r="I264" s="74">
        <v>0</v>
      </c>
      <c r="J264" s="72">
        <v>1</v>
      </c>
      <c r="K264" s="72">
        <v>0</v>
      </c>
      <c r="L264" s="72">
        <v>0</v>
      </c>
      <c r="M264" s="72">
        <v>0</v>
      </c>
      <c r="N264" s="72">
        <v>1</v>
      </c>
      <c r="O264" s="72">
        <v>0</v>
      </c>
      <c r="P264" s="72">
        <v>1</v>
      </c>
      <c r="Q264" s="75">
        <v>0</v>
      </c>
      <c r="R264" s="75">
        <v>0</v>
      </c>
      <c r="S264" s="72">
        <v>1</v>
      </c>
      <c r="T264" s="72">
        <v>0</v>
      </c>
      <c r="U264" s="72">
        <v>1</v>
      </c>
      <c r="V264" s="75">
        <v>0</v>
      </c>
      <c r="W264" s="72">
        <v>1</v>
      </c>
      <c r="X264" s="72">
        <v>0</v>
      </c>
      <c r="Y264" s="72">
        <v>1</v>
      </c>
      <c r="Z264" s="75">
        <v>0</v>
      </c>
      <c r="AA264" s="72">
        <v>4</v>
      </c>
      <c r="AB264" s="72">
        <v>0</v>
      </c>
      <c r="AC264" s="72">
        <v>4</v>
      </c>
      <c r="AD264" s="77">
        <v>1</v>
      </c>
    </row>
    <row r="265" spans="1:30" ht="12.75" x14ac:dyDescent="0.2">
      <c r="A265" s="83" t="s">
        <v>526</v>
      </c>
      <c r="B265" s="72">
        <v>123</v>
      </c>
      <c r="C265" s="72">
        <v>0</v>
      </c>
      <c r="D265" s="72">
        <v>0</v>
      </c>
      <c r="E265" s="72">
        <v>0</v>
      </c>
      <c r="F265" s="72">
        <v>123</v>
      </c>
      <c r="G265" s="73">
        <v>0</v>
      </c>
      <c r="H265" s="74">
        <v>62</v>
      </c>
      <c r="I265" s="74">
        <v>0</v>
      </c>
      <c r="J265" s="72">
        <v>72</v>
      </c>
      <c r="K265" s="72">
        <v>0</v>
      </c>
      <c r="L265" s="72">
        <v>0</v>
      </c>
      <c r="M265" s="72">
        <v>0</v>
      </c>
      <c r="N265" s="72">
        <v>72</v>
      </c>
      <c r="O265" s="72">
        <v>0</v>
      </c>
      <c r="P265" s="72">
        <v>72</v>
      </c>
      <c r="Q265" s="75">
        <v>0</v>
      </c>
      <c r="R265" s="75">
        <v>0</v>
      </c>
      <c r="S265" s="72">
        <v>81</v>
      </c>
      <c r="T265" s="72">
        <v>0</v>
      </c>
      <c r="U265" s="72">
        <v>81</v>
      </c>
      <c r="V265" s="75">
        <v>0</v>
      </c>
      <c r="W265" s="72">
        <v>218</v>
      </c>
      <c r="X265" s="72">
        <v>0</v>
      </c>
      <c r="Y265" s="72">
        <v>218</v>
      </c>
      <c r="Z265" s="75">
        <v>0</v>
      </c>
      <c r="AA265" s="72">
        <v>494</v>
      </c>
      <c r="AB265" s="72">
        <v>0</v>
      </c>
      <c r="AC265" s="72">
        <v>494</v>
      </c>
      <c r="AD265" s="77">
        <v>0.5</v>
      </c>
    </row>
    <row r="266" spans="1:30" ht="12.75" x14ac:dyDescent="0.2">
      <c r="A266" s="83" t="s">
        <v>281</v>
      </c>
      <c r="B266" s="76">
        <v>1352</v>
      </c>
      <c r="C266" s="72">
        <v>23</v>
      </c>
      <c r="D266" s="72">
        <v>17</v>
      </c>
      <c r="E266" s="72">
        <v>6</v>
      </c>
      <c r="F266" s="76">
        <v>1329</v>
      </c>
      <c r="G266" s="73">
        <v>1.7000000000000001E-2</v>
      </c>
      <c r="H266" s="74">
        <v>507</v>
      </c>
      <c r="I266" s="74">
        <v>0</v>
      </c>
      <c r="J266" s="76">
        <v>1056</v>
      </c>
      <c r="K266" s="72">
        <v>309</v>
      </c>
      <c r="L266" s="72">
        <v>253</v>
      </c>
      <c r="M266" s="72">
        <v>56</v>
      </c>
      <c r="N266" s="72">
        <v>747</v>
      </c>
      <c r="O266" s="72">
        <v>309</v>
      </c>
      <c r="P266" s="72">
        <v>747</v>
      </c>
      <c r="Q266" s="75">
        <v>0.29299999999999998</v>
      </c>
      <c r="R266" s="75">
        <v>0.29299999999999998</v>
      </c>
      <c r="S266" s="76">
        <v>1091</v>
      </c>
      <c r="T266" s="72">
        <v>181</v>
      </c>
      <c r="U266" s="72">
        <v>910</v>
      </c>
      <c r="V266" s="75">
        <v>0.16600000000000001</v>
      </c>
      <c r="W266" s="76">
        <v>2600</v>
      </c>
      <c r="X266" s="72">
        <v>75</v>
      </c>
      <c r="Y266" s="76">
        <v>2525</v>
      </c>
      <c r="Z266" s="75">
        <v>2.9000000000000001E-2</v>
      </c>
      <c r="AA266" s="76">
        <v>6099</v>
      </c>
      <c r="AB266" s="72">
        <v>588</v>
      </c>
      <c r="AC266" s="76">
        <v>5511</v>
      </c>
      <c r="AD266" s="77">
        <v>0.375</v>
      </c>
    </row>
    <row r="267" spans="1:30" ht="12.75" x14ac:dyDescent="0.2">
      <c r="A267" s="83" t="s">
        <v>527</v>
      </c>
      <c r="B267" s="76">
        <v>1285</v>
      </c>
      <c r="C267" s="72">
        <v>0</v>
      </c>
      <c r="D267" s="72">
        <v>0</v>
      </c>
      <c r="E267" s="72">
        <v>0</v>
      </c>
      <c r="F267" s="76">
        <v>1285</v>
      </c>
      <c r="G267" s="73">
        <v>0</v>
      </c>
      <c r="H267" s="74">
        <v>482</v>
      </c>
      <c r="I267" s="74">
        <v>0</v>
      </c>
      <c r="J267" s="72">
        <v>984</v>
      </c>
      <c r="K267" s="72">
        <v>41</v>
      </c>
      <c r="L267" s="72">
        <v>20</v>
      </c>
      <c r="M267" s="72">
        <v>21</v>
      </c>
      <c r="N267" s="72">
        <v>943</v>
      </c>
      <c r="O267" s="72">
        <v>41</v>
      </c>
      <c r="P267" s="72">
        <v>943</v>
      </c>
      <c r="Q267" s="75">
        <v>4.2000000000000003E-2</v>
      </c>
      <c r="R267" s="75">
        <v>4.2000000000000003E-2</v>
      </c>
      <c r="S267" s="76">
        <v>1015</v>
      </c>
      <c r="T267" s="72">
        <v>0</v>
      </c>
      <c r="U267" s="76">
        <v>1015</v>
      </c>
      <c r="V267" s="75">
        <v>0</v>
      </c>
      <c r="W267" s="76">
        <v>2398</v>
      </c>
      <c r="X267" s="72">
        <v>443</v>
      </c>
      <c r="Y267" s="76">
        <v>1955</v>
      </c>
      <c r="Z267" s="75">
        <v>0.185</v>
      </c>
      <c r="AA267" s="76">
        <v>5682</v>
      </c>
      <c r="AB267" s="72">
        <v>484</v>
      </c>
      <c r="AC267" s="76">
        <v>5198</v>
      </c>
      <c r="AD267" s="77">
        <v>0.375</v>
      </c>
    </row>
    <row r="268" spans="1:30" ht="12.75" x14ac:dyDescent="0.2">
      <c r="A268" s="83" t="s">
        <v>482</v>
      </c>
      <c r="B268" s="72">
        <v>1</v>
      </c>
      <c r="C268" s="72">
        <v>0</v>
      </c>
      <c r="D268" s="72">
        <v>0</v>
      </c>
      <c r="E268" s="72">
        <v>0</v>
      </c>
      <c r="F268" s="72">
        <v>1</v>
      </c>
      <c r="G268" s="73">
        <v>0</v>
      </c>
      <c r="H268" s="74">
        <v>1</v>
      </c>
      <c r="I268" s="74">
        <v>0</v>
      </c>
      <c r="J268" s="72">
        <v>1</v>
      </c>
      <c r="K268" s="72">
        <v>0</v>
      </c>
      <c r="L268" s="72">
        <v>0</v>
      </c>
      <c r="M268" s="72">
        <v>0</v>
      </c>
      <c r="N268" s="72">
        <v>1</v>
      </c>
      <c r="O268" s="72">
        <v>0</v>
      </c>
      <c r="P268" s="72">
        <v>1</v>
      </c>
      <c r="Q268" s="75">
        <v>0</v>
      </c>
      <c r="R268" s="75">
        <v>0</v>
      </c>
      <c r="S268" s="72">
        <v>0</v>
      </c>
      <c r="T268" s="72">
        <v>0</v>
      </c>
      <c r="U268" s="72">
        <v>0</v>
      </c>
      <c r="V268" s="80" t="s">
        <v>196</v>
      </c>
      <c r="W268" s="72">
        <v>0</v>
      </c>
      <c r="X268" s="72">
        <v>66</v>
      </c>
      <c r="Y268" s="72">
        <v>0</v>
      </c>
      <c r="Z268" s="80" t="s">
        <v>196</v>
      </c>
      <c r="AA268" s="72">
        <v>2</v>
      </c>
      <c r="AB268" s="72">
        <v>66</v>
      </c>
      <c r="AC268" s="72">
        <v>2</v>
      </c>
      <c r="AD268" s="77">
        <v>0.5</v>
      </c>
    </row>
    <row r="269" spans="1:30" ht="12.75" x14ac:dyDescent="0.2">
      <c r="A269" s="83" t="s">
        <v>528</v>
      </c>
      <c r="B269" s="72">
        <v>17</v>
      </c>
      <c r="C269" s="72">
        <v>0</v>
      </c>
      <c r="D269" s="72">
        <v>0</v>
      </c>
      <c r="E269" s="72">
        <v>0</v>
      </c>
      <c r="F269" s="72">
        <v>17</v>
      </c>
      <c r="G269" s="73">
        <v>0</v>
      </c>
      <c r="H269" s="74">
        <v>17</v>
      </c>
      <c r="I269" s="74">
        <v>0</v>
      </c>
      <c r="J269" s="72">
        <v>12</v>
      </c>
      <c r="K269" s="72">
        <v>0</v>
      </c>
      <c r="L269" s="72">
        <v>0</v>
      </c>
      <c r="M269" s="72">
        <v>0</v>
      </c>
      <c r="N269" s="72">
        <v>12</v>
      </c>
      <c r="O269" s="72">
        <v>0</v>
      </c>
      <c r="P269" s="72">
        <v>12</v>
      </c>
      <c r="Q269" s="75">
        <v>0</v>
      </c>
      <c r="R269" s="75">
        <v>0</v>
      </c>
      <c r="S269" s="72">
        <v>14</v>
      </c>
      <c r="T269" s="72">
        <v>0</v>
      </c>
      <c r="U269" s="72">
        <v>14</v>
      </c>
      <c r="V269" s="75">
        <v>0</v>
      </c>
      <c r="W269" s="72">
        <v>31</v>
      </c>
      <c r="X269" s="72">
        <v>109</v>
      </c>
      <c r="Y269" s="72">
        <v>0</v>
      </c>
      <c r="Z269" s="78">
        <v>3.516</v>
      </c>
      <c r="AA269" s="72">
        <v>74</v>
      </c>
      <c r="AB269" s="72">
        <v>109</v>
      </c>
      <c r="AC269" s="72">
        <v>43</v>
      </c>
      <c r="AD269" s="77">
        <v>1</v>
      </c>
    </row>
    <row r="270" spans="1:30" ht="12.75" x14ac:dyDescent="0.2">
      <c r="A270" s="83" t="s">
        <v>483</v>
      </c>
      <c r="B270" s="72">
        <v>10</v>
      </c>
      <c r="C270" s="72">
        <v>0</v>
      </c>
      <c r="D270" s="72">
        <v>0</v>
      </c>
      <c r="E270" s="72">
        <v>0</v>
      </c>
      <c r="F270" s="72">
        <v>10</v>
      </c>
      <c r="G270" s="73">
        <v>0</v>
      </c>
      <c r="H270" s="74">
        <v>5</v>
      </c>
      <c r="I270" s="74">
        <v>0</v>
      </c>
      <c r="J270" s="72">
        <v>6</v>
      </c>
      <c r="K270" s="72">
        <v>0</v>
      </c>
      <c r="L270" s="72">
        <v>0</v>
      </c>
      <c r="M270" s="72">
        <v>0</v>
      </c>
      <c r="N270" s="72">
        <v>6</v>
      </c>
      <c r="O270" s="72">
        <v>0</v>
      </c>
      <c r="P270" s="72">
        <v>6</v>
      </c>
      <c r="Q270" s="75">
        <v>0</v>
      </c>
      <c r="R270" s="75">
        <v>0</v>
      </c>
      <c r="S270" s="72">
        <v>7</v>
      </c>
      <c r="T270" s="72">
        <v>0</v>
      </c>
      <c r="U270" s="72">
        <v>7</v>
      </c>
      <c r="V270" s="75">
        <v>0</v>
      </c>
      <c r="W270" s="72">
        <v>15</v>
      </c>
      <c r="X270" s="72">
        <v>323</v>
      </c>
      <c r="Y270" s="72">
        <v>0</v>
      </c>
      <c r="Z270" s="78">
        <v>21.533000000000001</v>
      </c>
      <c r="AA270" s="72">
        <v>38</v>
      </c>
      <c r="AB270" s="72">
        <v>323</v>
      </c>
      <c r="AC270" s="72">
        <v>23</v>
      </c>
      <c r="AD270" s="77">
        <v>0.5</v>
      </c>
    </row>
    <row r="271" spans="1:30" ht="12.75" x14ac:dyDescent="0.2">
      <c r="A271" s="83" t="s">
        <v>529</v>
      </c>
      <c r="B271" s="72">
        <v>925</v>
      </c>
      <c r="C271" s="72">
        <v>4</v>
      </c>
      <c r="D271" s="72">
        <v>0</v>
      </c>
      <c r="E271" s="72">
        <v>4</v>
      </c>
      <c r="F271" s="72">
        <v>921</v>
      </c>
      <c r="G271" s="73">
        <v>4.0000000000000001E-3</v>
      </c>
      <c r="H271" s="74">
        <v>347</v>
      </c>
      <c r="I271" s="74">
        <v>0</v>
      </c>
      <c r="J271" s="72">
        <v>693</v>
      </c>
      <c r="K271" s="72">
        <v>5</v>
      </c>
      <c r="L271" s="72">
        <v>0</v>
      </c>
      <c r="M271" s="72">
        <v>5</v>
      </c>
      <c r="N271" s="72">
        <v>688</v>
      </c>
      <c r="O271" s="72">
        <v>5</v>
      </c>
      <c r="P271" s="72">
        <v>688</v>
      </c>
      <c r="Q271" s="75">
        <v>7.0000000000000001E-3</v>
      </c>
      <c r="R271" s="75">
        <v>7.0000000000000001E-3</v>
      </c>
      <c r="S271" s="72">
        <v>825</v>
      </c>
      <c r="T271" s="72">
        <v>4</v>
      </c>
      <c r="U271" s="72">
        <v>821</v>
      </c>
      <c r="V271" s="75">
        <v>5.0000000000000001E-3</v>
      </c>
      <c r="W271" s="76">
        <v>1958</v>
      </c>
      <c r="X271" s="72">
        <v>476</v>
      </c>
      <c r="Y271" s="76">
        <v>1482</v>
      </c>
      <c r="Z271" s="75">
        <v>0.24299999999999999</v>
      </c>
      <c r="AA271" s="76">
        <v>4401</v>
      </c>
      <c r="AB271" s="72">
        <v>489</v>
      </c>
      <c r="AC271" s="76">
        <v>3912</v>
      </c>
      <c r="AD271" s="77">
        <v>0.375</v>
      </c>
    </row>
    <row r="272" spans="1:30" ht="12.75" x14ac:dyDescent="0.2">
      <c r="A272" s="83" t="s">
        <v>532</v>
      </c>
      <c r="B272" s="72">
        <v>11</v>
      </c>
      <c r="C272" s="72">
        <v>0</v>
      </c>
      <c r="D272" s="72">
        <v>0</v>
      </c>
      <c r="E272" s="72">
        <v>0</v>
      </c>
      <c r="F272" s="72">
        <v>11</v>
      </c>
      <c r="G272" s="73">
        <v>0</v>
      </c>
      <c r="H272" s="74">
        <v>4</v>
      </c>
      <c r="I272" s="74">
        <v>0</v>
      </c>
      <c r="J272" s="72">
        <v>5</v>
      </c>
      <c r="K272" s="72">
        <v>0</v>
      </c>
      <c r="L272" s="72">
        <v>0</v>
      </c>
      <c r="M272" s="72">
        <v>0</v>
      </c>
      <c r="N272" s="72">
        <v>5</v>
      </c>
      <c r="O272" s="72">
        <v>0</v>
      </c>
      <c r="P272" s="72">
        <v>5</v>
      </c>
      <c r="Q272" s="75">
        <v>0</v>
      </c>
      <c r="R272" s="75">
        <v>0</v>
      </c>
      <c r="S272" s="72">
        <v>6</v>
      </c>
      <c r="T272" s="72">
        <v>0</v>
      </c>
      <c r="U272" s="72">
        <v>6</v>
      </c>
      <c r="V272" s="75">
        <v>0</v>
      </c>
      <c r="W272" s="72">
        <v>14</v>
      </c>
      <c r="X272" s="72">
        <v>0</v>
      </c>
      <c r="Y272" s="72">
        <v>14</v>
      </c>
      <c r="Z272" s="75">
        <v>0</v>
      </c>
      <c r="AA272" s="72">
        <v>36</v>
      </c>
      <c r="AB272" s="72">
        <v>0</v>
      </c>
      <c r="AC272" s="72">
        <v>36</v>
      </c>
      <c r="AD272" s="77">
        <v>0.375</v>
      </c>
    </row>
    <row r="273" spans="1:30" ht="12.75" x14ac:dyDescent="0.2">
      <c r="A273" s="83" t="s">
        <v>533</v>
      </c>
      <c r="B273" s="72">
        <v>55</v>
      </c>
      <c r="C273" s="72">
        <v>19</v>
      </c>
      <c r="D273" s="72">
        <v>8</v>
      </c>
      <c r="E273" s="72">
        <v>11</v>
      </c>
      <c r="F273" s="72">
        <v>36</v>
      </c>
      <c r="G273" s="73">
        <v>0.34499999999999997</v>
      </c>
      <c r="H273" s="74">
        <v>28</v>
      </c>
      <c r="I273" s="74">
        <v>0</v>
      </c>
      <c r="J273" s="72">
        <v>32</v>
      </c>
      <c r="K273" s="72">
        <v>19</v>
      </c>
      <c r="L273" s="72">
        <v>7</v>
      </c>
      <c r="M273" s="72">
        <v>12</v>
      </c>
      <c r="N273" s="72">
        <v>13</v>
      </c>
      <c r="O273" s="72">
        <v>19</v>
      </c>
      <c r="P273" s="72">
        <v>13</v>
      </c>
      <c r="Q273" s="78">
        <v>0.59399999999999997</v>
      </c>
      <c r="R273" s="78">
        <v>0.59399999999999997</v>
      </c>
      <c r="S273" s="72">
        <v>37</v>
      </c>
      <c r="T273" s="72">
        <v>19</v>
      </c>
      <c r="U273" s="72">
        <v>18</v>
      </c>
      <c r="V273" s="78">
        <v>0.51400000000000001</v>
      </c>
      <c r="W273" s="72">
        <v>61</v>
      </c>
      <c r="X273" s="72">
        <v>135</v>
      </c>
      <c r="Y273" s="72">
        <v>0</v>
      </c>
      <c r="Z273" s="78">
        <v>2.2130000000000001</v>
      </c>
      <c r="AA273" s="72">
        <v>185</v>
      </c>
      <c r="AB273" s="72">
        <v>192</v>
      </c>
      <c r="AC273" s="72">
        <v>67</v>
      </c>
      <c r="AD273" s="77">
        <v>0.5</v>
      </c>
    </row>
    <row r="274" spans="1:30" ht="12.75" x14ac:dyDescent="0.2">
      <c r="A274" s="83" t="s">
        <v>534</v>
      </c>
      <c r="B274" s="72">
        <v>315</v>
      </c>
      <c r="C274" s="72">
        <v>42</v>
      </c>
      <c r="D274" s="72">
        <v>1</v>
      </c>
      <c r="E274" s="72">
        <v>41</v>
      </c>
      <c r="F274" s="72">
        <v>273</v>
      </c>
      <c r="G274" s="73">
        <v>0.13300000000000001</v>
      </c>
      <c r="H274" s="74">
        <v>118</v>
      </c>
      <c r="I274" s="74">
        <v>0</v>
      </c>
      <c r="J274" s="72">
        <v>206</v>
      </c>
      <c r="K274" s="72">
        <v>6</v>
      </c>
      <c r="L274" s="72">
        <v>1</v>
      </c>
      <c r="M274" s="72">
        <v>5</v>
      </c>
      <c r="N274" s="72">
        <v>200</v>
      </c>
      <c r="O274" s="72">
        <v>6</v>
      </c>
      <c r="P274" s="72">
        <v>200</v>
      </c>
      <c r="Q274" s="75">
        <v>2.9000000000000001E-2</v>
      </c>
      <c r="R274" s="75">
        <v>2.9000000000000001E-2</v>
      </c>
      <c r="S274" s="72">
        <v>239</v>
      </c>
      <c r="T274" s="72">
        <v>147</v>
      </c>
      <c r="U274" s="72">
        <v>92</v>
      </c>
      <c r="V274" s="78">
        <v>0.61499999999999999</v>
      </c>
      <c r="W274" s="72">
        <v>548</v>
      </c>
      <c r="X274" s="72">
        <v>278</v>
      </c>
      <c r="Y274" s="72">
        <v>270</v>
      </c>
      <c r="Z274" s="78">
        <v>0.50700000000000001</v>
      </c>
      <c r="AA274" s="76">
        <v>1308</v>
      </c>
      <c r="AB274" s="72">
        <v>473</v>
      </c>
      <c r="AC274" s="72">
        <v>835</v>
      </c>
      <c r="AD274" s="77">
        <v>0.375</v>
      </c>
    </row>
    <row r="275" spans="1:30" ht="12.75" x14ac:dyDescent="0.2">
      <c r="A275" s="83" t="s">
        <v>535</v>
      </c>
      <c r="B275" s="72">
        <v>265</v>
      </c>
      <c r="C275" s="72">
        <v>0</v>
      </c>
      <c r="D275" s="72">
        <v>0</v>
      </c>
      <c r="E275" s="72">
        <v>0</v>
      </c>
      <c r="F275" s="72">
        <v>265</v>
      </c>
      <c r="G275" s="73">
        <v>0</v>
      </c>
      <c r="H275" s="74">
        <v>265</v>
      </c>
      <c r="I275" s="74">
        <v>0</v>
      </c>
      <c r="J275" s="72">
        <v>130</v>
      </c>
      <c r="K275" s="72">
        <v>0</v>
      </c>
      <c r="L275" s="72">
        <v>0</v>
      </c>
      <c r="M275" s="72">
        <v>0</v>
      </c>
      <c r="N275" s="72">
        <v>130</v>
      </c>
      <c r="O275" s="72">
        <v>0</v>
      </c>
      <c r="P275" s="72">
        <v>130</v>
      </c>
      <c r="Q275" s="75">
        <v>0</v>
      </c>
      <c r="R275" s="75">
        <v>0</v>
      </c>
      <c r="S275" s="72">
        <v>180</v>
      </c>
      <c r="T275" s="72">
        <v>126</v>
      </c>
      <c r="U275" s="72">
        <v>54</v>
      </c>
      <c r="V275" s="75">
        <v>0.7</v>
      </c>
      <c r="W275" s="72">
        <v>420</v>
      </c>
      <c r="X275" s="72">
        <v>117</v>
      </c>
      <c r="Y275" s="72">
        <v>303</v>
      </c>
      <c r="Z275" s="75">
        <v>0.27900000000000003</v>
      </c>
      <c r="AA275" s="72">
        <v>995</v>
      </c>
      <c r="AB275" s="72">
        <v>243</v>
      </c>
      <c r="AC275" s="72">
        <v>752</v>
      </c>
      <c r="AD275" s="77">
        <v>1</v>
      </c>
    </row>
    <row r="276" spans="1:30" ht="12.75" x14ac:dyDescent="0.2">
      <c r="A276" s="83" t="s">
        <v>290</v>
      </c>
      <c r="B276" s="72">
        <v>124</v>
      </c>
      <c r="C276" s="72">
        <v>0</v>
      </c>
      <c r="D276" s="72">
        <v>0</v>
      </c>
      <c r="E276" s="72">
        <v>0</v>
      </c>
      <c r="F276" s="72">
        <v>124</v>
      </c>
      <c r="G276" s="73">
        <v>0</v>
      </c>
      <c r="H276" s="74">
        <v>62</v>
      </c>
      <c r="I276" s="74">
        <v>0</v>
      </c>
      <c r="J276" s="72">
        <v>72</v>
      </c>
      <c r="K276" s="72">
        <v>0</v>
      </c>
      <c r="L276" s="72">
        <v>0</v>
      </c>
      <c r="M276" s="72">
        <v>0</v>
      </c>
      <c r="N276" s="72">
        <v>72</v>
      </c>
      <c r="O276" s="72">
        <v>0</v>
      </c>
      <c r="P276" s="72">
        <v>72</v>
      </c>
      <c r="Q276" s="75">
        <v>0</v>
      </c>
      <c r="R276" s="75">
        <v>0</v>
      </c>
      <c r="S276" s="72">
        <v>78</v>
      </c>
      <c r="T276" s="72">
        <v>1</v>
      </c>
      <c r="U276" s="72">
        <v>77</v>
      </c>
      <c r="V276" s="75">
        <v>1.2999999999999999E-2</v>
      </c>
      <c r="W276" s="72">
        <v>195</v>
      </c>
      <c r="X276" s="72">
        <v>49</v>
      </c>
      <c r="Y276" s="72">
        <v>146</v>
      </c>
      <c r="Z276" s="75">
        <v>0.251</v>
      </c>
      <c r="AA276" s="72">
        <v>469</v>
      </c>
      <c r="AB276" s="72">
        <v>50</v>
      </c>
      <c r="AC276" s="72">
        <v>419</v>
      </c>
      <c r="AD276" s="77">
        <v>0.5</v>
      </c>
    </row>
    <row r="277" spans="1:30" ht="12.75" x14ac:dyDescent="0.2">
      <c r="A277" s="83" t="s">
        <v>536</v>
      </c>
      <c r="B277" s="72">
        <v>12</v>
      </c>
      <c r="C277" s="72">
        <v>0</v>
      </c>
      <c r="D277" s="72">
        <v>0</v>
      </c>
      <c r="E277" s="72">
        <v>0</v>
      </c>
      <c r="F277" s="72">
        <v>12</v>
      </c>
      <c r="G277" s="73">
        <v>0</v>
      </c>
      <c r="H277" s="74">
        <v>6</v>
      </c>
      <c r="I277" s="74">
        <v>0</v>
      </c>
      <c r="J277" s="72">
        <v>8</v>
      </c>
      <c r="K277" s="72">
        <v>0</v>
      </c>
      <c r="L277" s="72">
        <v>0</v>
      </c>
      <c r="M277" s="72">
        <v>0</v>
      </c>
      <c r="N277" s="72">
        <v>8</v>
      </c>
      <c r="O277" s="72">
        <v>0</v>
      </c>
      <c r="P277" s="72">
        <v>8</v>
      </c>
      <c r="Q277" s="75">
        <v>0</v>
      </c>
      <c r="R277" s="75">
        <v>0</v>
      </c>
      <c r="S277" s="72">
        <v>13</v>
      </c>
      <c r="T277" s="72">
        <v>0</v>
      </c>
      <c r="U277" s="72">
        <v>13</v>
      </c>
      <c r="V277" s="75">
        <v>0</v>
      </c>
      <c r="W277" s="72">
        <v>39</v>
      </c>
      <c r="X277" s="72">
        <v>5</v>
      </c>
      <c r="Y277" s="72">
        <v>34</v>
      </c>
      <c r="Z277" s="75">
        <v>0.128</v>
      </c>
      <c r="AA277" s="72">
        <v>72</v>
      </c>
      <c r="AB277" s="72">
        <v>5</v>
      </c>
      <c r="AC277" s="72">
        <v>67</v>
      </c>
      <c r="AD277" s="77">
        <v>0.5</v>
      </c>
    </row>
    <row r="278" spans="1:30" ht="12.75" x14ac:dyDescent="0.2">
      <c r="A278" s="83" t="s">
        <v>537</v>
      </c>
      <c r="B278" s="72">
        <v>13</v>
      </c>
      <c r="C278" s="72">
        <v>0</v>
      </c>
      <c r="D278" s="72">
        <v>0</v>
      </c>
      <c r="E278" s="72">
        <v>0</v>
      </c>
      <c r="F278" s="72">
        <v>13</v>
      </c>
      <c r="G278" s="73">
        <v>0</v>
      </c>
      <c r="H278" s="74">
        <v>7</v>
      </c>
      <c r="I278" s="74">
        <v>0</v>
      </c>
      <c r="J278" s="72">
        <v>8</v>
      </c>
      <c r="K278" s="72">
        <v>0</v>
      </c>
      <c r="L278" s="72">
        <v>0</v>
      </c>
      <c r="M278" s="72">
        <v>0</v>
      </c>
      <c r="N278" s="72">
        <v>8</v>
      </c>
      <c r="O278" s="72">
        <v>0</v>
      </c>
      <c r="P278" s="72">
        <v>8</v>
      </c>
      <c r="Q278" s="75">
        <v>0</v>
      </c>
      <c r="R278" s="75">
        <v>0</v>
      </c>
      <c r="S278" s="72">
        <v>9</v>
      </c>
      <c r="T278" s="72">
        <v>0</v>
      </c>
      <c r="U278" s="72">
        <v>9</v>
      </c>
      <c r="V278" s="75">
        <v>0</v>
      </c>
      <c r="W278" s="72">
        <v>23</v>
      </c>
      <c r="X278" s="72">
        <v>0</v>
      </c>
      <c r="Y278" s="72">
        <v>23</v>
      </c>
      <c r="Z278" s="75">
        <v>0</v>
      </c>
      <c r="AA278" s="72">
        <v>53</v>
      </c>
      <c r="AB278" s="72">
        <v>0</v>
      </c>
      <c r="AC278" s="72">
        <v>53</v>
      </c>
      <c r="AD278" s="77">
        <v>0.5</v>
      </c>
    </row>
    <row r="279" spans="1:30" ht="12.75" x14ac:dyDescent="0.2">
      <c r="A279" s="83" t="s">
        <v>440</v>
      </c>
      <c r="B279" s="72">
        <v>93</v>
      </c>
      <c r="C279" s="72">
        <v>6</v>
      </c>
      <c r="D279" s="72">
        <v>0</v>
      </c>
      <c r="E279" s="72">
        <v>6</v>
      </c>
      <c r="F279" s="72">
        <v>87</v>
      </c>
      <c r="G279" s="73">
        <v>6.5000000000000002E-2</v>
      </c>
      <c r="H279" s="74">
        <v>35</v>
      </c>
      <c r="I279" s="74">
        <v>0</v>
      </c>
      <c r="J279" s="72">
        <v>73</v>
      </c>
      <c r="K279" s="72">
        <v>6</v>
      </c>
      <c r="L279" s="72">
        <v>0</v>
      </c>
      <c r="M279" s="72">
        <v>6</v>
      </c>
      <c r="N279" s="72">
        <v>67</v>
      </c>
      <c r="O279" s="72">
        <v>6</v>
      </c>
      <c r="P279" s="72">
        <v>67</v>
      </c>
      <c r="Q279" s="75">
        <v>8.2000000000000003E-2</v>
      </c>
      <c r="R279" s="75">
        <v>8.2000000000000003E-2</v>
      </c>
      <c r="S279" s="72">
        <v>66</v>
      </c>
      <c r="T279" s="72">
        <v>32</v>
      </c>
      <c r="U279" s="72">
        <v>34</v>
      </c>
      <c r="V279" s="78">
        <v>0.48499999999999999</v>
      </c>
      <c r="W279" s="72">
        <v>79</v>
      </c>
      <c r="X279" s="72">
        <v>0</v>
      </c>
      <c r="Y279" s="72">
        <v>79</v>
      </c>
      <c r="Z279" s="75">
        <v>0</v>
      </c>
      <c r="AA279" s="72">
        <v>311</v>
      </c>
      <c r="AB279" s="72">
        <v>44</v>
      </c>
      <c r="AC279" s="72">
        <v>267</v>
      </c>
      <c r="AD279" s="77">
        <v>0.375</v>
      </c>
    </row>
    <row r="280" spans="1:30" ht="12.75" x14ac:dyDescent="0.2">
      <c r="A280" s="83" t="s">
        <v>538</v>
      </c>
      <c r="B280" s="72">
        <v>40</v>
      </c>
      <c r="C280" s="72">
        <v>0</v>
      </c>
      <c r="D280" s="72">
        <v>0</v>
      </c>
      <c r="E280" s="72">
        <v>0</v>
      </c>
      <c r="F280" s="72">
        <v>40</v>
      </c>
      <c r="G280" s="73">
        <v>0</v>
      </c>
      <c r="H280" s="74">
        <v>40</v>
      </c>
      <c r="I280" s="74">
        <v>0</v>
      </c>
      <c r="J280" s="72">
        <v>27</v>
      </c>
      <c r="K280" s="72">
        <v>0</v>
      </c>
      <c r="L280" s="72">
        <v>0</v>
      </c>
      <c r="M280" s="72">
        <v>0</v>
      </c>
      <c r="N280" s="72">
        <v>27</v>
      </c>
      <c r="O280" s="72">
        <v>0</v>
      </c>
      <c r="P280" s="72">
        <v>27</v>
      </c>
      <c r="Q280" s="75">
        <v>0</v>
      </c>
      <c r="R280" s="75">
        <v>0</v>
      </c>
      <c r="S280" s="72">
        <v>27</v>
      </c>
      <c r="T280" s="72">
        <v>56</v>
      </c>
      <c r="U280" s="72">
        <v>0</v>
      </c>
      <c r="V280" s="78">
        <v>2.0739999999999998</v>
      </c>
      <c r="W280" s="72">
        <v>74</v>
      </c>
      <c r="X280" s="72">
        <v>52</v>
      </c>
      <c r="Y280" s="72">
        <v>22</v>
      </c>
      <c r="Z280" s="75">
        <v>0.70299999999999996</v>
      </c>
      <c r="AA280" s="72">
        <v>168</v>
      </c>
      <c r="AB280" s="72">
        <v>108</v>
      </c>
      <c r="AC280" s="72">
        <v>89</v>
      </c>
      <c r="AD280" s="77">
        <v>1</v>
      </c>
    </row>
    <row r="281" spans="1:30" ht="12.75" x14ac:dyDescent="0.2">
      <c r="A281" s="83" t="s">
        <v>539</v>
      </c>
      <c r="B281" s="72">
        <v>80</v>
      </c>
      <c r="C281" s="72">
        <v>0</v>
      </c>
      <c r="D281" s="72">
        <v>0</v>
      </c>
      <c r="E281" s="72">
        <v>0</v>
      </c>
      <c r="F281" s="72">
        <v>80</v>
      </c>
      <c r="G281" s="73">
        <v>0</v>
      </c>
      <c r="H281" s="74">
        <v>30</v>
      </c>
      <c r="I281" s="74">
        <v>0</v>
      </c>
      <c r="J281" s="72">
        <v>56</v>
      </c>
      <c r="K281" s="72">
        <v>0</v>
      </c>
      <c r="L281" s="72">
        <v>0</v>
      </c>
      <c r="M281" s="72">
        <v>0</v>
      </c>
      <c r="N281" s="72">
        <v>56</v>
      </c>
      <c r="O281" s="72">
        <v>0</v>
      </c>
      <c r="P281" s="72">
        <v>56</v>
      </c>
      <c r="Q281" s="75">
        <v>0</v>
      </c>
      <c r="R281" s="75">
        <v>0</v>
      </c>
      <c r="S281" s="72">
        <v>77</v>
      </c>
      <c r="T281" s="72">
        <v>0</v>
      </c>
      <c r="U281" s="72">
        <v>77</v>
      </c>
      <c r="V281" s="75">
        <v>0</v>
      </c>
      <c r="W281" s="72">
        <v>341</v>
      </c>
      <c r="X281" s="72">
        <v>0</v>
      </c>
      <c r="Y281" s="72">
        <v>341</v>
      </c>
      <c r="Z281" s="75">
        <v>0</v>
      </c>
      <c r="AA281" s="72">
        <v>554</v>
      </c>
      <c r="AB281" s="72">
        <v>0</v>
      </c>
      <c r="AC281" s="72">
        <v>554</v>
      </c>
      <c r="AD281" s="77">
        <v>0.375</v>
      </c>
    </row>
    <row r="282" spans="1:30" ht="12.75" x14ac:dyDescent="0.2">
      <c r="A282" s="83" t="s">
        <v>540</v>
      </c>
      <c r="B282" s="76">
        <v>1488</v>
      </c>
      <c r="C282" s="72">
        <v>11</v>
      </c>
      <c r="D282" s="72">
        <v>0</v>
      </c>
      <c r="E282" s="72">
        <v>11</v>
      </c>
      <c r="F282" s="76">
        <v>1477</v>
      </c>
      <c r="G282" s="73">
        <v>7.0000000000000001E-3</v>
      </c>
      <c r="H282" s="74">
        <v>744</v>
      </c>
      <c r="I282" s="74">
        <v>0</v>
      </c>
      <c r="J282" s="76">
        <v>1007</v>
      </c>
      <c r="K282" s="72">
        <v>13</v>
      </c>
      <c r="L282" s="72">
        <v>0</v>
      </c>
      <c r="M282" s="72">
        <v>13</v>
      </c>
      <c r="N282" s="72">
        <v>994</v>
      </c>
      <c r="O282" s="72">
        <v>13</v>
      </c>
      <c r="P282" s="72">
        <v>994</v>
      </c>
      <c r="Q282" s="75">
        <v>1.2999999999999999E-2</v>
      </c>
      <c r="R282" s="75">
        <v>1.2999999999999999E-2</v>
      </c>
      <c r="S282" s="76">
        <v>1140</v>
      </c>
      <c r="T282" s="72">
        <v>884</v>
      </c>
      <c r="U282" s="72">
        <v>256</v>
      </c>
      <c r="V282" s="78">
        <v>0.77500000000000002</v>
      </c>
      <c r="W282" s="76">
        <v>2610</v>
      </c>
      <c r="X282" s="76">
        <v>2018</v>
      </c>
      <c r="Y282" s="72">
        <v>592</v>
      </c>
      <c r="Z282" s="78">
        <v>0.77300000000000002</v>
      </c>
      <c r="AA282" s="76">
        <v>6245</v>
      </c>
      <c r="AB282" s="76">
        <v>2926</v>
      </c>
      <c r="AC282" s="76">
        <v>3319</v>
      </c>
      <c r="AD282" s="77">
        <v>0.5</v>
      </c>
    </row>
    <row r="283" spans="1:30" ht="12.75" x14ac:dyDescent="0.2">
      <c r="A283" s="83" t="s">
        <v>541</v>
      </c>
      <c r="B283" s="72">
        <v>233</v>
      </c>
      <c r="C283" s="72">
        <v>147</v>
      </c>
      <c r="D283" s="72">
        <v>126</v>
      </c>
      <c r="E283" s="72">
        <v>21</v>
      </c>
      <c r="F283" s="72">
        <v>86</v>
      </c>
      <c r="G283" s="79">
        <v>0.63100000000000001</v>
      </c>
      <c r="H283" s="74">
        <v>117</v>
      </c>
      <c r="I283" s="74">
        <v>30</v>
      </c>
      <c r="J283" s="72">
        <v>129</v>
      </c>
      <c r="K283" s="72">
        <v>38</v>
      </c>
      <c r="L283" s="72">
        <v>23</v>
      </c>
      <c r="M283" s="72">
        <v>15</v>
      </c>
      <c r="N283" s="72">
        <v>91</v>
      </c>
      <c r="O283" s="72">
        <v>68</v>
      </c>
      <c r="P283" s="72">
        <v>61</v>
      </c>
      <c r="Q283" s="75">
        <v>0.29499999999999998</v>
      </c>
      <c r="R283" s="78">
        <v>0.52700000000000002</v>
      </c>
      <c r="S283" s="72">
        <v>143</v>
      </c>
      <c r="T283" s="72">
        <v>4</v>
      </c>
      <c r="U283" s="72">
        <v>139</v>
      </c>
      <c r="V283" s="75">
        <v>2.8000000000000001E-2</v>
      </c>
      <c r="W283" s="72">
        <v>150</v>
      </c>
      <c r="X283" s="72">
        <v>775</v>
      </c>
      <c r="Y283" s="72">
        <v>0</v>
      </c>
      <c r="Z283" s="78">
        <v>5.1669999999999998</v>
      </c>
      <c r="AA283" s="72">
        <v>655</v>
      </c>
      <c r="AB283" s="72">
        <v>964</v>
      </c>
      <c r="AC283" s="72">
        <v>316</v>
      </c>
      <c r="AD283" s="77">
        <v>0.5</v>
      </c>
    </row>
    <row r="284" spans="1:30" ht="12.75" x14ac:dyDescent="0.2">
      <c r="A284" s="83" t="s">
        <v>353</v>
      </c>
      <c r="B284" s="76">
        <v>1351</v>
      </c>
      <c r="C284" s="72">
        <v>0</v>
      </c>
      <c r="D284" s="72">
        <v>0</v>
      </c>
      <c r="E284" s="72">
        <v>0</v>
      </c>
      <c r="F284" s="76">
        <v>1351</v>
      </c>
      <c r="G284" s="73">
        <v>0</v>
      </c>
      <c r="H284" s="74">
        <v>507</v>
      </c>
      <c r="I284" s="74">
        <v>0</v>
      </c>
      <c r="J284" s="72">
        <v>966</v>
      </c>
      <c r="K284" s="72">
        <v>0</v>
      </c>
      <c r="L284" s="72">
        <v>0</v>
      </c>
      <c r="M284" s="72">
        <v>0</v>
      </c>
      <c r="N284" s="72">
        <v>966</v>
      </c>
      <c r="O284" s="72">
        <v>0</v>
      </c>
      <c r="P284" s="72">
        <v>966</v>
      </c>
      <c r="Q284" s="75">
        <v>0</v>
      </c>
      <c r="R284" s="75">
        <v>0</v>
      </c>
      <c r="S284" s="72">
        <v>886</v>
      </c>
      <c r="T284" s="72">
        <v>145</v>
      </c>
      <c r="U284" s="72">
        <v>741</v>
      </c>
      <c r="V284" s="75">
        <v>0.16400000000000001</v>
      </c>
      <c r="W284" s="76">
        <v>2348</v>
      </c>
      <c r="X284" s="72">
        <v>685</v>
      </c>
      <c r="Y284" s="76">
        <v>1663</v>
      </c>
      <c r="Z284" s="75">
        <v>0.29199999999999998</v>
      </c>
      <c r="AA284" s="76">
        <v>5551</v>
      </c>
      <c r="AB284" s="72">
        <v>830</v>
      </c>
      <c r="AC284" s="76">
        <v>4721</v>
      </c>
      <c r="AD284" s="77">
        <v>0.375</v>
      </c>
    </row>
    <row r="285" spans="1:30" ht="12.75" x14ac:dyDescent="0.2">
      <c r="A285" s="83" t="s">
        <v>543</v>
      </c>
      <c r="B285" s="76">
        <v>1085</v>
      </c>
      <c r="C285" s="72">
        <v>0</v>
      </c>
      <c r="D285" s="72">
        <v>0</v>
      </c>
      <c r="E285" s="72">
        <v>0</v>
      </c>
      <c r="F285" s="76">
        <v>1085</v>
      </c>
      <c r="G285" s="73">
        <v>0</v>
      </c>
      <c r="H285" s="74">
        <v>407</v>
      </c>
      <c r="I285" s="74">
        <v>0</v>
      </c>
      <c r="J285" s="72">
        <v>775</v>
      </c>
      <c r="K285" s="72">
        <v>11</v>
      </c>
      <c r="L285" s="72">
        <v>0</v>
      </c>
      <c r="M285" s="72">
        <v>11</v>
      </c>
      <c r="N285" s="72">
        <v>764</v>
      </c>
      <c r="O285" s="72">
        <v>11</v>
      </c>
      <c r="P285" s="72">
        <v>764</v>
      </c>
      <c r="Q285" s="75">
        <v>1.4E-2</v>
      </c>
      <c r="R285" s="75">
        <v>1.4E-2</v>
      </c>
      <c r="S285" s="72">
        <v>711</v>
      </c>
      <c r="T285" s="72">
        <v>90</v>
      </c>
      <c r="U285" s="72">
        <v>621</v>
      </c>
      <c r="V285" s="75">
        <v>0.127</v>
      </c>
      <c r="W285" s="76">
        <v>1885</v>
      </c>
      <c r="X285" s="72">
        <v>403</v>
      </c>
      <c r="Y285" s="76">
        <v>1482</v>
      </c>
      <c r="Z285" s="75">
        <v>0.214</v>
      </c>
      <c r="AA285" s="76">
        <v>4456</v>
      </c>
      <c r="AB285" s="72">
        <v>504</v>
      </c>
      <c r="AC285" s="76">
        <v>3952</v>
      </c>
      <c r="AD285" s="77">
        <v>0.375</v>
      </c>
    </row>
    <row r="286" spans="1:30" ht="12.75" x14ac:dyDescent="0.2">
      <c r="A286" s="83" t="s">
        <v>544</v>
      </c>
      <c r="B286" s="72">
        <v>41</v>
      </c>
      <c r="C286" s="72">
        <v>21</v>
      </c>
      <c r="D286" s="72">
        <v>0</v>
      </c>
      <c r="E286" s="72">
        <v>21</v>
      </c>
      <c r="F286" s="72">
        <v>20</v>
      </c>
      <c r="G286" s="79">
        <v>0.51200000000000001</v>
      </c>
      <c r="H286" s="74">
        <v>21</v>
      </c>
      <c r="I286" s="74">
        <v>0</v>
      </c>
      <c r="J286" s="72">
        <v>24</v>
      </c>
      <c r="K286" s="72">
        <v>19</v>
      </c>
      <c r="L286" s="72">
        <v>0</v>
      </c>
      <c r="M286" s="72">
        <v>19</v>
      </c>
      <c r="N286" s="72">
        <v>5</v>
      </c>
      <c r="O286" s="72">
        <v>19</v>
      </c>
      <c r="P286" s="72">
        <v>5</v>
      </c>
      <c r="Q286" s="78">
        <v>0.79200000000000004</v>
      </c>
      <c r="R286" s="78">
        <v>0.79200000000000004</v>
      </c>
      <c r="S286" s="72">
        <v>26</v>
      </c>
      <c r="T286" s="72">
        <v>13</v>
      </c>
      <c r="U286" s="72">
        <v>13</v>
      </c>
      <c r="V286" s="78">
        <v>0.5</v>
      </c>
      <c r="W286" s="72">
        <v>38</v>
      </c>
      <c r="X286" s="72">
        <v>19</v>
      </c>
      <c r="Y286" s="72">
        <v>19</v>
      </c>
      <c r="Z286" s="78">
        <v>0.5</v>
      </c>
      <c r="AA286" s="72">
        <v>129</v>
      </c>
      <c r="AB286" s="72">
        <v>72</v>
      </c>
      <c r="AC286" s="72">
        <v>57</v>
      </c>
      <c r="AD286" s="77">
        <v>0.5</v>
      </c>
    </row>
    <row r="287" spans="1:30" ht="12.75" x14ac:dyDescent="0.2">
      <c r="A287" s="83" t="s">
        <v>545</v>
      </c>
      <c r="B287" s="72">
        <v>193</v>
      </c>
      <c r="C287" s="72">
        <v>0</v>
      </c>
      <c r="D287" s="72">
        <v>0</v>
      </c>
      <c r="E287" s="72">
        <v>0</v>
      </c>
      <c r="F287" s="72">
        <v>193</v>
      </c>
      <c r="G287" s="73">
        <v>0</v>
      </c>
      <c r="H287" s="74">
        <v>97</v>
      </c>
      <c r="I287" s="74">
        <v>0</v>
      </c>
      <c r="J287" s="72">
        <v>101</v>
      </c>
      <c r="K287" s="72">
        <v>0</v>
      </c>
      <c r="L287" s="72">
        <v>0</v>
      </c>
      <c r="M287" s="72">
        <v>0</v>
      </c>
      <c r="N287" s="72">
        <v>101</v>
      </c>
      <c r="O287" s="72">
        <v>0</v>
      </c>
      <c r="P287" s="72">
        <v>101</v>
      </c>
      <c r="Q287" s="75">
        <v>0</v>
      </c>
      <c r="R287" s="75">
        <v>0</v>
      </c>
      <c r="S287" s="72">
        <v>112</v>
      </c>
      <c r="T287" s="72">
        <v>0</v>
      </c>
      <c r="U287" s="72">
        <v>112</v>
      </c>
      <c r="V287" s="75">
        <v>0</v>
      </c>
      <c r="W287" s="72">
        <v>257</v>
      </c>
      <c r="X287" s="72">
        <v>3</v>
      </c>
      <c r="Y287" s="72">
        <v>254</v>
      </c>
      <c r="Z287" s="75">
        <v>1.2E-2</v>
      </c>
      <c r="AA287" s="72">
        <v>663</v>
      </c>
      <c r="AB287" s="72">
        <v>3</v>
      </c>
      <c r="AC287" s="72">
        <v>660</v>
      </c>
      <c r="AD287" s="77">
        <v>0.5</v>
      </c>
    </row>
    <row r="288" spans="1:30" ht="12.75" x14ac:dyDescent="0.2">
      <c r="A288" s="83" t="s">
        <v>546</v>
      </c>
      <c r="B288" s="76">
        <v>1004</v>
      </c>
      <c r="C288" s="72">
        <v>10</v>
      </c>
      <c r="D288" s="72">
        <v>10</v>
      </c>
      <c r="E288" s="72">
        <v>0</v>
      </c>
      <c r="F288" s="72">
        <v>994</v>
      </c>
      <c r="G288" s="73">
        <v>0.01</v>
      </c>
      <c r="H288" s="74">
        <v>502</v>
      </c>
      <c r="I288" s="74">
        <v>0</v>
      </c>
      <c r="J288" s="72">
        <v>570</v>
      </c>
      <c r="K288" s="72">
        <v>0</v>
      </c>
      <c r="L288" s="72">
        <v>0</v>
      </c>
      <c r="M288" s="72">
        <v>0</v>
      </c>
      <c r="N288" s="72">
        <v>570</v>
      </c>
      <c r="O288" s="72">
        <v>0</v>
      </c>
      <c r="P288" s="72">
        <v>570</v>
      </c>
      <c r="Q288" s="75">
        <v>0</v>
      </c>
      <c r="R288" s="75">
        <v>0</v>
      </c>
      <c r="S288" s="72">
        <v>565</v>
      </c>
      <c r="T288" s="72">
        <v>0</v>
      </c>
      <c r="U288" s="72">
        <v>565</v>
      </c>
      <c r="V288" s="75">
        <v>0</v>
      </c>
      <c r="W288" s="76">
        <v>1151</v>
      </c>
      <c r="X288" s="76">
        <v>3080</v>
      </c>
      <c r="Y288" s="72">
        <v>0</v>
      </c>
      <c r="Z288" s="78">
        <v>2.6760000000000002</v>
      </c>
      <c r="AA288" s="76">
        <v>3290</v>
      </c>
      <c r="AB288" s="76">
        <v>3090</v>
      </c>
      <c r="AC288" s="76">
        <v>2129</v>
      </c>
      <c r="AD288" s="77">
        <v>0.5</v>
      </c>
    </row>
    <row r="289" spans="1:30" ht="12.75" x14ac:dyDescent="0.2">
      <c r="A289" s="83" t="s">
        <v>547</v>
      </c>
      <c r="B289" s="72">
        <v>42</v>
      </c>
      <c r="C289" s="72">
        <v>13</v>
      </c>
      <c r="D289" s="72">
        <v>13</v>
      </c>
      <c r="E289" s="72">
        <v>0</v>
      </c>
      <c r="F289" s="72">
        <v>29</v>
      </c>
      <c r="G289" s="73">
        <v>0.31</v>
      </c>
      <c r="H289" s="74">
        <v>21</v>
      </c>
      <c r="I289" s="74">
        <v>0</v>
      </c>
      <c r="J289" s="72">
        <v>29</v>
      </c>
      <c r="K289" s="72">
        <v>28</v>
      </c>
      <c r="L289" s="72">
        <v>28</v>
      </c>
      <c r="M289" s="72">
        <v>0</v>
      </c>
      <c r="N289" s="72">
        <v>1</v>
      </c>
      <c r="O289" s="72">
        <v>28</v>
      </c>
      <c r="P289" s="72">
        <v>1</v>
      </c>
      <c r="Q289" s="78">
        <v>0.96599999999999997</v>
      </c>
      <c r="R289" s="78">
        <v>0.96599999999999997</v>
      </c>
      <c r="S289" s="72">
        <v>33</v>
      </c>
      <c r="T289" s="72">
        <v>16</v>
      </c>
      <c r="U289" s="72">
        <v>17</v>
      </c>
      <c r="V289" s="75">
        <v>0.48499999999999999</v>
      </c>
      <c r="W289" s="72">
        <v>73</v>
      </c>
      <c r="X289" s="72">
        <v>810</v>
      </c>
      <c r="Y289" s="72">
        <v>0</v>
      </c>
      <c r="Z289" s="78">
        <v>11.096</v>
      </c>
      <c r="AA289" s="72">
        <v>177</v>
      </c>
      <c r="AB289" s="72">
        <v>867</v>
      </c>
      <c r="AC289" s="72">
        <v>47</v>
      </c>
      <c r="AD289" s="77">
        <v>0.5</v>
      </c>
    </row>
    <row r="290" spans="1:30" ht="12.75" x14ac:dyDescent="0.2">
      <c r="A290" s="83" t="s">
        <v>548</v>
      </c>
      <c r="B290" s="76">
        <v>1546</v>
      </c>
      <c r="C290" s="72">
        <v>0</v>
      </c>
      <c r="D290" s="72">
        <v>0</v>
      </c>
      <c r="E290" s="72">
        <v>0</v>
      </c>
      <c r="F290" s="76">
        <v>1546</v>
      </c>
      <c r="G290" s="73">
        <v>0</v>
      </c>
      <c r="H290" s="74">
        <v>580</v>
      </c>
      <c r="I290" s="74">
        <v>0</v>
      </c>
      <c r="J290" s="72">
        <v>991</v>
      </c>
      <c r="K290" s="72">
        <v>56</v>
      </c>
      <c r="L290" s="72">
        <v>55</v>
      </c>
      <c r="M290" s="72">
        <v>1</v>
      </c>
      <c r="N290" s="72">
        <v>935</v>
      </c>
      <c r="O290" s="72">
        <v>56</v>
      </c>
      <c r="P290" s="72">
        <v>935</v>
      </c>
      <c r="Q290" s="75">
        <v>5.7000000000000002E-2</v>
      </c>
      <c r="R290" s="75">
        <v>5.7000000000000002E-2</v>
      </c>
      <c r="S290" s="76">
        <v>1100</v>
      </c>
      <c r="T290" s="72">
        <v>146</v>
      </c>
      <c r="U290" s="72">
        <v>954</v>
      </c>
      <c r="V290" s="75">
        <v>0.13300000000000001</v>
      </c>
      <c r="W290" s="76">
        <v>2724</v>
      </c>
      <c r="X290" s="72">
        <v>425</v>
      </c>
      <c r="Y290" s="76">
        <v>2299</v>
      </c>
      <c r="Z290" s="75">
        <v>0.156</v>
      </c>
      <c r="AA290" s="76">
        <v>6361</v>
      </c>
      <c r="AB290" s="72">
        <v>627</v>
      </c>
      <c r="AC290" s="76">
        <v>5734</v>
      </c>
      <c r="AD290" s="77">
        <v>0.375</v>
      </c>
    </row>
    <row r="291" spans="1:30" ht="12.75" x14ac:dyDescent="0.2">
      <c r="A291" s="83" t="s">
        <v>549</v>
      </c>
      <c r="B291" s="72">
        <v>2</v>
      </c>
      <c r="C291" s="72">
        <v>0</v>
      </c>
      <c r="D291" s="72">
        <v>0</v>
      </c>
      <c r="E291" s="72">
        <v>0</v>
      </c>
      <c r="F291" s="72">
        <v>2</v>
      </c>
      <c r="G291" s="73">
        <v>0</v>
      </c>
      <c r="H291" s="74">
        <v>2</v>
      </c>
      <c r="I291" s="74">
        <v>0</v>
      </c>
      <c r="J291" s="72">
        <v>2</v>
      </c>
      <c r="K291" s="72">
        <v>0</v>
      </c>
      <c r="L291" s="72">
        <v>0</v>
      </c>
      <c r="M291" s="72">
        <v>0</v>
      </c>
      <c r="N291" s="72">
        <v>2</v>
      </c>
      <c r="O291" s="72">
        <v>0</v>
      </c>
      <c r="P291" s="72">
        <v>2</v>
      </c>
      <c r="Q291" s="75">
        <v>0</v>
      </c>
      <c r="R291" s="75">
        <v>0</v>
      </c>
      <c r="S291" s="72">
        <v>1</v>
      </c>
      <c r="T291" s="72">
        <v>0</v>
      </c>
      <c r="U291" s="72">
        <v>1</v>
      </c>
      <c r="V291" s="75">
        <v>0</v>
      </c>
      <c r="W291" s="72">
        <v>5</v>
      </c>
      <c r="X291" s="72">
        <v>0</v>
      </c>
      <c r="Y291" s="72">
        <v>5</v>
      </c>
      <c r="Z291" s="75">
        <v>0</v>
      </c>
      <c r="AA291" s="72">
        <v>10</v>
      </c>
      <c r="AB291" s="72">
        <v>0</v>
      </c>
      <c r="AC291" s="72">
        <v>10</v>
      </c>
      <c r="AD291" s="77">
        <v>1</v>
      </c>
    </row>
    <row r="292" spans="1:30" ht="12.75" x14ac:dyDescent="0.2">
      <c r="A292" s="83" t="s">
        <v>550</v>
      </c>
      <c r="B292" s="72">
        <v>11</v>
      </c>
      <c r="C292" s="72">
        <v>0</v>
      </c>
      <c r="D292" s="72">
        <v>0</v>
      </c>
      <c r="E292" s="72">
        <v>0</v>
      </c>
      <c r="F292" s="72">
        <v>11</v>
      </c>
      <c r="G292" s="73">
        <v>0</v>
      </c>
      <c r="H292" s="74">
        <v>11</v>
      </c>
      <c r="I292" s="74">
        <v>0</v>
      </c>
      <c r="J292" s="72">
        <v>7</v>
      </c>
      <c r="K292" s="72">
        <v>22</v>
      </c>
      <c r="L292" s="72">
        <v>0</v>
      </c>
      <c r="M292" s="72">
        <v>22</v>
      </c>
      <c r="N292" s="72">
        <v>0</v>
      </c>
      <c r="O292" s="72">
        <v>22</v>
      </c>
      <c r="P292" s="72">
        <v>0</v>
      </c>
      <c r="Q292" s="78">
        <v>3.1429999999999998</v>
      </c>
      <c r="R292" s="78">
        <v>3.1429999999999998</v>
      </c>
      <c r="S292" s="72">
        <v>9</v>
      </c>
      <c r="T292" s="72">
        <v>55</v>
      </c>
      <c r="U292" s="72">
        <v>0</v>
      </c>
      <c r="V292" s="78">
        <v>6.1109999999999998</v>
      </c>
      <c r="W292" s="72">
        <v>19</v>
      </c>
      <c r="X292" s="72">
        <v>44</v>
      </c>
      <c r="Y292" s="72">
        <v>0</v>
      </c>
      <c r="Z292" s="78">
        <v>2.3159999999999998</v>
      </c>
      <c r="AA292" s="72">
        <v>46</v>
      </c>
      <c r="AB292" s="72">
        <v>121</v>
      </c>
      <c r="AC292" s="72">
        <v>11</v>
      </c>
      <c r="AD292" s="77">
        <v>1</v>
      </c>
    </row>
    <row r="293" spans="1:30" ht="12.75" x14ac:dyDescent="0.2">
      <c r="A293" s="83" t="s">
        <v>484</v>
      </c>
      <c r="B293" s="72">
        <v>101</v>
      </c>
      <c r="C293" s="72">
        <v>0</v>
      </c>
      <c r="D293" s="72">
        <v>0</v>
      </c>
      <c r="E293" s="72">
        <v>0</v>
      </c>
      <c r="F293" s="72">
        <v>101</v>
      </c>
      <c r="G293" s="73">
        <v>0</v>
      </c>
      <c r="H293" s="74">
        <v>51</v>
      </c>
      <c r="I293" s="74">
        <v>0</v>
      </c>
      <c r="J293" s="72">
        <v>61</v>
      </c>
      <c r="K293" s="72">
        <v>0</v>
      </c>
      <c r="L293" s="72">
        <v>0</v>
      </c>
      <c r="M293" s="72">
        <v>0</v>
      </c>
      <c r="N293" s="72">
        <v>61</v>
      </c>
      <c r="O293" s="72">
        <v>0</v>
      </c>
      <c r="P293" s="72">
        <v>61</v>
      </c>
      <c r="Q293" s="75">
        <v>0</v>
      </c>
      <c r="R293" s="75">
        <v>0</v>
      </c>
      <c r="S293" s="72">
        <v>65</v>
      </c>
      <c r="T293" s="72">
        <v>4</v>
      </c>
      <c r="U293" s="72">
        <v>61</v>
      </c>
      <c r="V293" s="75">
        <v>6.2E-2</v>
      </c>
      <c r="W293" s="72">
        <v>162</v>
      </c>
      <c r="X293" s="72">
        <v>536</v>
      </c>
      <c r="Y293" s="72">
        <v>0</v>
      </c>
      <c r="Z293" s="78">
        <v>3.3090000000000002</v>
      </c>
      <c r="AA293" s="72">
        <v>389</v>
      </c>
      <c r="AB293" s="72">
        <v>540</v>
      </c>
      <c r="AC293" s="72">
        <v>223</v>
      </c>
      <c r="AD293" s="77">
        <v>0.5</v>
      </c>
    </row>
    <row r="294" spans="1:30" ht="12.75" x14ac:dyDescent="0.2">
      <c r="A294" s="83" t="s">
        <v>551</v>
      </c>
      <c r="B294" s="72">
        <v>5</v>
      </c>
      <c r="C294" s="72">
        <v>0</v>
      </c>
      <c r="D294" s="72">
        <v>0</v>
      </c>
      <c r="E294" s="72">
        <v>0</v>
      </c>
      <c r="F294" s="72">
        <v>5</v>
      </c>
      <c r="G294" s="73">
        <v>0</v>
      </c>
      <c r="H294" s="74">
        <v>5</v>
      </c>
      <c r="I294" s="74">
        <v>0</v>
      </c>
      <c r="J294" s="72">
        <v>3</v>
      </c>
      <c r="K294" s="72">
        <v>0</v>
      </c>
      <c r="L294" s="72">
        <v>0</v>
      </c>
      <c r="M294" s="72">
        <v>0</v>
      </c>
      <c r="N294" s="72">
        <v>3</v>
      </c>
      <c r="O294" s="72">
        <v>0</v>
      </c>
      <c r="P294" s="72">
        <v>3</v>
      </c>
      <c r="Q294" s="75">
        <v>0</v>
      </c>
      <c r="R294" s="75">
        <v>0</v>
      </c>
      <c r="S294" s="72">
        <v>3</v>
      </c>
      <c r="T294" s="72">
        <v>0</v>
      </c>
      <c r="U294" s="72">
        <v>3</v>
      </c>
      <c r="V294" s="75">
        <v>0</v>
      </c>
      <c r="W294" s="72">
        <v>8</v>
      </c>
      <c r="X294" s="72">
        <v>0</v>
      </c>
      <c r="Y294" s="72">
        <v>8</v>
      </c>
      <c r="Z294" s="75">
        <v>0</v>
      </c>
      <c r="AA294" s="72">
        <v>19</v>
      </c>
      <c r="AB294" s="72">
        <v>0</v>
      </c>
      <c r="AC294" s="72">
        <v>19</v>
      </c>
      <c r="AD294" s="77">
        <v>1</v>
      </c>
    </row>
    <row r="295" spans="1:30" ht="12.75" x14ac:dyDescent="0.2">
      <c r="A295" s="83" t="s">
        <v>552</v>
      </c>
      <c r="B295" s="72">
        <v>164</v>
      </c>
      <c r="C295" s="72">
        <v>0</v>
      </c>
      <c r="D295" s="72">
        <v>0</v>
      </c>
      <c r="E295" s="72">
        <v>0</v>
      </c>
      <c r="F295" s="72">
        <v>164</v>
      </c>
      <c r="G295" s="73">
        <v>0</v>
      </c>
      <c r="H295" s="74">
        <v>82</v>
      </c>
      <c r="I295" s="74">
        <v>0</v>
      </c>
      <c r="J295" s="72">
        <v>114</v>
      </c>
      <c r="K295" s="72">
        <v>0</v>
      </c>
      <c r="L295" s="72">
        <v>0</v>
      </c>
      <c r="M295" s="72">
        <v>0</v>
      </c>
      <c r="N295" s="72">
        <v>114</v>
      </c>
      <c r="O295" s="72">
        <v>0</v>
      </c>
      <c r="P295" s="72">
        <v>114</v>
      </c>
      <c r="Q295" s="75">
        <v>0</v>
      </c>
      <c r="R295" s="75">
        <v>0</v>
      </c>
      <c r="S295" s="72">
        <v>125</v>
      </c>
      <c r="T295" s="72">
        <v>0</v>
      </c>
      <c r="U295" s="72">
        <v>125</v>
      </c>
      <c r="V295" s="75">
        <v>0</v>
      </c>
      <c r="W295" s="72">
        <v>294</v>
      </c>
      <c r="X295" s="72">
        <v>356</v>
      </c>
      <c r="Y295" s="72">
        <v>0</v>
      </c>
      <c r="Z295" s="78">
        <v>1.2110000000000001</v>
      </c>
      <c r="AA295" s="72">
        <v>697</v>
      </c>
      <c r="AB295" s="72">
        <v>356</v>
      </c>
      <c r="AC295" s="72">
        <v>403</v>
      </c>
      <c r="AD295" s="77">
        <v>0.5</v>
      </c>
    </row>
    <row r="296" spans="1:30" ht="12.75" x14ac:dyDescent="0.2">
      <c r="A296" s="83" t="s">
        <v>553</v>
      </c>
      <c r="B296" s="72">
        <v>23</v>
      </c>
      <c r="C296" s="72">
        <v>29</v>
      </c>
      <c r="D296" s="72">
        <v>5</v>
      </c>
      <c r="E296" s="72">
        <v>24</v>
      </c>
      <c r="F296" s="72">
        <v>0</v>
      </c>
      <c r="G296" s="79">
        <v>1.2609999999999999</v>
      </c>
      <c r="H296" s="74">
        <v>12</v>
      </c>
      <c r="I296" s="74">
        <v>17</v>
      </c>
      <c r="J296" s="72">
        <v>13</v>
      </c>
      <c r="K296" s="72">
        <v>1</v>
      </c>
      <c r="L296" s="72">
        <v>1</v>
      </c>
      <c r="M296" s="72">
        <v>0</v>
      </c>
      <c r="N296" s="72">
        <v>12</v>
      </c>
      <c r="O296" s="72">
        <v>18</v>
      </c>
      <c r="P296" s="72">
        <v>0</v>
      </c>
      <c r="Q296" s="75">
        <v>7.6999999999999999E-2</v>
      </c>
      <c r="R296" s="78">
        <v>1.385</v>
      </c>
      <c r="S296" s="72">
        <v>13</v>
      </c>
      <c r="T296" s="72">
        <v>1</v>
      </c>
      <c r="U296" s="72">
        <v>12</v>
      </c>
      <c r="V296" s="75">
        <v>7.6999999999999999E-2</v>
      </c>
      <c r="W296" s="72">
        <v>12</v>
      </c>
      <c r="X296" s="72">
        <v>18</v>
      </c>
      <c r="Y296" s="72">
        <v>0</v>
      </c>
      <c r="Z296" s="78">
        <v>1.5</v>
      </c>
      <c r="AA296" s="72">
        <v>61</v>
      </c>
      <c r="AB296" s="72">
        <v>49</v>
      </c>
      <c r="AC296" s="72">
        <v>24</v>
      </c>
      <c r="AD296" s="77">
        <v>0.5</v>
      </c>
    </row>
    <row r="297" spans="1:30" ht="12.75" x14ac:dyDescent="0.2">
      <c r="A297" s="83" t="s">
        <v>555</v>
      </c>
      <c r="B297" s="72">
        <v>269</v>
      </c>
      <c r="C297" s="72">
        <v>0</v>
      </c>
      <c r="D297" s="72">
        <v>0</v>
      </c>
      <c r="E297" s="72">
        <v>0</v>
      </c>
      <c r="F297" s="72">
        <v>269</v>
      </c>
      <c r="G297" s="73">
        <v>0</v>
      </c>
      <c r="H297" s="74">
        <v>135</v>
      </c>
      <c r="I297" s="74">
        <v>0</v>
      </c>
      <c r="J297" s="72">
        <v>161</v>
      </c>
      <c r="K297" s="72">
        <v>0</v>
      </c>
      <c r="L297" s="72">
        <v>0</v>
      </c>
      <c r="M297" s="72">
        <v>0</v>
      </c>
      <c r="N297" s="72">
        <v>161</v>
      </c>
      <c r="O297" s="72">
        <v>0</v>
      </c>
      <c r="P297" s="72">
        <v>161</v>
      </c>
      <c r="Q297" s="75">
        <v>0</v>
      </c>
      <c r="R297" s="75">
        <v>0</v>
      </c>
      <c r="S297" s="72">
        <v>175</v>
      </c>
      <c r="T297" s="72">
        <v>0</v>
      </c>
      <c r="U297" s="72">
        <v>175</v>
      </c>
      <c r="V297" s="75">
        <v>0</v>
      </c>
      <c r="W297" s="72">
        <v>461</v>
      </c>
      <c r="X297" s="72">
        <v>0</v>
      </c>
      <c r="Y297" s="72">
        <v>461</v>
      </c>
      <c r="Z297" s="75">
        <v>0</v>
      </c>
      <c r="AA297" s="76">
        <v>1066</v>
      </c>
      <c r="AB297" s="72">
        <v>0</v>
      </c>
      <c r="AC297" s="76">
        <v>1066</v>
      </c>
      <c r="AD297" s="77">
        <v>0.5</v>
      </c>
    </row>
    <row r="298" spans="1:30" ht="12.75" x14ac:dyDescent="0.2">
      <c r="A298" s="83" t="s">
        <v>403</v>
      </c>
      <c r="B298" s="72">
        <v>157</v>
      </c>
      <c r="C298" s="72">
        <v>19</v>
      </c>
      <c r="D298" s="72">
        <v>19</v>
      </c>
      <c r="E298" s="72">
        <v>0</v>
      </c>
      <c r="F298" s="72">
        <v>138</v>
      </c>
      <c r="G298" s="73">
        <v>0.121</v>
      </c>
      <c r="H298" s="74">
        <v>59</v>
      </c>
      <c r="I298" s="74">
        <v>0</v>
      </c>
      <c r="J298" s="72">
        <v>102</v>
      </c>
      <c r="K298" s="72">
        <v>0</v>
      </c>
      <c r="L298" s="72">
        <v>0</v>
      </c>
      <c r="M298" s="72">
        <v>0</v>
      </c>
      <c r="N298" s="72">
        <v>102</v>
      </c>
      <c r="O298" s="72">
        <v>0</v>
      </c>
      <c r="P298" s="72">
        <v>102</v>
      </c>
      <c r="Q298" s="75">
        <v>0</v>
      </c>
      <c r="R298" s="75">
        <v>0</v>
      </c>
      <c r="S298" s="72">
        <v>119</v>
      </c>
      <c r="T298" s="72">
        <v>2</v>
      </c>
      <c r="U298" s="72">
        <v>117</v>
      </c>
      <c r="V298" s="75">
        <v>1.7000000000000001E-2</v>
      </c>
      <c r="W298" s="72">
        <v>272</v>
      </c>
      <c r="X298" s="72">
        <v>71</v>
      </c>
      <c r="Y298" s="72">
        <v>201</v>
      </c>
      <c r="Z298" s="75">
        <v>0.26100000000000001</v>
      </c>
      <c r="AA298" s="72">
        <v>650</v>
      </c>
      <c r="AB298" s="72">
        <v>92</v>
      </c>
      <c r="AC298" s="72">
        <v>558</v>
      </c>
      <c r="AD298" s="77">
        <v>0.375</v>
      </c>
    </row>
    <row r="299" spans="1:30" ht="12.75" x14ac:dyDescent="0.2">
      <c r="A299" s="83" t="s">
        <v>556</v>
      </c>
      <c r="B299" s="72">
        <v>374</v>
      </c>
      <c r="C299" s="72">
        <v>219</v>
      </c>
      <c r="D299" s="72">
        <v>44</v>
      </c>
      <c r="E299" s="72">
        <v>175</v>
      </c>
      <c r="F299" s="72">
        <v>155</v>
      </c>
      <c r="G299" s="79">
        <v>0.58599999999999997</v>
      </c>
      <c r="H299" s="74">
        <v>140</v>
      </c>
      <c r="I299" s="74">
        <v>79</v>
      </c>
      <c r="J299" s="72">
        <v>244</v>
      </c>
      <c r="K299" s="72">
        <v>13</v>
      </c>
      <c r="L299" s="72">
        <v>13</v>
      </c>
      <c r="M299" s="72">
        <v>0</v>
      </c>
      <c r="N299" s="72">
        <v>231</v>
      </c>
      <c r="O299" s="72">
        <v>92</v>
      </c>
      <c r="P299" s="72">
        <v>152</v>
      </c>
      <c r="Q299" s="75">
        <v>5.2999999999999999E-2</v>
      </c>
      <c r="R299" s="78">
        <v>0.377</v>
      </c>
      <c r="S299" s="72">
        <v>282</v>
      </c>
      <c r="T299" s="72">
        <v>27</v>
      </c>
      <c r="U299" s="72">
        <v>255</v>
      </c>
      <c r="V299" s="75">
        <v>9.6000000000000002E-2</v>
      </c>
      <c r="W299" s="72">
        <v>651</v>
      </c>
      <c r="X299" s="72">
        <v>995</v>
      </c>
      <c r="Y299" s="72">
        <v>0</v>
      </c>
      <c r="Z299" s="78">
        <v>1.528</v>
      </c>
      <c r="AA299" s="76">
        <v>1551</v>
      </c>
      <c r="AB299" s="76">
        <v>1254</v>
      </c>
      <c r="AC299" s="72">
        <v>641</v>
      </c>
      <c r="AD299" s="77">
        <v>0.375</v>
      </c>
    </row>
    <row r="300" spans="1:30" ht="12.75" x14ac:dyDescent="0.2">
      <c r="A300" s="83" t="s">
        <v>559</v>
      </c>
      <c r="B300" s="72">
        <v>205</v>
      </c>
      <c r="C300" s="72">
        <v>0</v>
      </c>
      <c r="D300" s="72">
        <v>0</v>
      </c>
      <c r="E300" s="72">
        <v>0</v>
      </c>
      <c r="F300" s="72">
        <v>205</v>
      </c>
      <c r="G300" s="73">
        <v>0</v>
      </c>
      <c r="H300" s="74">
        <v>103</v>
      </c>
      <c r="I300" s="74">
        <v>0</v>
      </c>
      <c r="J300" s="72">
        <v>123</v>
      </c>
      <c r="K300" s="72">
        <v>0</v>
      </c>
      <c r="L300" s="72">
        <v>0</v>
      </c>
      <c r="M300" s="72">
        <v>0</v>
      </c>
      <c r="N300" s="72">
        <v>123</v>
      </c>
      <c r="O300" s="72">
        <v>0</v>
      </c>
      <c r="P300" s="72">
        <v>123</v>
      </c>
      <c r="Q300" s="75">
        <v>0</v>
      </c>
      <c r="R300" s="75">
        <v>0</v>
      </c>
      <c r="S300" s="72">
        <v>137</v>
      </c>
      <c r="T300" s="72">
        <v>0</v>
      </c>
      <c r="U300" s="72">
        <v>137</v>
      </c>
      <c r="V300" s="75">
        <v>0</v>
      </c>
      <c r="W300" s="72">
        <v>350</v>
      </c>
      <c r="X300" s="72">
        <v>14</v>
      </c>
      <c r="Y300" s="72">
        <v>336</v>
      </c>
      <c r="Z300" s="75">
        <v>0.04</v>
      </c>
      <c r="AA300" s="72">
        <v>815</v>
      </c>
      <c r="AB300" s="72">
        <v>14</v>
      </c>
      <c r="AC300" s="72">
        <v>801</v>
      </c>
      <c r="AD300" s="77">
        <v>0.5</v>
      </c>
    </row>
    <row r="301" spans="1:30" ht="12.75" x14ac:dyDescent="0.2">
      <c r="A301" s="83" t="s">
        <v>560</v>
      </c>
      <c r="B301" s="72">
        <v>289</v>
      </c>
      <c r="C301" s="72">
        <v>5</v>
      </c>
      <c r="D301" s="72">
        <v>5</v>
      </c>
      <c r="E301" s="72">
        <v>0</v>
      </c>
      <c r="F301" s="72">
        <v>284</v>
      </c>
      <c r="G301" s="73">
        <v>1.7000000000000001E-2</v>
      </c>
      <c r="H301" s="74">
        <v>145</v>
      </c>
      <c r="I301" s="74">
        <v>0</v>
      </c>
      <c r="J301" s="72">
        <v>197</v>
      </c>
      <c r="K301" s="72">
        <v>21</v>
      </c>
      <c r="L301" s="72">
        <v>18</v>
      </c>
      <c r="M301" s="72">
        <v>3</v>
      </c>
      <c r="N301" s="72">
        <v>176</v>
      </c>
      <c r="O301" s="72">
        <v>21</v>
      </c>
      <c r="P301" s="72">
        <v>176</v>
      </c>
      <c r="Q301" s="75">
        <v>0.107</v>
      </c>
      <c r="R301" s="75">
        <v>0.107</v>
      </c>
      <c r="S301" s="72">
        <v>216</v>
      </c>
      <c r="T301" s="72">
        <v>9</v>
      </c>
      <c r="U301" s="72">
        <v>207</v>
      </c>
      <c r="V301" s="75">
        <v>4.2000000000000003E-2</v>
      </c>
      <c r="W301" s="72">
        <v>462</v>
      </c>
      <c r="X301" s="72">
        <v>495</v>
      </c>
      <c r="Y301" s="72">
        <v>0</v>
      </c>
      <c r="Z301" s="78">
        <v>1.071</v>
      </c>
      <c r="AA301" s="76">
        <v>1164</v>
      </c>
      <c r="AB301" s="72">
        <v>530</v>
      </c>
      <c r="AC301" s="72">
        <v>667</v>
      </c>
      <c r="AD301" s="77">
        <v>0.5</v>
      </c>
    </row>
    <row r="302" spans="1:30" ht="12.75" x14ac:dyDescent="0.2">
      <c r="A302" s="83" t="s">
        <v>293</v>
      </c>
      <c r="B302" s="72">
        <v>75</v>
      </c>
      <c r="C302" s="72">
        <v>0</v>
      </c>
      <c r="D302" s="72">
        <v>0</v>
      </c>
      <c r="E302" s="72">
        <v>0</v>
      </c>
      <c r="F302" s="72">
        <v>75</v>
      </c>
      <c r="G302" s="73">
        <v>0</v>
      </c>
      <c r="H302" s="74">
        <v>38</v>
      </c>
      <c r="I302" s="74">
        <v>0</v>
      </c>
      <c r="J302" s="72">
        <v>44</v>
      </c>
      <c r="K302" s="72">
        <v>0</v>
      </c>
      <c r="L302" s="72">
        <v>0</v>
      </c>
      <c r="M302" s="72">
        <v>0</v>
      </c>
      <c r="N302" s="72">
        <v>44</v>
      </c>
      <c r="O302" s="72">
        <v>0</v>
      </c>
      <c r="P302" s="72">
        <v>44</v>
      </c>
      <c r="Q302" s="75">
        <v>0</v>
      </c>
      <c r="R302" s="75">
        <v>0</v>
      </c>
      <c r="S302" s="72">
        <v>50</v>
      </c>
      <c r="T302" s="72">
        <v>1</v>
      </c>
      <c r="U302" s="72">
        <v>49</v>
      </c>
      <c r="V302" s="75">
        <v>0.02</v>
      </c>
      <c r="W302" s="72">
        <v>60</v>
      </c>
      <c r="X302" s="72">
        <v>108</v>
      </c>
      <c r="Y302" s="72">
        <v>0</v>
      </c>
      <c r="Z302" s="78">
        <v>1.8</v>
      </c>
      <c r="AA302" s="72">
        <v>229</v>
      </c>
      <c r="AB302" s="72">
        <v>109</v>
      </c>
      <c r="AC302" s="72">
        <v>168</v>
      </c>
      <c r="AD302" s="77">
        <v>0.5</v>
      </c>
    </row>
    <row r="303" spans="1:30" ht="12.75" x14ac:dyDescent="0.2">
      <c r="A303" s="83" t="s">
        <v>561</v>
      </c>
      <c r="B303" s="76">
        <v>1500</v>
      </c>
      <c r="C303" s="72">
        <v>0</v>
      </c>
      <c r="D303" s="72">
        <v>0</v>
      </c>
      <c r="E303" s="72">
        <v>0</v>
      </c>
      <c r="F303" s="76">
        <v>1500</v>
      </c>
      <c r="G303" s="73">
        <v>0</v>
      </c>
      <c r="H303" s="74">
        <v>750</v>
      </c>
      <c r="I303" s="74">
        <v>0</v>
      </c>
      <c r="J303" s="72">
        <v>993</v>
      </c>
      <c r="K303" s="72">
        <v>0</v>
      </c>
      <c r="L303" s="72">
        <v>0</v>
      </c>
      <c r="M303" s="72">
        <v>0</v>
      </c>
      <c r="N303" s="72">
        <v>993</v>
      </c>
      <c r="O303" s="72">
        <v>0</v>
      </c>
      <c r="P303" s="72">
        <v>993</v>
      </c>
      <c r="Q303" s="75">
        <v>0</v>
      </c>
      <c r="R303" s="75">
        <v>0</v>
      </c>
      <c r="S303" s="76">
        <v>1112</v>
      </c>
      <c r="T303" s="72">
        <v>84</v>
      </c>
      <c r="U303" s="76">
        <v>1028</v>
      </c>
      <c r="V303" s="75">
        <v>7.5999999999999998E-2</v>
      </c>
      <c r="W303" s="76">
        <v>2564</v>
      </c>
      <c r="X303" s="72">
        <v>537</v>
      </c>
      <c r="Y303" s="76">
        <v>2027</v>
      </c>
      <c r="Z303" s="75">
        <v>0.20899999999999999</v>
      </c>
      <c r="AA303" s="76">
        <v>6169</v>
      </c>
      <c r="AB303" s="72">
        <v>621</v>
      </c>
      <c r="AC303" s="76">
        <v>5548</v>
      </c>
      <c r="AD303" s="77">
        <v>0.5</v>
      </c>
    </row>
    <row r="304" spans="1:30" ht="12.75" x14ac:dyDescent="0.2">
      <c r="A304" s="83" t="s">
        <v>562</v>
      </c>
      <c r="B304" s="72">
        <v>273</v>
      </c>
      <c r="C304" s="72">
        <v>80</v>
      </c>
      <c r="D304" s="72">
        <v>80</v>
      </c>
      <c r="E304" s="72">
        <v>0</v>
      </c>
      <c r="F304" s="72">
        <v>193</v>
      </c>
      <c r="G304" s="73">
        <v>0.29299999999999998</v>
      </c>
      <c r="H304" s="74">
        <v>137</v>
      </c>
      <c r="I304" s="74">
        <v>0</v>
      </c>
      <c r="J304" s="72">
        <v>154</v>
      </c>
      <c r="K304" s="72">
        <v>178</v>
      </c>
      <c r="L304" s="72">
        <v>178</v>
      </c>
      <c r="M304" s="72">
        <v>0</v>
      </c>
      <c r="N304" s="72">
        <v>0</v>
      </c>
      <c r="O304" s="72">
        <v>178</v>
      </c>
      <c r="P304" s="72">
        <v>0</v>
      </c>
      <c r="Q304" s="78">
        <v>1.1559999999999999</v>
      </c>
      <c r="R304" s="78">
        <v>1.1559999999999999</v>
      </c>
      <c r="S304" s="72">
        <v>185</v>
      </c>
      <c r="T304" s="72">
        <v>385</v>
      </c>
      <c r="U304" s="72">
        <v>0</v>
      </c>
      <c r="V304" s="78">
        <v>2.081</v>
      </c>
      <c r="W304" s="72">
        <v>316</v>
      </c>
      <c r="X304" s="76">
        <v>1251</v>
      </c>
      <c r="Y304" s="72">
        <v>0</v>
      </c>
      <c r="Z304" s="78">
        <v>3.9590000000000001</v>
      </c>
      <c r="AA304" s="72">
        <v>928</v>
      </c>
      <c r="AB304" s="76">
        <v>1894</v>
      </c>
      <c r="AC304" s="72">
        <v>193</v>
      </c>
      <c r="AD304" s="77">
        <v>0.5</v>
      </c>
    </row>
    <row r="305" spans="1:30" ht="12.75" x14ac:dyDescent="0.2">
      <c r="A305" s="83" t="s">
        <v>563</v>
      </c>
      <c r="B305" s="72">
        <v>39</v>
      </c>
      <c r="C305" s="72">
        <v>0</v>
      </c>
      <c r="D305" s="72">
        <v>0</v>
      </c>
      <c r="E305" s="72">
        <v>0</v>
      </c>
      <c r="F305" s="72">
        <v>39</v>
      </c>
      <c r="G305" s="73">
        <v>0</v>
      </c>
      <c r="H305" s="74">
        <v>39</v>
      </c>
      <c r="I305" s="74">
        <v>0</v>
      </c>
      <c r="J305" s="72">
        <v>24</v>
      </c>
      <c r="K305" s="72">
        <v>0</v>
      </c>
      <c r="L305" s="72">
        <v>0</v>
      </c>
      <c r="M305" s="72">
        <v>0</v>
      </c>
      <c r="N305" s="72">
        <v>24</v>
      </c>
      <c r="O305" s="72">
        <v>0</v>
      </c>
      <c r="P305" s="72">
        <v>24</v>
      </c>
      <c r="Q305" s="75">
        <v>0</v>
      </c>
      <c r="R305" s="75">
        <v>0</v>
      </c>
      <c r="S305" s="72">
        <v>27</v>
      </c>
      <c r="T305" s="72">
        <v>2</v>
      </c>
      <c r="U305" s="72">
        <v>25</v>
      </c>
      <c r="V305" s="75">
        <v>7.3999999999999996E-2</v>
      </c>
      <c r="W305" s="72">
        <v>65</v>
      </c>
      <c r="X305" s="72">
        <v>38</v>
      </c>
      <c r="Y305" s="72">
        <v>27</v>
      </c>
      <c r="Z305" s="75">
        <v>0.58499999999999996</v>
      </c>
      <c r="AA305" s="72">
        <v>155</v>
      </c>
      <c r="AB305" s="72">
        <v>40</v>
      </c>
      <c r="AC305" s="72">
        <v>115</v>
      </c>
      <c r="AD305" s="77">
        <v>1</v>
      </c>
    </row>
    <row r="306" spans="1:30" ht="12.75" x14ac:dyDescent="0.2">
      <c r="A306" s="83" t="s">
        <v>564</v>
      </c>
      <c r="B306" s="72">
        <v>11</v>
      </c>
      <c r="C306" s="72">
        <v>0</v>
      </c>
      <c r="D306" s="72">
        <v>0</v>
      </c>
      <c r="E306" s="72">
        <v>0</v>
      </c>
      <c r="F306" s="72">
        <v>11</v>
      </c>
      <c r="G306" s="73">
        <v>0</v>
      </c>
      <c r="H306" s="74">
        <v>11</v>
      </c>
      <c r="I306" s="74">
        <v>0</v>
      </c>
      <c r="J306" s="72">
        <v>7</v>
      </c>
      <c r="K306" s="72">
        <v>0</v>
      </c>
      <c r="L306" s="72">
        <v>0</v>
      </c>
      <c r="M306" s="72">
        <v>0</v>
      </c>
      <c r="N306" s="72">
        <v>7</v>
      </c>
      <c r="O306" s="72">
        <v>0</v>
      </c>
      <c r="P306" s="72">
        <v>7</v>
      </c>
      <c r="Q306" s="75">
        <v>0</v>
      </c>
      <c r="R306" s="75">
        <v>0</v>
      </c>
      <c r="S306" s="72">
        <v>8</v>
      </c>
      <c r="T306" s="72">
        <v>0</v>
      </c>
      <c r="U306" s="72">
        <v>8</v>
      </c>
      <c r="V306" s="75">
        <v>0</v>
      </c>
      <c r="W306" s="72">
        <v>19</v>
      </c>
      <c r="X306" s="72">
        <v>1</v>
      </c>
      <c r="Y306" s="72">
        <v>18</v>
      </c>
      <c r="Z306" s="75">
        <v>5.2999999999999999E-2</v>
      </c>
      <c r="AA306" s="72">
        <v>45</v>
      </c>
      <c r="AB306" s="72">
        <v>1</v>
      </c>
      <c r="AC306" s="72">
        <v>44</v>
      </c>
      <c r="AD306" s="77">
        <v>1</v>
      </c>
    </row>
    <row r="307" spans="1:30" ht="12.75" x14ac:dyDescent="0.2">
      <c r="A307" s="83" t="s">
        <v>565</v>
      </c>
      <c r="B307" s="72">
        <v>814</v>
      </c>
      <c r="C307" s="72">
        <v>141</v>
      </c>
      <c r="D307" s="72">
        <v>141</v>
      </c>
      <c r="E307" s="72">
        <v>0</v>
      </c>
      <c r="F307" s="72">
        <v>673</v>
      </c>
      <c r="G307" s="73">
        <v>0.17299999999999999</v>
      </c>
      <c r="H307" s="74">
        <v>407</v>
      </c>
      <c r="I307" s="74">
        <v>0</v>
      </c>
      <c r="J307" s="72">
        <v>492</v>
      </c>
      <c r="K307" s="72">
        <v>170</v>
      </c>
      <c r="L307" s="72">
        <v>169</v>
      </c>
      <c r="M307" s="72">
        <v>1</v>
      </c>
      <c r="N307" s="72">
        <v>322</v>
      </c>
      <c r="O307" s="72">
        <v>170</v>
      </c>
      <c r="P307" s="72">
        <v>322</v>
      </c>
      <c r="Q307" s="75">
        <v>0.34599999999999997</v>
      </c>
      <c r="R307" s="75">
        <v>0.34599999999999997</v>
      </c>
      <c r="S307" s="72">
        <v>527</v>
      </c>
      <c r="T307" s="72">
        <v>0</v>
      </c>
      <c r="U307" s="72">
        <v>527</v>
      </c>
      <c r="V307" s="75">
        <v>0</v>
      </c>
      <c r="W307" s="76">
        <v>1093</v>
      </c>
      <c r="X307" s="76">
        <v>2990</v>
      </c>
      <c r="Y307" s="72">
        <v>0</v>
      </c>
      <c r="Z307" s="78">
        <v>2.7360000000000002</v>
      </c>
      <c r="AA307" s="76">
        <v>2926</v>
      </c>
      <c r="AB307" s="76">
        <v>3301</v>
      </c>
      <c r="AC307" s="76">
        <v>1522</v>
      </c>
      <c r="AD307" s="77">
        <v>0.5</v>
      </c>
    </row>
    <row r="308" spans="1:30" ht="12.75" x14ac:dyDescent="0.2">
      <c r="A308" s="83" t="s">
        <v>566</v>
      </c>
      <c r="B308" s="72">
        <v>395</v>
      </c>
      <c r="C308" s="72">
        <v>0</v>
      </c>
      <c r="D308" s="72">
        <v>0</v>
      </c>
      <c r="E308" s="72">
        <v>0</v>
      </c>
      <c r="F308" s="72">
        <v>395</v>
      </c>
      <c r="G308" s="73">
        <v>0</v>
      </c>
      <c r="H308" s="74">
        <v>198</v>
      </c>
      <c r="I308" s="74">
        <v>0</v>
      </c>
      <c r="J308" s="72">
        <v>262</v>
      </c>
      <c r="K308" s="72">
        <v>0</v>
      </c>
      <c r="L308" s="72">
        <v>0</v>
      </c>
      <c r="M308" s="72">
        <v>0</v>
      </c>
      <c r="N308" s="72">
        <v>262</v>
      </c>
      <c r="O308" s="72">
        <v>0</v>
      </c>
      <c r="P308" s="72">
        <v>262</v>
      </c>
      <c r="Q308" s="75">
        <v>0</v>
      </c>
      <c r="R308" s="75">
        <v>0</v>
      </c>
      <c r="S308" s="72">
        <v>289</v>
      </c>
      <c r="T308" s="72">
        <v>0</v>
      </c>
      <c r="U308" s="72">
        <v>289</v>
      </c>
      <c r="V308" s="75">
        <v>0</v>
      </c>
      <c r="W308" s="72">
        <v>627</v>
      </c>
      <c r="X308" s="76">
        <v>1131</v>
      </c>
      <c r="Y308" s="72">
        <v>0</v>
      </c>
      <c r="Z308" s="78">
        <v>1.804</v>
      </c>
      <c r="AA308" s="76">
        <v>1573</v>
      </c>
      <c r="AB308" s="76">
        <v>1131</v>
      </c>
      <c r="AC308" s="72">
        <v>946</v>
      </c>
      <c r="AD308" s="77">
        <v>0.5</v>
      </c>
    </row>
    <row r="309" spans="1:30" ht="12.75" x14ac:dyDescent="0.2">
      <c r="A309" s="83" t="s">
        <v>411</v>
      </c>
      <c r="B309" s="72">
        <v>185</v>
      </c>
      <c r="C309" s="72">
        <v>53</v>
      </c>
      <c r="D309" s="72">
        <v>53</v>
      </c>
      <c r="E309" s="72">
        <v>0</v>
      </c>
      <c r="F309" s="72">
        <v>132</v>
      </c>
      <c r="G309" s="73">
        <v>0.28599999999999998</v>
      </c>
      <c r="H309" s="74">
        <v>93</v>
      </c>
      <c r="I309" s="74">
        <v>0</v>
      </c>
      <c r="J309" s="72">
        <v>106</v>
      </c>
      <c r="K309" s="72">
        <v>22</v>
      </c>
      <c r="L309" s="72">
        <v>22</v>
      </c>
      <c r="M309" s="72">
        <v>0</v>
      </c>
      <c r="N309" s="72">
        <v>84</v>
      </c>
      <c r="O309" s="72">
        <v>22</v>
      </c>
      <c r="P309" s="72">
        <v>84</v>
      </c>
      <c r="Q309" s="75">
        <v>0.20799999999999999</v>
      </c>
      <c r="R309" s="75">
        <v>0.20799999999999999</v>
      </c>
      <c r="S309" s="72">
        <v>141</v>
      </c>
      <c r="T309" s="72">
        <v>4</v>
      </c>
      <c r="U309" s="72">
        <v>137</v>
      </c>
      <c r="V309" s="75">
        <v>2.8000000000000001E-2</v>
      </c>
      <c r="W309" s="72">
        <v>403</v>
      </c>
      <c r="X309" s="72">
        <v>695</v>
      </c>
      <c r="Y309" s="72">
        <v>0</v>
      </c>
      <c r="Z309" s="78">
        <v>1.7250000000000001</v>
      </c>
      <c r="AA309" s="72">
        <v>835</v>
      </c>
      <c r="AB309" s="72">
        <v>774</v>
      </c>
      <c r="AC309" s="72">
        <v>353</v>
      </c>
      <c r="AD309" s="77">
        <v>0.5</v>
      </c>
    </row>
    <row r="310" spans="1:30" ht="12.75" x14ac:dyDescent="0.2">
      <c r="A310" s="83" t="s">
        <v>567</v>
      </c>
      <c r="B310" s="72">
        <v>51</v>
      </c>
      <c r="C310" s="72">
        <v>3</v>
      </c>
      <c r="D310" s="72">
        <v>0</v>
      </c>
      <c r="E310" s="72">
        <v>3</v>
      </c>
      <c r="F310" s="72">
        <v>48</v>
      </c>
      <c r="G310" s="73">
        <v>5.8999999999999997E-2</v>
      </c>
      <c r="H310" s="74">
        <v>26</v>
      </c>
      <c r="I310" s="74">
        <v>0</v>
      </c>
      <c r="J310" s="72">
        <v>30</v>
      </c>
      <c r="K310" s="72">
        <v>1</v>
      </c>
      <c r="L310" s="72">
        <v>0</v>
      </c>
      <c r="M310" s="72">
        <v>1</v>
      </c>
      <c r="N310" s="72">
        <v>29</v>
      </c>
      <c r="O310" s="72">
        <v>1</v>
      </c>
      <c r="P310" s="72">
        <v>29</v>
      </c>
      <c r="Q310" s="75">
        <v>3.3000000000000002E-2</v>
      </c>
      <c r="R310" s="75">
        <v>3.3000000000000002E-2</v>
      </c>
      <c r="S310" s="72">
        <v>32</v>
      </c>
      <c r="T310" s="72">
        <v>52</v>
      </c>
      <c r="U310" s="72">
        <v>0</v>
      </c>
      <c r="V310" s="78">
        <v>1.625</v>
      </c>
      <c r="W310" s="72">
        <v>67</v>
      </c>
      <c r="X310" s="72">
        <v>78</v>
      </c>
      <c r="Y310" s="72">
        <v>0</v>
      </c>
      <c r="Z310" s="78">
        <v>1.1639999999999999</v>
      </c>
      <c r="AA310" s="72">
        <v>180</v>
      </c>
      <c r="AB310" s="72">
        <v>134</v>
      </c>
      <c r="AC310" s="72">
        <v>77</v>
      </c>
      <c r="AD310" s="77">
        <v>0.5</v>
      </c>
    </row>
    <row r="311" spans="1:30" ht="12.75" x14ac:dyDescent="0.2">
      <c r="A311" s="83" t="s">
        <v>568</v>
      </c>
      <c r="B311" s="72">
        <v>465</v>
      </c>
      <c r="C311" s="72">
        <v>45</v>
      </c>
      <c r="D311" s="72">
        <v>45</v>
      </c>
      <c r="E311" s="72">
        <v>0</v>
      </c>
      <c r="F311" s="72">
        <v>420</v>
      </c>
      <c r="G311" s="73">
        <v>9.7000000000000003E-2</v>
      </c>
      <c r="H311" s="74">
        <v>233</v>
      </c>
      <c r="I311" s="74">
        <v>0</v>
      </c>
      <c r="J311" s="72">
        <v>353</v>
      </c>
      <c r="K311" s="72">
        <v>116</v>
      </c>
      <c r="L311" s="72">
        <v>116</v>
      </c>
      <c r="M311" s="72">
        <v>0</v>
      </c>
      <c r="N311" s="72">
        <v>237</v>
      </c>
      <c r="O311" s="72">
        <v>116</v>
      </c>
      <c r="P311" s="72">
        <v>237</v>
      </c>
      <c r="Q311" s="75">
        <v>0.32900000000000001</v>
      </c>
      <c r="R311" s="75">
        <v>0.32900000000000001</v>
      </c>
      <c r="S311" s="72">
        <v>327</v>
      </c>
      <c r="T311" s="72">
        <v>163</v>
      </c>
      <c r="U311" s="72">
        <v>164</v>
      </c>
      <c r="V311" s="75">
        <v>0.498</v>
      </c>
      <c r="W311" s="72">
        <v>718</v>
      </c>
      <c r="X311" s="72">
        <v>305</v>
      </c>
      <c r="Y311" s="72">
        <v>413</v>
      </c>
      <c r="Z311" s="75">
        <v>0.42499999999999999</v>
      </c>
      <c r="AA311" s="76">
        <v>1863</v>
      </c>
      <c r="AB311" s="72">
        <v>629</v>
      </c>
      <c r="AC311" s="76">
        <v>1234</v>
      </c>
      <c r="AD311" s="77">
        <v>0.5</v>
      </c>
    </row>
    <row r="312" spans="1:30" ht="12.75" x14ac:dyDescent="0.2">
      <c r="A312" s="83" t="s">
        <v>569</v>
      </c>
      <c r="B312" s="72">
        <v>38</v>
      </c>
      <c r="C312" s="72">
        <v>0</v>
      </c>
      <c r="D312" s="72">
        <v>0</v>
      </c>
      <c r="E312" s="72">
        <v>0</v>
      </c>
      <c r="F312" s="72">
        <v>38</v>
      </c>
      <c r="G312" s="73">
        <v>0</v>
      </c>
      <c r="H312" s="74">
        <v>19</v>
      </c>
      <c r="I312" s="74">
        <v>0</v>
      </c>
      <c r="J312" s="72">
        <v>29</v>
      </c>
      <c r="K312" s="72">
        <v>0</v>
      </c>
      <c r="L312" s="72">
        <v>0</v>
      </c>
      <c r="M312" s="72">
        <v>0</v>
      </c>
      <c r="N312" s="72">
        <v>29</v>
      </c>
      <c r="O312" s="72">
        <v>0</v>
      </c>
      <c r="P312" s="72">
        <v>29</v>
      </c>
      <c r="Q312" s="75">
        <v>0</v>
      </c>
      <c r="R312" s="75">
        <v>0</v>
      </c>
      <c r="S312" s="72">
        <v>34</v>
      </c>
      <c r="T312" s="72">
        <v>10</v>
      </c>
      <c r="U312" s="72">
        <v>24</v>
      </c>
      <c r="V312" s="75">
        <v>0.29399999999999998</v>
      </c>
      <c r="W312" s="72">
        <v>80</v>
      </c>
      <c r="X312" s="72">
        <v>13</v>
      </c>
      <c r="Y312" s="72">
        <v>67</v>
      </c>
      <c r="Z312" s="75">
        <v>0.16300000000000001</v>
      </c>
      <c r="AA312" s="72">
        <v>181</v>
      </c>
      <c r="AB312" s="72">
        <v>23</v>
      </c>
      <c r="AC312" s="72">
        <v>158</v>
      </c>
      <c r="AD312" s="77">
        <v>0.5</v>
      </c>
    </row>
    <row r="313" spans="1:30" ht="12.75" x14ac:dyDescent="0.2">
      <c r="A313" s="83" t="s">
        <v>570</v>
      </c>
      <c r="B313" s="72">
        <v>19</v>
      </c>
      <c r="C313" s="72">
        <v>0</v>
      </c>
      <c r="D313" s="72">
        <v>0</v>
      </c>
      <c r="E313" s="72">
        <v>0</v>
      </c>
      <c r="F313" s="72">
        <v>19</v>
      </c>
      <c r="G313" s="73">
        <v>0</v>
      </c>
      <c r="H313" s="74">
        <v>19</v>
      </c>
      <c r="I313" s="74">
        <v>0</v>
      </c>
      <c r="J313" s="72">
        <v>14</v>
      </c>
      <c r="K313" s="72">
        <v>1</v>
      </c>
      <c r="L313" s="72">
        <v>0</v>
      </c>
      <c r="M313" s="72">
        <v>1</v>
      </c>
      <c r="N313" s="72">
        <v>13</v>
      </c>
      <c r="O313" s="72">
        <v>1</v>
      </c>
      <c r="P313" s="72">
        <v>13</v>
      </c>
      <c r="Q313" s="75">
        <v>7.0999999999999994E-2</v>
      </c>
      <c r="R313" s="75">
        <v>7.0999999999999994E-2</v>
      </c>
      <c r="S313" s="72">
        <v>16</v>
      </c>
      <c r="T313" s="72">
        <v>1</v>
      </c>
      <c r="U313" s="72">
        <v>15</v>
      </c>
      <c r="V313" s="75">
        <v>6.3E-2</v>
      </c>
      <c r="W313" s="72">
        <v>36</v>
      </c>
      <c r="X313" s="72">
        <v>1</v>
      </c>
      <c r="Y313" s="72">
        <v>35</v>
      </c>
      <c r="Z313" s="75">
        <v>2.8000000000000001E-2</v>
      </c>
      <c r="AA313" s="72">
        <v>85</v>
      </c>
      <c r="AB313" s="72">
        <v>3</v>
      </c>
      <c r="AC313" s="72">
        <v>82</v>
      </c>
      <c r="AD313" s="77">
        <v>1</v>
      </c>
    </row>
    <row r="314" spans="1:30" ht="12.75" x14ac:dyDescent="0.2">
      <c r="A314" s="83" t="s">
        <v>571</v>
      </c>
      <c r="B314" s="72">
        <v>174</v>
      </c>
      <c r="C314" s="72">
        <v>53</v>
      </c>
      <c r="D314" s="72">
        <v>7</v>
      </c>
      <c r="E314" s="72">
        <v>46</v>
      </c>
      <c r="F314" s="72">
        <v>121</v>
      </c>
      <c r="G314" s="73">
        <v>0.30499999999999999</v>
      </c>
      <c r="H314" s="74">
        <v>174</v>
      </c>
      <c r="I314" s="74">
        <v>0</v>
      </c>
      <c r="J314" s="72">
        <v>126</v>
      </c>
      <c r="K314" s="72">
        <v>84</v>
      </c>
      <c r="L314" s="72">
        <v>38</v>
      </c>
      <c r="M314" s="72">
        <v>46</v>
      </c>
      <c r="N314" s="72">
        <v>42</v>
      </c>
      <c r="O314" s="72">
        <v>84</v>
      </c>
      <c r="P314" s="72">
        <v>42</v>
      </c>
      <c r="Q314" s="75">
        <v>0.66700000000000004</v>
      </c>
      <c r="R314" s="75">
        <v>0.66700000000000004</v>
      </c>
      <c r="S314" s="72">
        <v>150</v>
      </c>
      <c r="T314" s="72">
        <v>113</v>
      </c>
      <c r="U314" s="72">
        <v>37</v>
      </c>
      <c r="V314" s="75">
        <v>0.753</v>
      </c>
      <c r="W314" s="72">
        <v>314</v>
      </c>
      <c r="X314" s="72">
        <v>269</v>
      </c>
      <c r="Y314" s="72">
        <v>45</v>
      </c>
      <c r="Z314" s="75">
        <v>0.85699999999999998</v>
      </c>
      <c r="AA314" s="72">
        <v>764</v>
      </c>
      <c r="AB314" s="72">
        <v>519</v>
      </c>
      <c r="AC314" s="72">
        <v>245</v>
      </c>
      <c r="AD314" s="77">
        <v>1</v>
      </c>
    </row>
    <row r="315" spans="1:30" ht="12.75" x14ac:dyDescent="0.2">
      <c r="A315" s="83" t="s">
        <v>185</v>
      </c>
      <c r="B315" s="72">
        <v>330</v>
      </c>
      <c r="C315" s="72">
        <v>0</v>
      </c>
      <c r="D315" s="72">
        <v>0</v>
      </c>
      <c r="E315" s="72">
        <v>0</v>
      </c>
      <c r="F315" s="72">
        <v>330</v>
      </c>
      <c r="G315" s="73">
        <v>0</v>
      </c>
      <c r="H315" s="74">
        <v>165</v>
      </c>
      <c r="I315" s="74">
        <v>0</v>
      </c>
      <c r="J315" s="72">
        <v>167</v>
      </c>
      <c r="K315" s="72">
        <v>0</v>
      </c>
      <c r="L315" s="72">
        <v>0</v>
      </c>
      <c r="M315" s="72">
        <v>0</v>
      </c>
      <c r="N315" s="72">
        <v>167</v>
      </c>
      <c r="O315" s="72">
        <v>0</v>
      </c>
      <c r="P315" s="72">
        <v>167</v>
      </c>
      <c r="Q315" s="75">
        <v>0</v>
      </c>
      <c r="R315" s="75">
        <v>0</v>
      </c>
      <c r="S315" s="72">
        <v>158</v>
      </c>
      <c r="T315" s="72">
        <v>36</v>
      </c>
      <c r="U315" s="72">
        <v>122</v>
      </c>
      <c r="V315" s="75">
        <v>0.22800000000000001</v>
      </c>
      <c r="W315" s="72">
        <v>423</v>
      </c>
      <c r="X315" s="72">
        <v>514</v>
      </c>
      <c r="Y315" s="72">
        <v>0</v>
      </c>
      <c r="Z315" s="78">
        <v>1.2150000000000001</v>
      </c>
      <c r="AA315" s="76">
        <v>1078</v>
      </c>
      <c r="AB315" s="72">
        <v>550</v>
      </c>
      <c r="AC315" s="72">
        <v>619</v>
      </c>
      <c r="AD315" s="77">
        <v>0.5</v>
      </c>
    </row>
    <row r="316" spans="1:30" ht="12.75" x14ac:dyDescent="0.2">
      <c r="A316" s="83" t="s">
        <v>572</v>
      </c>
      <c r="B316" s="72">
        <v>186</v>
      </c>
      <c r="C316" s="72">
        <v>0</v>
      </c>
      <c r="D316" s="72">
        <v>0</v>
      </c>
      <c r="E316" s="72">
        <v>0</v>
      </c>
      <c r="F316" s="72">
        <v>186</v>
      </c>
      <c r="G316" s="73">
        <v>0</v>
      </c>
      <c r="H316" s="74">
        <v>70</v>
      </c>
      <c r="I316" s="74">
        <v>0</v>
      </c>
      <c r="J316" s="72">
        <v>119</v>
      </c>
      <c r="K316" s="72">
        <v>0</v>
      </c>
      <c r="L316" s="72">
        <v>0</v>
      </c>
      <c r="M316" s="72">
        <v>0</v>
      </c>
      <c r="N316" s="72">
        <v>119</v>
      </c>
      <c r="O316" s="72">
        <v>0</v>
      </c>
      <c r="P316" s="72">
        <v>119</v>
      </c>
      <c r="Q316" s="75">
        <v>0</v>
      </c>
      <c r="R316" s="75">
        <v>0</v>
      </c>
      <c r="S316" s="72">
        <v>136</v>
      </c>
      <c r="T316" s="72">
        <v>0</v>
      </c>
      <c r="U316" s="72">
        <v>136</v>
      </c>
      <c r="V316" s="75">
        <v>0</v>
      </c>
      <c r="W316" s="72">
        <v>337</v>
      </c>
      <c r="X316" s="72">
        <v>0</v>
      </c>
      <c r="Y316" s="72">
        <v>337</v>
      </c>
      <c r="Z316" s="75">
        <v>0</v>
      </c>
      <c r="AA316" s="72">
        <v>778</v>
      </c>
      <c r="AB316" s="72">
        <v>0</v>
      </c>
      <c r="AC316" s="72">
        <v>778</v>
      </c>
      <c r="AD316" s="77">
        <v>0.375</v>
      </c>
    </row>
    <row r="317" spans="1:30" ht="12.75" x14ac:dyDescent="0.2">
      <c r="A317" s="83" t="s">
        <v>573</v>
      </c>
      <c r="B317" s="72">
        <v>1</v>
      </c>
      <c r="C317" s="72">
        <v>1</v>
      </c>
      <c r="D317" s="72">
        <v>0</v>
      </c>
      <c r="E317" s="72">
        <v>1</v>
      </c>
      <c r="F317" s="72">
        <v>0</v>
      </c>
      <c r="G317" s="79">
        <v>1</v>
      </c>
      <c r="H317" s="74">
        <v>1</v>
      </c>
      <c r="I317" s="74">
        <v>0</v>
      </c>
      <c r="J317" s="72">
        <v>1</v>
      </c>
      <c r="K317" s="72">
        <v>0</v>
      </c>
      <c r="L317" s="72">
        <v>0</v>
      </c>
      <c r="M317" s="72">
        <v>0</v>
      </c>
      <c r="N317" s="72">
        <v>1</v>
      </c>
      <c r="O317" s="72">
        <v>0</v>
      </c>
      <c r="P317" s="72">
        <v>1</v>
      </c>
      <c r="Q317" s="75">
        <v>0</v>
      </c>
      <c r="R317" s="75">
        <v>0</v>
      </c>
      <c r="S317" s="72">
        <v>1</v>
      </c>
      <c r="T317" s="72">
        <v>0</v>
      </c>
      <c r="U317" s="72">
        <v>1</v>
      </c>
      <c r="V317" s="75">
        <v>0</v>
      </c>
      <c r="W317" s="72">
        <v>2</v>
      </c>
      <c r="X317" s="76">
        <v>1249</v>
      </c>
      <c r="Y317" s="72">
        <v>0</v>
      </c>
      <c r="Z317" s="78">
        <v>624.5</v>
      </c>
      <c r="AA317" s="72">
        <v>5</v>
      </c>
      <c r="AB317" s="76">
        <v>1250</v>
      </c>
      <c r="AC317" s="72">
        <v>2</v>
      </c>
      <c r="AD317" s="77">
        <v>0.5</v>
      </c>
    </row>
    <row r="318" spans="1:30" ht="12.75" x14ac:dyDescent="0.2">
      <c r="A318" s="83" t="s">
        <v>574</v>
      </c>
      <c r="B318" s="72">
        <v>205</v>
      </c>
      <c r="C318" s="72">
        <v>0</v>
      </c>
      <c r="D318" s="72">
        <v>0</v>
      </c>
      <c r="E318" s="72">
        <v>0</v>
      </c>
      <c r="F318" s="72">
        <v>205</v>
      </c>
      <c r="G318" s="73">
        <v>0</v>
      </c>
      <c r="H318" s="74">
        <v>103</v>
      </c>
      <c r="I318" s="74">
        <v>0</v>
      </c>
      <c r="J318" s="72">
        <v>136</v>
      </c>
      <c r="K318" s="72">
        <v>0</v>
      </c>
      <c r="L318" s="72">
        <v>0</v>
      </c>
      <c r="M318" s="72">
        <v>0</v>
      </c>
      <c r="N318" s="72">
        <v>136</v>
      </c>
      <c r="O318" s="72">
        <v>0</v>
      </c>
      <c r="P318" s="72">
        <v>136</v>
      </c>
      <c r="Q318" s="75">
        <v>0</v>
      </c>
      <c r="R318" s="75">
        <v>0</v>
      </c>
      <c r="S318" s="72">
        <v>151</v>
      </c>
      <c r="T318" s="72">
        <v>0</v>
      </c>
      <c r="U318" s="72">
        <v>151</v>
      </c>
      <c r="V318" s="75">
        <v>0</v>
      </c>
      <c r="W318" s="72">
        <v>326</v>
      </c>
      <c r="X318" s="72">
        <v>2</v>
      </c>
      <c r="Y318" s="72">
        <v>324</v>
      </c>
      <c r="Z318" s="75">
        <v>6.0000000000000001E-3</v>
      </c>
      <c r="AA318" s="72">
        <v>818</v>
      </c>
      <c r="AB318" s="72">
        <v>2</v>
      </c>
      <c r="AC318" s="72">
        <v>816</v>
      </c>
      <c r="AD318" s="77">
        <v>0.5</v>
      </c>
    </row>
    <row r="319" spans="1:30" ht="12.75" x14ac:dyDescent="0.2">
      <c r="A319" s="83" t="s">
        <v>486</v>
      </c>
      <c r="B319" s="72">
        <v>52</v>
      </c>
      <c r="C319" s="72">
        <v>1</v>
      </c>
      <c r="D319" s="72">
        <v>0</v>
      </c>
      <c r="E319" s="72">
        <v>1</v>
      </c>
      <c r="F319" s="72">
        <v>51</v>
      </c>
      <c r="G319" s="73">
        <v>1.9E-2</v>
      </c>
      <c r="H319" s="74">
        <v>26</v>
      </c>
      <c r="I319" s="74">
        <v>0</v>
      </c>
      <c r="J319" s="72">
        <v>31</v>
      </c>
      <c r="K319" s="72">
        <v>3</v>
      </c>
      <c r="L319" s="72">
        <v>0</v>
      </c>
      <c r="M319" s="72">
        <v>3</v>
      </c>
      <c r="N319" s="72">
        <v>28</v>
      </c>
      <c r="O319" s="72">
        <v>3</v>
      </c>
      <c r="P319" s="72">
        <v>28</v>
      </c>
      <c r="Q319" s="75">
        <v>9.7000000000000003E-2</v>
      </c>
      <c r="R319" s="75">
        <v>9.7000000000000003E-2</v>
      </c>
      <c r="S319" s="72">
        <v>33</v>
      </c>
      <c r="T319" s="72">
        <v>18</v>
      </c>
      <c r="U319" s="72">
        <v>15</v>
      </c>
      <c r="V319" s="78">
        <v>0.54500000000000004</v>
      </c>
      <c r="W319" s="72">
        <v>85</v>
      </c>
      <c r="X319" s="72">
        <v>86</v>
      </c>
      <c r="Y319" s="72">
        <v>0</v>
      </c>
      <c r="Z319" s="78">
        <v>1.012</v>
      </c>
      <c r="AA319" s="72">
        <v>201</v>
      </c>
      <c r="AB319" s="72">
        <v>108</v>
      </c>
      <c r="AC319" s="72">
        <v>94</v>
      </c>
      <c r="AD319" s="77">
        <v>0.5</v>
      </c>
    </row>
    <row r="320" spans="1:30" ht="12.75" x14ac:dyDescent="0.2">
      <c r="A320" s="83" t="s">
        <v>576</v>
      </c>
      <c r="B320" s="72">
        <v>111</v>
      </c>
      <c r="C320" s="72">
        <v>29</v>
      </c>
      <c r="D320" s="72">
        <v>23</v>
      </c>
      <c r="E320" s="72">
        <v>6</v>
      </c>
      <c r="F320" s="72">
        <v>82</v>
      </c>
      <c r="G320" s="73">
        <v>0.26100000000000001</v>
      </c>
      <c r="H320" s="74">
        <v>56</v>
      </c>
      <c r="I320" s="74">
        <v>0</v>
      </c>
      <c r="J320" s="72">
        <v>65</v>
      </c>
      <c r="K320" s="72">
        <v>19</v>
      </c>
      <c r="L320" s="72">
        <v>16</v>
      </c>
      <c r="M320" s="72">
        <v>3</v>
      </c>
      <c r="N320" s="72">
        <v>46</v>
      </c>
      <c r="O320" s="72">
        <v>19</v>
      </c>
      <c r="P320" s="72">
        <v>46</v>
      </c>
      <c r="Q320" s="75">
        <v>0.29199999999999998</v>
      </c>
      <c r="R320" s="75">
        <v>0.29199999999999998</v>
      </c>
      <c r="S320" s="72">
        <v>72</v>
      </c>
      <c r="T320" s="72">
        <v>41</v>
      </c>
      <c r="U320" s="72">
        <v>31</v>
      </c>
      <c r="V320" s="78">
        <v>0.56899999999999995</v>
      </c>
      <c r="W320" s="72">
        <v>167</v>
      </c>
      <c r="X320" s="72">
        <v>53</v>
      </c>
      <c r="Y320" s="72">
        <v>114</v>
      </c>
      <c r="Z320" s="75">
        <v>0.317</v>
      </c>
      <c r="AA320" s="72">
        <v>415</v>
      </c>
      <c r="AB320" s="72">
        <v>142</v>
      </c>
      <c r="AC320" s="72">
        <v>273</v>
      </c>
      <c r="AD320" s="77">
        <v>0.5</v>
      </c>
    </row>
    <row r="321" spans="1:30" ht="12.75" x14ac:dyDescent="0.2">
      <c r="A321" s="83" t="s">
        <v>577</v>
      </c>
      <c r="B321" s="72">
        <v>315</v>
      </c>
      <c r="C321" s="72">
        <v>0</v>
      </c>
      <c r="D321" s="72">
        <v>0</v>
      </c>
      <c r="E321" s="72">
        <v>0</v>
      </c>
      <c r="F321" s="72">
        <v>315</v>
      </c>
      <c r="G321" s="73">
        <v>0</v>
      </c>
      <c r="H321" s="74">
        <v>118</v>
      </c>
      <c r="I321" s="74">
        <v>0</v>
      </c>
      <c r="J321" s="72">
        <v>202</v>
      </c>
      <c r="K321" s="72">
        <v>1</v>
      </c>
      <c r="L321" s="72">
        <v>0</v>
      </c>
      <c r="M321" s="72">
        <v>1</v>
      </c>
      <c r="N321" s="72">
        <v>201</v>
      </c>
      <c r="O321" s="72">
        <v>1</v>
      </c>
      <c r="P321" s="72">
        <v>201</v>
      </c>
      <c r="Q321" s="75">
        <v>5.0000000000000001E-3</v>
      </c>
      <c r="R321" s="75">
        <v>5.0000000000000001E-3</v>
      </c>
      <c r="S321" s="72">
        <v>210</v>
      </c>
      <c r="T321" s="72">
        <v>84</v>
      </c>
      <c r="U321" s="72">
        <v>126</v>
      </c>
      <c r="V321" s="78">
        <v>0.4</v>
      </c>
      <c r="W321" s="72">
        <v>520</v>
      </c>
      <c r="X321" s="72">
        <v>254</v>
      </c>
      <c r="Y321" s="72">
        <v>266</v>
      </c>
      <c r="Z321" s="78">
        <v>0.48799999999999999</v>
      </c>
      <c r="AA321" s="76">
        <v>1247</v>
      </c>
      <c r="AB321" s="72">
        <v>339</v>
      </c>
      <c r="AC321" s="72">
        <v>908</v>
      </c>
      <c r="AD321" s="77">
        <v>0.375</v>
      </c>
    </row>
    <row r="322" spans="1:30" ht="12.75" x14ac:dyDescent="0.2">
      <c r="A322" s="83" t="s">
        <v>186</v>
      </c>
      <c r="B322" s="76">
        <v>2059</v>
      </c>
      <c r="C322" s="72">
        <v>741</v>
      </c>
      <c r="D322" s="72">
        <v>741</v>
      </c>
      <c r="E322" s="72">
        <v>0</v>
      </c>
      <c r="F322" s="76">
        <v>1318</v>
      </c>
      <c r="G322" s="73">
        <v>0.36</v>
      </c>
      <c r="H322" s="74">
        <v>1030</v>
      </c>
      <c r="I322" s="74">
        <v>0</v>
      </c>
      <c r="J322" s="76">
        <v>2075</v>
      </c>
      <c r="K322" s="72">
        <v>512</v>
      </c>
      <c r="L322" s="72">
        <v>512</v>
      </c>
      <c r="M322" s="72">
        <v>0</v>
      </c>
      <c r="N322" s="76">
        <v>1563</v>
      </c>
      <c r="O322" s="72">
        <v>512</v>
      </c>
      <c r="P322" s="76">
        <v>1563</v>
      </c>
      <c r="Q322" s="75">
        <v>0.247</v>
      </c>
      <c r="R322" s="75">
        <v>0.247</v>
      </c>
      <c r="S322" s="76">
        <v>2815</v>
      </c>
      <c r="T322" s="72">
        <v>66</v>
      </c>
      <c r="U322" s="76">
        <v>2749</v>
      </c>
      <c r="V322" s="75">
        <v>2.3E-2</v>
      </c>
      <c r="W322" s="76">
        <v>7816</v>
      </c>
      <c r="X322" s="76">
        <v>15622</v>
      </c>
      <c r="Y322" s="72">
        <v>0</v>
      </c>
      <c r="Z322" s="78">
        <v>1.9990000000000001</v>
      </c>
      <c r="AA322" s="76">
        <v>14765</v>
      </c>
      <c r="AB322" s="76">
        <v>16941</v>
      </c>
      <c r="AC322" s="76">
        <v>5630</v>
      </c>
      <c r="AD322" s="77">
        <v>0.5</v>
      </c>
    </row>
    <row r="323" spans="1:30" ht="12.75" x14ac:dyDescent="0.2">
      <c r="A323" s="83" t="s">
        <v>296</v>
      </c>
      <c r="B323" s="72">
        <v>317</v>
      </c>
      <c r="C323" s="72">
        <v>8</v>
      </c>
      <c r="D323" s="72">
        <v>8</v>
      </c>
      <c r="E323" s="72">
        <v>0</v>
      </c>
      <c r="F323" s="72">
        <v>309</v>
      </c>
      <c r="G323" s="73">
        <v>2.5000000000000001E-2</v>
      </c>
      <c r="H323" s="74">
        <v>159</v>
      </c>
      <c r="I323" s="74">
        <v>0</v>
      </c>
      <c r="J323" s="72">
        <v>174</v>
      </c>
      <c r="K323" s="72">
        <v>66</v>
      </c>
      <c r="L323" s="72">
        <v>66</v>
      </c>
      <c r="M323" s="72">
        <v>0</v>
      </c>
      <c r="N323" s="72">
        <v>108</v>
      </c>
      <c r="O323" s="72">
        <v>66</v>
      </c>
      <c r="P323" s="72">
        <v>108</v>
      </c>
      <c r="Q323" s="75">
        <v>0.379</v>
      </c>
      <c r="R323" s="75">
        <v>0.379</v>
      </c>
      <c r="S323" s="72">
        <v>175</v>
      </c>
      <c r="T323" s="72">
        <v>209</v>
      </c>
      <c r="U323" s="72">
        <v>0</v>
      </c>
      <c r="V323" s="78">
        <v>1.194</v>
      </c>
      <c r="W323" s="72">
        <v>502</v>
      </c>
      <c r="X323" s="72">
        <v>681</v>
      </c>
      <c r="Y323" s="72">
        <v>0</v>
      </c>
      <c r="Z323" s="78">
        <v>1.357</v>
      </c>
      <c r="AA323" s="76">
        <v>1168</v>
      </c>
      <c r="AB323" s="72">
        <v>964</v>
      </c>
      <c r="AC323" s="72">
        <v>417</v>
      </c>
      <c r="AD323" s="77">
        <v>0.5</v>
      </c>
    </row>
    <row r="324" spans="1:30" ht="12.75" x14ac:dyDescent="0.2">
      <c r="A324" s="83" t="s">
        <v>578</v>
      </c>
      <c r="B324" s="76">
        <v>1549</v>
      </c>
      <c r="C324" s="72">
        <v>310</v>
      </c>
      <c r="D324" s="72">
        <v>287</v>
      </c>
      <c r="E324" s="72">
        <v>23</v>
      </c>
      <c r="F324" s="76">
        <v>1239</v>
      </c>
      <c r="G324" s="73">
        <v>0.2</v>
      </c>
      <c r="H324" s="74">
        <v>775</v>
      </c>
      <c r="I324" s="74">
        <v>0</v>
      </c>
      <c r="J324" s="76">
        <v>1178</v>
      </c>
      <c r="K324" s="72">
        <v>174</v>
      </c>
      <c r="L324" s="72">
        <v>172</v>
      </c>
      <c r="M324" s="72">
        <v>2</v>
      </c>
      <c r="N324" s="76">
        <v>1004</v>
      </c>
      <c r="O324" s="72">
        <v>174</v>
      </c>
      <c r="P324" s="76">
        <v>1004</v>
      </c>
      <c r="Q324" s="75">
        <v>0.14799999999999999</v>
      </c>
      <c r="R324" s="75">
        <v>0.14799999999999999</v>
      </c>
      <c r="S324" s="76">
        <v>1090</v>
      </c>
      <c r="T324" s="72">
        <v>176</v>
      </c>
      <c r="U324" s="72">
        <v>914</v>
      </c>
      <c r="V324" s="75">
        <v>0.161</v>
      </c>
      <c r="W324" s="76">
        <v>2393</v>
      </c>
      <c r="X324" s="72">
        <v>833</v>
      </c>
      <c r="Y324" s="76">
        <v>1560</v>
      </c>
      <c r="Z324" s="75">
        <v>0.34799999999999998</v>
      </c>
      <c r="AA324" s="76">
        <v>6210</v>
      </c>
      <c r="AB324" s="76">
        <v>1493</v>
      </c>
      <c r="AC324" s="76">
        <v>4717</v>
      </c>
      <c r="AD324" s="77">
        <v>0.5</v>
      </c>
    </row>
    <row r="325" spans="1:30" ht="12.75" x14ac:dyDescent="0.2">
      <c r="A325" s="83" t="s">
        <v>579</v>
      </c>
      <c r="B325" s="72">
        <v>87</v>
      </c>
      <c r="C325" s="72">
        <v>0</v>
      </c>
      <c r="D325" s="72">
        <v>0</v>
      </c>
      <c r="E325" s="72">
        <v>0</v>
      </c>
      <c r="F325" s="72">
        <v>87</v>
      </c>
      <c r="G325" s="73">
        <v>0</v>
      </c>
      <c r="H325" s="74">
        <v>44</v>
      </c>
      <c r="I325" s="74">
        <v>0</v>
      </c>
      <c r="J325" s="72">
        <v>59</v>
      </c>
      <c r="K325" s="72">
        <v>0</v>
      </c>
      <c r="L325" s="72">
        <v>0</v>
      </c>
      <c r="M325" s="72">
        <v>0</v>
      </c>
      <c r="N325" s="72">
        <v>59</v>
      </c>
      <c r="O325" s="72">
        <v>0</v>
      </c>
      <c r="P325" s="72">
        <v>59</v>
      </c>
      <c r="Q325" s="75">
        <v>0</v>
      </c>
      <c r="R325" s="75">
        <v>0</v>
      </c>
      <c r="S325" s="72">
        <v>70</v>
      </c>
      <c r="T325" s="72">
        <v>13</v>
      </c>
      <c r="U325" s="72">
        <v>57</v>
      </c>
      <c r="V325" s="75">
        <v>0.186</v>
      </c>
      <c r="W325" s="72">
        <v>155</v>
      </c>
      <c r="X325" s="72">
        <v>10</v>
      </c>
      <c r="Y325" s="72">
        <v>145</v>
      </c>
      <c r="Z325" s="75">
        <v>6.5000000000000002E-2</v>
      </c>
      <c r="AA325" s="72">
        <v>371</v>
      </c>
      <c r="AB325" s="72">
        <v>23</v>
      </c>
      <c r="AC325" s="72">
        <v>348</v>
      </c>
      <c r="AD325" s="77">
        <v>0.5</v>
      </c>
    </row>
    <row r="326" spans="1:30" ht="12.75" x14ac:dyDescent="0.2">
      <c r="A326" s="83" t="s">
        <v>580</v>
      </c>
      <c r="B326" s="76">
        <v>2592</v>
      </c>
      <c r="C326" s="72">
        <v>50</v>
      </c>
      <c r="D326" s="72">
        <v>50</v>
      </c>
      <c r="E326" s="72">
        <v>0</v>
      </c>
      <c r="F326" s="76">
        <v>2542</v>
      </c>
      <c r="G326" s="73">
        <v>1.9E-2</v>
      </c>
      <c r="H326" s="74">
        <v>1296</v>
      </c>
      <c r="I326" s="74">
        <v>0</v>
      </c>
      <c r="J326" s="76">
        <v>1745</v>
      </c>
      <c r="K326" s="72">
        <v>24</v>
      </c>
      <c r="L326" s="72">
        <v>24</v>
      </c>
      <c r="M326" s="72">
        <v>0</v>
      </c>
      <c r="N326" s="76">
        <v>1721</v>
      </c>
      <c r="O326" s="72">
        <v>24</v>
      </c>
      <c r="P326" s="76">
        <v>1721</v>
      </c>
      <c r="Q326" s="75">
        <v>1.4E-2</v>
      </c>
      <c r="R326" s="75">
        <v>1.4E-2</v>
      </c>
      <c r="S326" s="76">
        <v>1977</v>
      </c>
      <c r="T326" s="76">
        <v>1434</v>
      </c>
      <c r="U326" s="72">
        <v>543</v>
      </c>
      <c r="V326" s="78">
        <v>0.72499999999999998</v>
      </c>
      <c r="W326" s="76">
        <v>4547</v>
      </c>
      <c r="X326" s="76">
        <v>3173</v>
      </c>
      <c r="Y326" s="76">
        <v>1374</v>
      </c>
      <c r="Z326" s="78">
        <v>0.69799999999999995</v>
      </c>
      <c r="AA326" s="76">
        <v>10861</v>
      </c>
      <c r="AB326" s="76">
        <v>4681</v>
      </c>
      <c r="AC326" s="76">
        <v>6180</v>
      </c>
      <c r="AD326" s="77">
        <v>0.5</v>
      </c>
    </row>
    <row r="327" spans="1:30" ht="12.75" x14ac:dyDescent="0.2">
      <c r="A327" s="83" t="s">
        <v>436</v>
      </c>
      <c r="B327" s="72">
        <v>83</v>
      </c>
      <c r="C327" s="72">
        <v>7</v>
      </c>
      <c r="D327" s="72">
        <v>7</v>
      </c>
      <c r="E327" s="72">
        <v>0</v>
      </c>
      <c r="F327" s="72">
        <v>76</v>
      </c>
      <c r="G327" s="73">
        <v>8.4000000000000005E-2</v>
      </c>
      <c r="H327" s="74">
        <v>42</v>
      </c>
      <c r="I327" s="74">
        <v>0</v>
      </c>
      <c r="J327" s="72">
        <v>59</v>
      </c>
      <c r="K327" s="72">
        <v>3</v>
      </c>
      <c r="L327" s="72">
        <v>3</v>
      </c>
      <c r="M327" s="72">
        <v>0</v>
      </c>
      <c r="N327" s="72">
        <v>56</v>
      </c>
      <c r="O327" s="72">
        <v>3</v>
      </c>
      <c r="P327" s="72">
        <v>56</v>
      </c>
      <c r="Q327" s="75">
        <v>5.0999999999999997E-2</v>
      </c>
      <c r="R327" s="75">
        <v>5.0999999999999997E-2</v>
      </c>
      <c r="S327" s="72">
        <v>66</v>
      </c>
      <c r="T327" s="72">
        <v>91</v>
      </c>
      <c r="U327" s="72">
        <v>0</v>
      </c>
      <c r="V327" s="78">
        <v>1.379</v>
      </c>
      <c r="W327" s="72">
        <v>155</v>
      </c>
      <c r="X327" s="72">
        <v>419</v>
      </c>
      <c r="Y327" s="72">
        <v>0</v>
      </c>
      <c r="Z327" s="78">
        <v>2.7029999999999998</v>
      </c>
      <c r="AA327" s="72">
        <v>363</v>
      </c>
      <c r="AB327" s="72">
        <v>520</v>
      </c>
      <c r="AC327" s="72">
        <v>132</v>
      </c>
      <c r="AD327" s="77">
        <v>0.5</v>
      </c>
    </row>
    <row r="328" spans="1:30" ht="12.75" x14ac:dyDescent="0.2">
      <c r="A328" s="83" t="s">
        <v>581</v>
      </c>
      <c r="B328" s="76">
        <v>1240</v>
      </c>
      <c r="C328" s="72">
        <v>81</v>
      </c>
      <c r="D328" s="72">
        <v>81</v>
      </c>
      <c r="E328" s="72">
        <v>0</v>
      </c>
      <c r="F328" s="76">
        <v>1159</v>
      </c>
      <c r="G328" s="73">
        <v>6.5000000000000002E-2</v>
      </c>
      <c r="H328" s="74">
        <v>620</v>
      </c>
      <c r="I328" s="74">
        <v>0</v>
      </c>
      <c r="J328" s="72">
        <v>879</v>
      </c>
      <c r="K328" s="72">
        <v>151</v>
      </c>
      <c r="L328" s="72">
        <v>151</v>
      </c>
      <c r="M328" s="72">
        <v>0</v>
      </c>
      <c r="N328" s="72">
        <v>728</v>
      </c>
      <c r="O328" s="72">
        <v>151</v>
      </c>
      <c r="P328" s="72">
        <v>728</v>
      </c>
      <c r="Q328" s="75">
        <v>0.17199999999999999</v>
      </c>
      <c r="R328" s="75">
        <v>0.17199999999999999</v>
      </c>
      <c r="S328" s="72">
        <v>979</v>
      </c>
      <c r="T328" s="72">
        <v>180</v>
      </c>
      <c r="U328" s="72">
        <v>799</v>
      </c>
      <c r="V328" s="75">
        <v>0.184</v>
      </c>
      <c r="W328" s="76">
        <v>2174</v>
      </c>
      <c r="X328" s="76">
        <v>3880</v>
      </c>
      <c r="Y328" s="72">
        <v>0</v>
      </c>
      <c r="Z328" s="78">
        <v>1.7849999999999999</v>
      </c>
      <c r="AA328" s="76">
        <v>5272</v>
      </c>
      <c r="AB328" s="76">
        <v>4292</v>
      </c>
      <c r="AC328" s="76">
        <v>2686</v>
      </c>
      <c r="AD328" s="77">
        <v>0.5</v>
      </c>
    </row>
    <row r="329" spans="1:30" ht="12.75" x14ac:dyDescent="0.2">
      <c r="A329" s="83" t="s">
        <v>381</v>
      </c>
      <c r="B329" s="72">
        <v>111</v>
      </c>
      <c r="C329" s="72">
        <v>0</v>
      </c>
      <c r="D329" s="72">
        <v>0</v>
      </c>
      <c r="E329" s="72">
        <v>0</v>
      </c>
      <c r="F329" s="72">
        <v>111</v>
      </c>
      <c r="G329" s="73">
        <v>0</v>
      </c>
      <c r="H329" s="74">
        <v>42</v>
      </c>
      <c r="I329" s="74">
        <v>0</v>
      </c>
      <c r="J329" s="72">
        <v>86</v>
      </c>
      <c r="K329" s="72">
        <v>1</v>
      </c>
      <c r="L329" s="72">
        <v>0</v>
      </c>
      <c r="M329" s="72">
        <v>1</v>
      </c>
      <c r="N329" s="72">
        <v>85</v>
      </c>
      <c r="O329" s="72">
        <v>1</v>
      </c>
      <c r="P329" s="72">
        <v>85</v>
      </c>
      <c r="Q329" s="75">
        <v>1.2E-2</v>
      </c>
      <c r="R329" s="75">
        <v>1.2E-2</v>
      </c>
      <c r="S329" s="72">
        <v>105</v>
      </c>
      <c r="T329" s="72">
        <v>1</v>
      </c>
      <c r="U329" s="72">
        <v>104</v>
      </c>
      <c r="V329" s="75">
        <v>0.01</v>
      </c>
      <c r="W329" s="72">
        <v>367</v>
      </c>
      <c r="X329" s="72">
        <v>0</v>
      </c>
      <c r="Y329" s="72">
        <v>367</v>
      </c>
      <c r="Z329" s="75">
        <v>0</v>
      </c>
      <c r="AA329" s="72">
        <v>669</v>
      </c>
      <c r="AB329" s="72">
        <v>2</v>
      </c>
      <c r="AC329" s="72">
        <v>667</v>
      </c>
      <c r="AD329" s="77">
        <v>0.375</v>
      </c>
    </row>
    <row r="330" spans="1:30" ht="12.75" x14ac:dyDescent="0.2">
      <c r="A330" s="83" t="s">
        <v>299</v>
      </c>
      <c r="B330" s="72">
        <v>84</v>
      </c>
      <c r="C330" s="72">
        <v>0</v>
      </c>
      <c r="D330" s="72">
        <v>0</v>
      </c>
      <c r="E330" s="72">
        <v>0</v>
      </c>
      <c r="F330" s="72">
        <v>84</v>
      </c>
      <c r="G330" s="73">
        <v>0</v>
      </c>
      <c r="H330" s="74">
        <v>42</v>
      </c>
      <c r="I330" s="74">
        <v>0</v>
      </c>
      <c r="J330" s="72">
        <v>47</v>
      </c>
      <c r="K330" s="72">
        <v>0</v>
      </c>
      <c r="L330" s="72">
        <v>0</v>
      </c>
      <c r="M330" s="72">
        <v>0</v>
      </c>
      <c r="N330" s="72">
        <v>47</v>
      </c>
      <c r="O330" s="72">
        <v>0</v>
      </c>
      <c r="P330" s="72">
        <v>47</v>
      </c>
      <c r="Q330" s="75">
        <v>0</v>
      </c>
      <c r="R330" s="75">
        <v>0</v>
      </c>
      <c r="S330" s="72">
        <v>54</v>
      </c>
      <c r="T330" s="72">
        <v>27</v>
      </c>
      <c r="U330" s="72">
        <v>27</v>
      </c>
      <c r="V330" s="78">
        <v>0.5</v>
      </c>
      <c r="W330" s="72">
        <v>42</v>
      </c>
      <c r="X330" s="72">
        <v>226</v>
      </c>
      <c r="Y330" s="72">
        <v>0</v>
      </c>
      <c r="Z330" s="78">
        <v>5.3810000000000002</v>
      </c>
      <c r="AA330" s="72">
        <v>227</v>
      </c>
      <c r="AB330" s="72">
        <v>253</v>
      </c>
      <c r="AC330" s="72">
        <v>158</v>
      </c>
      <c r="AD330" s="77">
        <v>0.5</v>
      </c>
    </row>
    <row r="331" spans="1:30" ht="12.75" x14ac:dyDescent="0.2">
      <c r="A331" s="83" t="s">
        <v>388</v>
      </c>
      <c r="B331" s="72">
        <v>20</v>
      </c>
      <c r="C331" s="72">
        <v>0</v>
      </c>
      <c r="D331" s="72">
        <v>0</v>
      </c>
      <c r="E331" s="72">
        <v>0</v>
      </c>
      <c r="F331" s="72">
        <v>20</v>
      </c>
      <c r="G331" s="73">
        <v>0</v>
      </c>
      <c r="H331" s="74">
        <v>20</v>
      </c>
      <c r="I331" s="74">
        <v>0</v>
      </c>
      <c r="J331" s="72">
        <v>10</v>
      </c>
      <c r="K331" s="72">
        <v>72</v>
      </c>
      <c r="L331" s="72">
        <v>72</v>
      </c>
      <c r="M331" s="72">
        <v>0</v>
      </c>
      <c r="N331" s="72">
        <v>0</v>
      </c>
      <c r="O331" s="72">
        <v>72</v>
      </c>
      <c r="P331" s="72">
        <v>0</v>
      </c>
      <c r="Q331" s="78">
        <v>7.2</v>
      </c>
      <c r="R331" s="78">
        <v>7.2</v>
      </c>
      <c r="S331" s="72">
        <v>14</v>
      </c>
      <c r="T331" s="72">
        <v>35</v>
      </c>
      <c r="U331" s="72">
        <v>0</v>
      </c>
      <c r="V331" s="78">
        <v>2.5</v>
      </c>
      <c r="W331" s="72">
        <v>36</v>
      </c>
      <c r="X331" s="72">
        <v>0</v>
      </c>
      <c r="Y331" s="72">
        <v>36</v>
      </c>
      <c r="Z331" s="75">
        <v>0</v>
      </c>
      <c r="AA331" s="72">
        <v>80</v>
      </c>
      <c r="AB331" s="72">
        <v>107</v>
      </c>
      <c r="AC331" s="72">
        <v>56</v>
      </c>
      <c r="AD331" s="77">
        <v>1</v>
      </c>
    </row>
    <row r="332" spans="1:30" ht="12.75" x14ac:dyDescent="0.2">
      <c r="A332" s="83" t="s">
        <v>242</v>
      </c>
      <c r="B332" s="72">
        <v>419</v>
      </c>
      <c r="C332" s="72">
        <v>10</v>
      </c>
      <c r="D332" s="72">
        <v>0</v>
      </c>
      <c r="E332" s="72">
        <v>10</v>
      </c>
      <c r="F332" s="72">
        <v>409</v>
      </c>
      <c r="G332" s="73">
        <v>2.4E-2</v>
      </c>
      <c r="H332" s="74">
        <v>210</v>
      </c>
      <c r="I332" s="74">
        <v>0</v>
      </c>
      <c r="J332" s="72">
        <v>284</v>
      </c>
      <c r="K332" s="72">
        <v>67</v>
      </c>
      <c r="L332" s="72">
        <v>50</v>
      </c>
      <c r="M332" s="72">
        <v>17</v>
      </c>
      <c r="N332" s="72">
        <v>217</v>
      </c>
      <c r="O332" s="72">
        <v>67</v>
      </c>
      <c r="P332" s="72">
        <v>217</v>
      </c>
      <c r="Q332" s="75">
        <v>0.23599999999999999</v>
      </c>
      <c r="R332" s="75">
        <v>0.23599999999999999</v>
      </c>
      <c r="S332" s="72">
        <v>306</v>
      </c>
      <c r="T332" s="72">
        <v>0</v>
      </c>
      <c r="U332" s="72">
        <v>306</v>
      </c>
      <c r="V332" s="75">
        <v>0</v>
      </c>
      <c r="W332" s="72">
        <v>784</v>
      </c>
      <c r="X332" s="72">
        <v>38</v>
      </c>
      <c r="Y332" s="72">
        <v>746</v>
      </c>
      <c r="Z332" s="75">
        <v>4.8000000000000001E-2</v>
      </c>
      <c r="AA332" s="76">
        <v>1793</v>
      </c>
      <c r="AB332" s="72">
        <v>115</v>
      </c>
      <c r="AC332" s="76">
        <v>1678</v>
      </c>
      <c r="AD332" s="77">
        <v>0.5</v>
      </c>
    </row>
    <row r="333" spans="1:30" ht="12.75" x14ac:dyDescent="0.2">
      <c r="A333" s="83" t="s">
        <v>582</v>
      </c>
      <c r="B333" s="76">
        <v>1688</v>
      </c>
      <c r="C333" s="72">
        <v>179</v>
      </c>
      <c r="D333" s="72">
        <v>179</v>
      </c>
      <c r="E333" s="72">
        <v>0</v>
      </c>
      <c r="F333" s="76">
        <v>1509</v>
      </c>
      <c r="G333" s="73">
        <v>0.106</v>
      </c>
      <c r="H333" s="74">
        <v>844</v>
      </c>
      <c r="I333" s="74">
        <v>0</v>
      </c>
      <c r="J333" s="76">
        <v>1160</v>
      </c>
      <c r="K333" s="72">
        <v>738</v>
      </c>
      <c r="L333" s="72">
        <v>648</v>
      </c>
      <c r="M333" s="72">
        <v>90</v>
      </c>
      <c r="N333" s="72">
        <v>422</v>
      </c>
      <c r="O333" s="72">
        <v>738</v>
      </c>
      <c r="P333" s="72">
        <v>422</v>
      </c>
      <c r="Q333" s="78">
        <v>0.63600000000000001</v>
      </c>
      <c r="R333" s="78">
        <v>0.63600000000000001</v>
      </c>
      <c r="S333" s="76">
        <v>1351</v>
      </c>
      <c r="T333" s="72">
        <v>375</v>
      </c>
      <c r="U333" s="72">
        <v>976</v>
      </c>
      <c r="V333" s="75">
        <v>0.27800000000000002</v>
      </c>
      <c r="W333" s="76">
        <v>3102</v>
      </c>
      <c r="X333" s="72">
        <v>408</v>
      </c>
      <c r="Y333" s="76">
        <v>2694</v>
      </c>
      <c r="Z333" s="75">
        <v>0.13200000000000001</v>
      </c>
      <c r="AA333" s="76">
        <v>7301</v>
      </c>
      <c r="AB333" s="76">
        <v>1700</v>
      </c>
      <c r="AC333" s="76">
        <v>5601</v>
      </c>
      <c r="AD333" s="77">
        <v>0.5</v>
      </c>
    </row>
    <row r="334" spans="1:30" ht="12.75" x14ac:dyDescent="0.2">
      <c r="A334" s="83" t="s">
        <v>584</v>
      </c>
      <c r="B334" s="72">
        <v>28</v>
      </c>
      <c r="C334" s="72">
        <v>0</v>
      </c>
      <c r="D334" s="72">
        <v>0</v>
      </c>
      <c r="E334" s="72">
        <v>0</v>
      </c>
      <c r="F334" s="72">
        <v>28</v>
      </c>
      <c r="G334" s="73">
        <v>0</v>
      </c>
      <c r="H334" s="74">
        <v>11</v>
      </c>
      <c r="I334" s="74">
        <v>0</v>
      </c>
      <c r="J334" s="72">
        <v>18</v>
      </c>
      <c r="K334" s="72">
        <v>0</v>
      </c>
      <c r="L334" s="72">
        <v>0</v>
      </c>
      <c r="M334" s="72">
        <v>0</v>
      </c>
      <c r="N334" s="72">
        <v>18</v>
      </c>
      <c r="O334" s="72">
        <v>0</v>
      </c>
      <c r="P334" s="72">
        <v>18</v>
      </c>
      <c r="Q334" s="75">
        <v>0</v>
      </c>
      <c r="R334" s="75">
        <v>0</v>
      </c>
      <c r="S334" s="72">
        <v>21</v>
      </c>
      <c r="T334" s="72">
        <v>0</v>
      </c>
      <c r="U334" s="72">
        <v>21</v>
      </c>
      <c r="V334" s="75">
        <v>0</v>
      </c>
      <c r="W334" s="72">
        <v>48</v>
      </c>
      <c r="X334" s="72">
        <v>5</v>
      </c>
      <c r="Y334" s="72">
        <v>43</v>
      </c>
      <c r="Z334" s="75">
        <v>0.104</v>
      </c>
      <c r="AA334" s="72">
        <v>115</v>
      </c>
      <c r="AB334" s="72">
        <v>5</v>
      </c>
      <c r="AC334" s="72">
        <v>110</v>
      </c>
      <c r="AD334" s="77">
        <v>0.375</v>
      </c>
    </row>
    <row r="335" spans="1:30" ht="12.75" x14ac:dyDescent="0.2">
      <c r="A335" s="83" t="s">
        <v>585</v>
      </c>
      <c r="B335" s="72">
        <v>121</v>
      </c>
      <c r="C335" s="72">
        <v>0</v>
      </c>
      <c r="D335" s="72">
        <v>0</v>
      </c>
      <c r="E335" s="72">
        <v>0</v>
      </c>
      <c r="F335" s="72">
        <v>121</v>
      </c>
      <c r="G335" s="73">
        <v>0</v>
      </c>
      <c r="H335" s="74">
        <v>61</v>
      </c>
      <c r="I335" s="74">
        <v>0</v>
      </c>
      <c r="J335" s="72">
        <v>68</v>
      </c>
      <c r="K335" s="72">
        <v>0</v>
      </c>
      <c r="L335" s="72">
        <v>0</v>
      </c>
      <c r="M335" s="72">
        <v>0</v>
      </c>
      <c r="N335" s="72">
        <v>68</v>
      </c>
      <c r="O335" s="72">
        <v>0</v>
      </c>
      <c r="P335" s="72">
        <v>68</v>
      </c>
      <c r="Q335" s="75">
        <v>0</v>
      </c>
      <c r="R335" s="75">
        <v>0</v>
      </c>
      <c r="S335" s="72">
        <v>70</v>
      </c>
      <c r="T335" s="72">
        <v>6</v>
      </c>
      <c r="U335" s="72">
        <v>64</v>
      </c>
      <c r="V335" s="75">
        <v>8.5999999999999993E-2</v>
      </c>
      <c r="W335" s="72">
        <v>154</v>
      </c>
      <c r="X335" s="72">
        <v>50</v>
      </c>
      <c r="Y335" s="72">
        <v>104</v>
      </c>
      <c r="Z335" s="75">
        <v>0.32500000000000001</v>
      </c>
      <c r="AA335" s="72">
        <v>413</v>
      </c>
      <c r="AB335" s="72">
        <v>56</v>
      </c>
      <c r="AC335" s="72">
        <v>357</v>
      </c>
      <c r="AD335" s="77">
        <v>0.5</v>
      </c>
    </row>
    <row r="336" spans="1:30" ht="12.75" x14ac:dyDescent="0.2">
      <c r="A336" s="83" t="s">
        <v>586</v>
      </c>
      <c r="B336" s="72">
        <v>98</v>
      </c>
      <c r="C336" s="72">
        <v>38</v>
      </c>
      <c r="D336" s="72">
        <v>38</v>
      </c>
      <c r="E336" s="72">
        <v>0</v>
      </c>
      <c r="F336" s="72">
        <v>60</v>
      </c>
      <c r="G336" s="73">
        <v>0.38800000000000001</v>
      </c>
      <c r="H336" s="74">
        <v>49</v>
      </c>
      <c r="I336" s="74">
        <v>0</v>
      </c>
      <c r="J336" s="72">
        <v>67</v>
      </c>
      <c r="K336" s="72">
        <v>36</v>
      </c>
      <c r="L336" s="72">
        <v>36</v>
      </c>
      <c r="M336" s="72">
        <v>0</v>
      </c>
      <c r="N336" s="72">
        <v>31</v>
      </c>
      <c r="O336" s="72">
        <v>36</v>
      </c>
      <c r="P336" s="72">
        <v>31</v>
      </c>
      <c r="Q336" s="78">
        <v>0.53700000000000003</v>
      </c>
      <c r="R336" s="78">
        <v>0.53700000000000003</v>
      </c>
      <c r="S336" s="72">
        <v>76</v>
      </c>
      <c r="T336" s="72">
        <v>0</v>
      </c>
      <c r="U336" s="72">
        <v>76</v>
      </c>
      <c r="V336" s="75">
        <v>0</v>
      </c>
      <c r="W336" s="72">
        <v>172</v>
      </c>
      <c r="X336" s="72">
        <v>395</v>
      </c>
      <c r="Y336" s="72">
        <v>0</v>
      </c>
      <c r="Z336" s="78">
        <v>2.2970000000000002</v>
      </c>
      <c r="AA336" s="72">
        <v>413</v>
      </c>
      <c r="AB336" s="72">
        <v>469</v>
      </c>
      <c r="AC336" s="72">
        <v>167</v>
      </c>
      <c r="AD336" s="77">
        <v>0.5</v>
      </c>
    </row>
    <row r="337" spans="1:30" ht="12.75" x14ac:dyDescent="0.2">
      <c r="A337" s="83" t="s">
        <v>587</v>
      </c>
      <c r="B337" s="72">
        <v>63</v>
      </c>
      <c r="C337" s="72">
        <v>0</v>
      </c>
      <c r="D337" s="72">
        <v>0</v>
      </c>
      <c r="E337" s="72">
        <v>0</v>
      </c>
      <c r="F337" s="72">
        <v>63</v>
      </c>
      <c r="G337" s="73">
        <v>0</v>
      </c>
      <c r="H337" s="74">
        <v>32</v>
      </c>
      <c r="I337" s="74">
        <v>0</v>
      </c>
      <c r="J337" s="72">
        <v>43</v>
      </c>
      <c r="K337" s="72">
        <v>0</v>
      </c>
      <c r="L337" s="72">
        <v>0</v>
      </c>
      <c r="M337" s="72">
        <v>0</v>
      </c>
      <c r="N337" s="72">
        <v>43</v>
      </c>
      <c r="O337" s="72">
        <v>0</v>
      </c>
      <c r="P337" s="72">
        <v>43</v>
      </c>
      <c r="Q337" s="75">
        <v>0</v>
      </c>
      <c r="R337" s="75">
        <v>0</v>
      </c>
      <c r="S337" s="72">
        <v>50</v>
      </c>
      <c r="T337" s="72">
        <v>0</v>
      </c>
      <c r="U337" s="72">
        <v>50</v>
      </c>
      <c r="V337" s="75">
        <v>0</v>
      </c>
      <c r="W337" s="72">
        <v>116</v>
      </c>
      <c r="X337" s="72">
        <v>770</v>
      </c>
      <c r="Y337" s="72">
        <v>0</v>
      </c>
      <c r="Z337" s="78">
        <v>6.6379999999999999</v>
      </c>
      <c r="AA337" s="72">
        <v>272</v>
      </c>
      <c r="AB337" s="72">
        <v>770</v>
      </c>
      <c r="AC337" s="72">
        <v>156</v>
      </c>
      <c r="AD337" s="77">
        <v>0.5</v>
      </c>
    </row>
    <row r="338" spans="1:30" ht="12.75" x14ac:dyDescent="0.2">
      <c r="A338" s="83" t="s">
        <v>488</v>
      </c>
      <c r="B338" s="76">
        <v>1395</v>
      </c>
      <c r="C338" s="72">
        <v>91</v>
      </c>
      <c r="D338" s="72">
        <v>91</v>
      </c>
      <c r="E338" s="72">
        <v>0</v>
      </c>
      <c r="F338" s="76">
        <v>1304</v>
      </c>
      <c r="G338" s="73">
        <v>6.5000000000000002E-2</v>
      </c>
      <c r="H338" s="74">
        <v>698</v>
      </c>
      <c r="I338" s="74">
        <v>0</v>
      </c>
      <c r="J338" s="72">
        <v>827</v>
      </c>
      <c r="K338" s="72">
        <v>70</v>
      </c>
      <c r="L338" s="72">
        <v>70</v>
      </c>
      <c r="M338" s="72">
        <v>0</v>
      </c>
      <c r="N338" s="72">
        <v>757</v>
      </c>
      <c r="O338" s="72">
        <v>70</v>
      </c>
      <c r="P338" s="72">
        <v>757</v>
      </c>
      <c r="Q338" s="75">
        <v>8.5000000000000006E-2</v>
      </c>
      <c r="R338" s="75">
        <v>8.5000000000000006E-2</v>
      </c>
      <c r="S338" s="72">
        <v>898</v>
      </c>
      <c r="T338" s="72">
        <v>86</v>
      </c>
      <c r="U338" s="72">
        <v>812</v>
      </c>
      <c r="V338" s="75">
        <v>9.6000000000000002E-2</v>
      </c>
      <c r="W338" s="76">
        <v>2332</v>
      </c>
      <c r="X338" s="72">
        <v>137</v>
      </c>
      <c r="Y338" s="76">
        <v>2195</v>
      </c>
      <c r="Z338" s="75">
        <v>5.8999999999999997E-2</v>
      </c>
      <c r="AA338" s="76">
        <v>5452</v>
      </c>
      <c r="AB338" s="72">
        <v>384</v>
      </c>
      <c r="AC338" s="76">
        <v>5068</v>
      </c>
      <c r="AD338" s="77">
        <v>0.5</v>
      </c>
    </row>
    <row r="339" spans="1:30" ht="12.75" x14ac:dyDescent="0.2">
      <c r="A339" s="83" t="s">
        <v>588</v>
      </c>
      <c r="B339" s="72">
        <v>691</v>
      </c>
      <c r="C339" s="72">
        <v>43</v>
      </c>
      <c r="D339" s="72">
        <v>43</v>
      </c>
      <c r="E339" s="72">
        <v>0</v>
      </c>
      <c r="F339" s="72">
        <v>648</v>
      </c>
      <c r="G339" s="73">
        <v>6.2E-2</v>
      </c>
      <c r="H339" s="74">
        <v>346</v>
      </c>
      <c r="I339" s="74">
        <v>0</v>
      </c>
      <c r="J339" s="72">
        <v>432</v>
      </c>
      <c r="K339" s="72">
        <v>58</v>
      </c>
      <c r="L339" s="72">
        <v>58</v>
      </c>
      <c r="M339" s="72">
        <v>0</v>
      </c>
      <c r="N339" s="72">
        <v>374</v>
      </c>
      <c r="O339" s="72">
        <v>58</v>
      </c>
      <c r="P339" s="72">
        <v>374</v>
      </c>
      <c r="Q339" s="75">
        <v>0.13400000000000001</v>
      </c>
      <c r="R339" s="75">
        <v>0.13400000000000001</v>
      </c>
      <c r="S339" s="72">
        <v>278</v>
      </c>
      <c r="T339" s="72">
        <v>42</v>
      </c>
      <c r="U339" s="72">
        <v>236</v>
      </c>
      <c r="V339" s="75">
        <v>0.151</v>
      </c>
      <c r="W339" s="72">
        <v>587</v>
      </c>
      <c r="X339" s="72">
        <v>304</v>
      </c>
      <c r="Y339" s="72">
        <v>283</v>
      </c>
      <c r="Z339" s="78">
        <v>0.51800000000000002</v>
      </c>
      <c r="AA339" s="76">
        <v>1988</v>
      </c>
      <c r="AB339" s="72">
        <v>447</v>
      </c>
      <c r="AC339" s="76">
        <v>1541</v>
      </c>
      <c r="AD339" s="77">
        <v>0.5</v>
      </c>
    </row>
    <row r="340" spans="1:30" ht="12.75" x14ac:dyDescent="0.2">
      <c r="A340" s="83" t="s">
        <v>589</v>
      </c>
      <c r="B340" s="72">
        <v>4</v>
      </c>
      <c r="C340" s="72">
        <v>0</v>
      </c>
      <c r="D340" s="72">
        <v>0</v>
      </c>
      <c r="E340" s="72">
        <v>0</v>
      </c>
      <c r="F340" s="72">
        <v>4</v>
      </c>
      <c r="G340" s="73">
        <v>0</v>
      </c>
      <c r="H340" s="74">
        <v>2</v>
      </c>
      <c r="I340" s="74">
        <v>0</v>
      </c>
      <c r="J340" s="72">
        <v>3</v>
      </c>
      <c r="K340" s="72">
        <v>0</v>
      </c>
      <c r="L340" s="72">
        <v>0</v>
      </c>
      <c r="M340" s="72">
        <v>0</v>
      </c>
      <c r="N340" s="72">
        <v>3</v>
      </c>
      <c r="O340" s="72">
        <v>0</v>
      </c>
      <c r="P340" s="72">
        <v>3</v>
      </c>
      <c r="Q340" s="75">
        <v>0</v>
      </c>
      <c r="R340" s="75">
        <v>0</v>
      </c>
      <c r="S340" s="72">
        <v>3</v>
      </c>
      <c r="T340" s="72">
        <v>0</v>
      </c>
      <c r="U340" s="72">
        <v>3</v>
      </c>
      <c r="V340" s="75">
        <v>0</v>
      </c>
      <c r="W340" s="72">
        <v>6</v>
      </c>
      <c r="X340" s="72">
        <v>0</v>
      </c>
      <c r="Y340" s="72">
        <v>6</v>
      </c>
      <c r="Z340" s="75">
        <v>0</v>
      </c>
      <c r="AA340" s="72">
        <v>16</v>
      </c>
      <c r="AB340" s="72">
        <v>0</v>
      </c>
      <c r="AC340" s="72">
        <v>16</v>
      </c>
      <c r="AD340" s="77">
        <v>0.5</v>
      </c>
    </row>
    <row r="341" spans="1:30" ht="12.75" x14ac:dyDescent="0.2">
      <c r="A341" s="83" t="s">
        <v>244</v>
      </c>
      <c r="B341" s="72">
        <v>141</v>
      </c>
      <c r="C341" s="72">
        <v>0</v>
      </c>
      <c r="D341" s="72">
        <v>0</v>
      </c>
      <c r="E341" s="72">
        <v>0</v>
      </c>
      <c r="F341" s="72">
        <v>141</v>
      </c>
      <c r="G341" s="73">
        <v>0</v>
      </c>
      <c r="H341" s="74">
        <v>71</v>
      </c>
      <c r="I341" s="74">
        <v>0</v>
      </c>
      <c r="J341" s="72">
        <v>100</v>
      </c>
      <c r="K341" s="72">
        <v>10</v>
      </c>
      <c r="L341" s="72">
        <v>10</v>
      </c>
      <c r="M341" s="72">
        <v>0</v>
      </c>
      <c r="N341" s="72">
        <v>90</v>
      </c>
      <c r="O341" s="72">
        <v>10</v>
      </c>
      <c r="P341" s="72">
        <v>90</v>
      </c>
      <c r="Q341" s="75">
        <v>0.1</v>
      </c>
      <c r="R341" s="75">
        <v>0.1</v>
      </c>
      <c r="S341" s="72">
        <v>93</v>
      </c>
      <c r="T341" s="72">
        <v>8</v>
      </c>
      <c r="U341" s="72">
        <v>85</v>
      </c>
      <c r="V341" s="75">
        <v>8.5999999999999993E-2</v>
      </c>
      <c r="W341" s="72">
        <v>303</v>
      </c>
      <c r="X341" s="72">
        <v>42</v>
      </c>
      <c r="Y341" s="72">
        <v>261</v>
      </c>
      <c r="Z341" s="75">
        <v>0.13900000000000001</v>
      </c>
      <c r="AA341" s="72">
        <v>637</v>
      </c>
      <c r="AB341" s="72">
        <v>60</v>
      </c>
      <c r="AC341" s="72">
        <v>577</v>
      </c>
      <c r="AD341" s="77">
        <v>0.5</v>
      </c>
    </row>
    <row r="342" spans="1:30" ht="12.75" x14ac:dyDescent="0.2">
      <c r="A342" s="83" t="s">
        <v>490</v>
      </c>
      <c r="B342" s="72">
        <v>26</v>
      </c>
      <c r="C342" s="72">
        <v>0</v>
      </c>
      <c r="D342" s="72">
        <v>0</v>
      </c>
      <c r="E342" s="72">
        <v>0</v>
      </c>
      <c r="F342" s="72">
        <v>26</v>
      </c>
      <c r="G342" s="73">
        <v>0</v>
      </c>
      <c r="H342" s="74">
        <v>13</v>
      </c>
      <c r="I342" s="74">
        <v>0</v>
      </c>
      <c r="J342" s="72">
        <v>16</v>
      </c>
      <c r="K342" s="72">
        <v>0</v>
      </c>
      <c r="L342" s="72">
        <v>0</v>
      </c>
      <c r="M342" s="72">
        <v>0</v>
      </c>
      <c r="N342" s="72">
        <v>16</v>
      </c>
      <c r="O342" s="72">
        <v>0</v>
      </c>
      <c r="P342" s="72">
        <v>16</v>
      </c>
      <c r="Q342" s="75">
        <v>0</v>
      </c>
      <c r="R342" s="75">
        <v>0</v>
      </c>
      <c r="S342" s="72">
        <v>17</v>
      </c>
      <c r="T342" s="72">
        <v>0</v>
      </c>
      <c r="U342" s="72">
        <v>17</v>
      </c>
      <c r="V342" s="75">
        <v>0</v>
      </c>
      <c r="W342" s="72">
        <v>46</v>
      </c>
      <c r="X342" s="72">
        <v>54</v>
      </c>
      <c r="Y342" s="72">
        <v>0</v>
      </c>
      <c r="Z342" s="78">
        <v>1.1739999999999999</v>
      </c>
      <c r="AA342" s="72">
        <v>105</v>
      </c>
      <c r="AB342" s="72">
        <v>54</v>
      </c>
      <c r="AC342" s="72">
        <v>59</v>
      </c>
      <c r="AD342" s="77">
        <v>0.5</v>
      </c>
    </row>
    <row r="343" spans="1:30" ht="12.75" x14ac:dyDescent="0.2">
      <c r="A343" s="83" t="s">
        <v>367</v>
      </c>
      <c r="B343" s="72">
        <v>110</v>
      </c>
      <c r="C343" s="72">
        <v>116</v>
      </c>
      <c r="D343" s="72">
        <v>95</v>
      </c>
      <c r="E343" s="72">
        <v>21</v>
      </c>
      <c r="F343" s="72">
        <v>0</v>
      </c>
      <c r="G343" s="79">
        <v>1.0549999999999999</v>
      </c>
      <c r="H343" s="74">
        <v>41</v>
      </c>
      <c r="I343" s="74">
        <v>75</v>
      </c>
      <c r="J343" s="72">
        <v>82</v>
      </c>
      <c r="K343" s="72">
        <v>33</v>
      </c>
      <c r="L343" s="72">
        <v>19</v>
      </c>
      <c r="M343" s="72">
        <v>14</v>
      </c>
      <c r="N343" s="72">
        <v>49</v>
      </c>
      <c r="O343" s="72">
        <v>108</v>
      </c>
      <c r="P343" s="72">
        <v>0</v>
      </c>
      <c r="Q343" s="78">
        <v>0.40200000000000002</v>
      </c>
      <c r="R343" s="78">
        <v>1.3169999999999999</v>
      </c>
      <c r="S343" s="72">
        <v>77</v>
      </c>
      <c r="T343" s="72">
        <v>3</v>
      </c>
      <c r="U343" s="72">
        <v>74</v>
      </c>
      <c r="V343" s="75">
        <v>3.9E-2</v>
      </c>
      <c r="W343" s="72">
        <v>319</v>
      </c>
      <c r="X343" s="72">
        <v>0</v>
      </c>
      <c r="Y343" s="72">
        <v>319</v>
      </c>
      <c r="Z343" s="75">
        <v>0</v>
      </c>
      <c r="AA343" s="72">
        <v>588</v>
      </c>
      <c r="AB343" s="72">
        <v>152</v>
      </c>
      <c r="AC343" s="72">
        <v>442</v>
      </c>
      <c r="AD343" s="77">
        <v>0.375</v>
      </c>
    </row>
    <row r="344" spans="1:30" ht="12.75" x14ac:dyDescent="0.2">
      <c r="A344" s="83" t="s">
        <v>491</v>
      </c>
      <c r="B344" s="72">
        <v>340</v>
      </c>
      <c r="C344" s="72">
        <v>145</v>
      </c>
      <c r="D344" s="72">
        <v>145</v>
      </c>
      <c r="E344" s="72">
        <v>0</v>
      </c>
      <c r="F344" s="72">
        <v>195</v>
      </c>
      <c r="G344" s="73">
        <v>0.42599999999999999</v>
      </c>
      <c r="H344" s="74">
        <v>170</v>
      </c>
      <c r="I344" s="74">
        <v>0</v>
      </c>
      <c r="J344" s="72">
        <v>207</v>
      </c>
      <c r="K344" s="72">
        <v>38</v>
      </c>
      <c r="L344" s="72">
        <v>38</v>
      </c>
      <c r="M344" s="72">
        <v>0</v>
      </c>
      <c r="N344" s="72">
        <v>169</v>
      </c>
      <c r="O344" s="72">
        <v>38</v>
      </c>
      <c r="P344" s="72">
        <v>169</v>
      </c>
      <c r="Q344" s="75">
        <v>0.184</v>
      </c>
      <c r="R344" s="75">
        <v>0.184</v>
      </c>
      <c r="S344" s="72">
        <v>224</v>
      </c>
      <c r="T344" s="72">
        <v>45</v>
      </c>
      <c r="U344" s="72">
        <v>179</v>
      </c>
      <c r="V344" s="75">
        <v>0.20100000000000001</v>
      </c>
      <c r="W344" s="72">
        <v>561</v>
      </c>
      <c r="X344" s="76">
        <v>2100</v>
      </c>
      <c r="Y344" s="72">
        <v>0</v>
      </c>
      <c r="Z344" s="78">
        <v>3.7429999999999999</v>
      </c>
      <c r="AA344" s="76">
        <v>1332</v>
      </c>
      <c r="AB344" s="76">
        <v>2328</v>
      </c>
      <c r="AC344" s="72">
        <v>543</v>
      </c>
      <c r="AD344" s="77">
        <v>0.5</v>
      </c>
    </row>
    <row r="345" spans="1:30" ht="12.75" x14ac:dyDescent="0.2">
      <c r="A345" s="83" t="s">
        <v>590</v>
      </c>
      <c r="B345" s="72">
        <v>123</v>
      </c>
      <c r="C345" s="72">
        <v>211</v>
      </c>
      <c r="D345" s="72">
        <v>211</v>
      </c>
      <c r="E345" s="72">
        <v>0</v>
      </c>
      <c r="F345" s="72">
        <v>0</v>
      </c>
      <c r="G345" s="79">
        <v>1.7150000000000001</v>
      </c>
      <c r="H345" s="74">
        <v>123</v>
      </c>
      <c r="I345" s="74">
        <v>88</v>
      </c>
      <c r="J345" s="72">
        <v>77</v>
      </c>
      <c r="K345" s="72">
        <v>88</v>
      </c>
      <c r="L345" s="72">
        <v>88</v>
      </c>
      <c r="M345" s="72">
        <v>0</v>
      </c>
      <c r="N345" s="72">
        <v>0</v>
      </c>
      <c r="O345" s="72">
        <v>176</v>
      </c>
      <c r="P345" s="72">
        <v>0</v>
      </c>
      <c r="Q345" s="78">
        <v>1.143</v>
      </c>
      <c r="R345" s="78">
        <v>2.286</v>
      </c>
      <c r="S345" s="72">
        <v>87</v>
      </c>
      <c r="T345" s="72">
        <v>209</v>
      </c>
      <c r="U345" s="72">
        <v>0</v>
      </c>
      <c r="V345" s="78">
        <v>2.4020000000000001</v>
      </c>
      <c r="W345" s="72">
        <v>206</v>
      </c>
      <c r="X345" s="72">
        <v>188</v>
      </c>
      <c r="Y345" s="72">
        <v>18</v>
      </c>
      <c r="Z345" s="75">
        <v>0.91300000000000003</v>
      </c>
      <c r="AA345" s="72">
        <v>493</v>
      </c>
      <c r="AB345" s="72">
        <v>696</v>
      </c>
      <c r="AC345" s="72">
        <v>18</v>
      </c>
      <c r="AD345" s="77">
        <v>1</v>
      </c>
    </row>
    <row r="346" spans="1:30" ht="12.75" x14ac:dyDescent="0.2">
      <c r="A346" s="83" t="s">
        <v>591</v>
      </c>
      <c r="B346" s="72">
        <v>636</v>
      </c>
      <c r="C346" s="72">
        <v>0</v>
      </c>
      <c r="D346" s="72">
        <v>0</v>
      </c>
      <c r="E346" s="72">
        <v>0</v>
      </c>
      <c r="F346" s="72">
        <v>636</v>
      </c>
      <c r="G346" s="73">
        <v>0</v>
      </c>
      <c r="H346" s="74">
        <v>239</v>
      </c>
      <c r="I346" s="74">
        <v>0</v>
      </c>
      <c r="J346" s="72">
        <v>408</v>
      </c>
      <c r="K346" s="72">
        <v>0</v>
      </c>
      <c r="L346" s="72">
        <v>0</v>
      </c>
      <c r="M346" s="72">
        <v>0</v>
      </c>
      <c r="N346" s="72">
        <v>408</v>
      </c>
      <c r="O346" s="72">
        <v>0</v>
      </c>
      <c r="P346" s="72">
        <v>408</v>
      </c>
      <c r="Q346" s="75">
        <v>0</v>
      </c>
      <c r="R346" s="75">
        <v>0</v>
      </c>
      <c r="S346" s="72">
        <v>416</v>
      </c>
      <c r="T346" s="72">
        <v>0</v>
      </c>
      <c r="U346" s="72">
        <v>416</v>
      </c>
      <c r="V346" s="75">
        <v>0</v>
      </c>
      <c r="W346" s="76">
        <v>1031</v>
      </c>
      <c r="X346" s="72">
        <v>0</v>
      </c>
      <c r="Y346" s="76">
        <v>1031</v>
      </c>
      <c r="Z346" s="75">
        <v>0</v>
      </c>
      <c r="AA346" s="76">
        <v>2491</v>
      </c>
      <c r="AB346" s="72">
        <v>0</v>
      </c>
      <c r="AC346" s="76">
        <v>2491</v>
      </c>
      <c r="AD346" s="77">
        <v>0.375</v>
      </c>
    </row>
    <row r="347" spans="1:30" ht="12.75" x14ac:dyDescent="0.2">
      <c r="A347" s="83" t="s">
        <v>592</v>
      </c>
      <c r="B347" s="76">
        <v>1026</v>
      </c>
      <c r="C347" s="72">
        <v>359</v>
      </c>
      <c r="D347" s="72">
        <v>359</v>
      </c>
      <c r="E347" s="72">
        <v>0</v>
      </c>
      <c r="F347" s="72">
        <v>667</v>
      </c>
      <c r="G347" s="73">
        <v>0.35</v>
      </c>
      <c r="H347" s="74">
        <v>513</v>
      </c>
      <c r="I347" s="74">
        <v>0</v>
      </c>
      <c r="J347" s="72">
        <v>681</v>
      </c>
      <c r="K347" s="72">
        <v>0</v>
      </c>
      <c r="L347" s="72">
        <v>0</v>
      </c>
      <c r="M347" s="72">
        <v>0</v>
      </c>
      <c r="N347" s="72">
        <v>681</v>
      </c>
      <c r="O347" s="72">
        <v>0</v>
      </c>
      <c r="P347" s="72">
        <v>681</v>
      </c>
      <c r="Q347" s="75">
        <v>0</v>
      </c>
      <c r="R347" s="75">
        <v>0</v>
      </c>
      <c r="S347" s="72">
        <v>759</v>
      </c>
      <c r="T347" s="72">
        <v>222</v>
      </c>
      <c r="U347" s="72">
        <v>537</v>
      </c>
      <c r="V347" s="75">
        <v>0.29199999999999998</v>
      </c>
      <c r="W347" s="76">
        <v>1814</v>
      </c>
      <c r="X347" s="72">
        <v>923</v>
      </c>
      <c r="Y347" s="72">
        <v>891</v>
      </c>
      <c r="Z347" s="78">
        <v>0.50900000000000001</v>
      </c>
      <c r="AA347" s="76">
        <v>4280</v>
      </c>
      <c r="AB347" s="76">
        <v>1504</v>
      </c>
      <c r="AC347" s="76">
        <v>2776</v>
      </c>
      <c r="AD347" s="77">
        <v>0.5</v>
      </c>
    </row>
    <row r="348" spans="1:30" ht="12.75" x14ac:dyDescent="0.2">
      <c r="A348" s="83" t="s">
        <v>593</v>
      </c>
      <c r="B348" s="72">
        <v>199</v>
      </c>
      <c r="C348" s="72">
        <v>9</v>
      </c>
      <c r="D348" s="72">
        <v>9</v>
      </c>
      <c r="E348" s="72">
        <v>0</v>
      </c>
      <c r="F348" s="72">
        <v>190</v>
      </c>
      <c r="G348" s="73">
        <v>4.4999999999999998E-2</v>
      </c>
      <c r="H348" s="74">
        <v>100</v>
      </c>
      <c r="I348" s="74">
        <v>0</v>
      </c>
      <c r="J348" s="72">
        <v>103</v>
      </c>
      <c r="K348" s="72">
        <v>18</v>
      </c>
      <c r="L348" s="72">
        <v>18</v>
      </c>
      <c r="M348" s="72">
        <v>0</v>
      </c>
      <c r="N348" s="72">
        <v>85</v>
      </c>
      <c r="O348" s="72">
        <v>18</v>
      </c>
      <c r="P348" s="72">
        <v>85</v>
      </c>
      <c r="Q348" s="75">
        <v>0.17499999999999999</v>
      </c>
      <c r="R348" s="75">
        <v>0.17499999999999999</v>
      </c>
      <c r="S348" s="72">
        <v>121</v>
      </c>
      <c r="T348" s="72">
        <v>55</v>
      </c>
      <c r="U348" s="72">
        <v>66</v>
      </c>
      <c r="V348" s="75">
        <v>0.45500000000000002</v>
      </c>
      <c r="W348" s="72">
        <v>322</v>
      </c>
      <c r="X348" s="72">
        <v>668</v>
      </c>
      <c r="Y348" s="72">
        <v>0</v>
      </c>
      <c r="Z348" s="78">
        <v>2.0750000000000002</v>
      </c>
      <c r="AA348" s="72">
        <v>745</v>
      </c>
      <c r="AB348" s="72">
        <v>750</v>
      </c>
      <c r="AC348" s="72">
        <v>341</v>
      </c>
      <c r="AD348" s="77">
        <v>0.5</v>
      </c>
    </row>
    <row r="349" spans="1:30" ht="12.75" x14ac:dyDescent="0.2">
      <c r="A349" s="83" t="s">
        <v>594</v>
      </c>
      <c r="B349" s="72">
        <v>217</v>
      </c>
      <c r="C349" s="72">
        <v>0</v>
      </c>
      <c r="D349" s="72">
        <v>0</v>
      </c>
      <c r="E349" s="72">
        <v>0</v>
      </c>
      <c r="F349" s="72">
        <v>217</v>
      </c>
      <c r="G349" s="73">
        <v>0</v>
      </c>
      <c r="H349" s="74">
        <v>109</v>
      </c>
      <c r="I349" s="74">
        <v>0</v>
      </c>
      <c r="J349" s="72">
        <v>131</v>
      </c>
      <c r="K349" s="72">
        <v>0</v>
      </c>
      <c r="L349" s="72">
        <v>0</v>
      </c>
      <c r="M349" s="72">
        <v>0</v>
      </c>
      <c r="N349" s="72">
        <v>131</v>
      </c>
      <c r="O349" s="72">
        <v>0</v>
      </c>
      <c r="P349" s="72">
        <v>131</v>
      </c>
      <c r="Q349" s="75">
        <v>0</v>
      </c>
      <c r="R349" s="75">
        <v>0</v>
      </c>
      <c r="S349" s="72">
        <v>140</v>
      </c>
      <c r="T349" s="72">
        <v>0</v>
      </c>
      <c r="U349" s="72">
        <v>140</v>
      </c>
      <c r="V349" s="75">
        <v>0</v>
      </c>
      <c r="W349" s="72">
        <v>362</v>
      </c>
      <c r="X349" s="72">
        <v>0</v>
      </c>
      <c r="Y349" s="72">
        <v>362</v>
      </c>
      <c r="Z349" s="75">
        <v>0</v>
      </c>
      <c r="AA349" s="72">
        <v>850</v>
      </c>
      <c r="AB349" s="72">
        <v>0</v>
      </c>
      <c r="AC349" s="72">
        <v>850</v>
      </c>
      <c r="AD349" s="77">
        <v>0.5</v>
      </c>
    </row>
    <row r="350" spans="1:30" ht="12.75" x14ac:dyDescent="0.2">
      <c r="A350" s="83" t="s">
        <v>187</v>
      </c>
      <c r="B350" s="72">
        <v>24</v>
      </c>
      <c r="C350" s="72">
        <v>3</v>
      </c>
      <c r="D350" s="72">
        <v>3</v>
      </c>
      <c r="E350" s="72">
        <v>0</v>
      </c>
      <c r="F350" s="72">
        <v>21</v>
      </c>
      <c r="G350" s="73">
        <v>0.125</v>
      </c>
      <c r="H350" s="74">
        <v>12</v>
      </c>
      <c r="I350" s="74">
        <v>0</v>
      </c>
      <c r="J350" s="72">
        <v>14</v>
      </c>
      <c r="K350" s="72">
        <v>6</v>
      </c>
      <c r="L350" s="72">
        <v>0</v>
      </c>
      <c r="M350" s="72">
        <v>6</v>
      </c>
      <c r="N350" s="72">
        <v>8</v>
      </c>
      <c r="O350" s="72">
        <v>6</v>
      </c>
      <c r="P350" s="72">
        <v>8</v>
      </c>
      <c r="Q350" s="75">
        <v>0.42899999999999999</v>
      </c>
      <c r="R350" s="75">
        <v>0.42899999999999999</v>
      </c>
      <c r="S350" s="72">
        <v>15</v>
      </c>
      <c r="T350" s="72">
        <v>5</v>
      </c>
      <c r="U350" s="72">
        <v>10</v>
      </c>
      <c r="V350" s="75">
        <v>0.33300000000000002</v>
      </c>
      <c r="W350" s="72">
        <v>7</v>
      </c>
      <c r="X350" s="72">
        <v>12</v>
      </c>
      <c r="Y350" s="72">
        <v>0</v>
      </c>
      <c r="Z350" s="78">
        <v>1.714</v>
      </c>
      <c r="AA350" s="72">
        <v>60</v>
      </c>
      <c r="AB350" s="72">
        <v>26</v>
      </c>
      <c r="AC350" s="72">
        <v>39</v>
      </c>
      <c r="AD350" s="77">
        <v>0.5</v>
      </c>
    </row>
    <row r="351" spans="1:30" ht="12.75" x14ac:dyDescent="0.2">
      <c r="A351" s="83" t="s">
        <v>303</v>
      </c>
      <c r="B351" s="72">
        <v>80</v>
      </c>
      <c r="C351" s="72">
        <v>0</v>
      </c>
      <c r="D351" s="72">
        <v>0</v>
      </c>
      <c r="E351" s="72">
        <v>0</v>
      </c>
      <c r="F351" s="72">
        <v>80</v>
      </c>
      <c r="G351" s="73">
        <v>0</v>
      </c>
      <c r="H351" s="74">
        <v>40</v>
      </c>
      <c r="I351" s="74">
        <v>0</v>
      </c>
      <c r="J351" s="72">
        <v>48</v>
      </c>
      <c r="K351" s="72">
        <v>0</v>
      </c>
      <c r="L351" s="72">
        <v>0</v>
      </c>
      <c r="M351" s="72">
        <v>0</v>
      </c>
      <c r="N351" s="72">
        <v>48</v>
      </c>
      <c r="O351" s="72">
        <v>0</v>
      </c>
      <c r="P351" s="72">
        <v>48</v>
      </c>
      <c r="Q351" s="75">
        <v>0</v>
      </c>
      <c r="R351" s="75">
        <v>0</v>
      </c>
      <c r="S351" s="72">
        <v>43</v>
      </c>
      <c r="T351" s="72">
        <v>1</v>
      </c>
      <c r="U351" s="72">
        <v>42</v>
      </c>
      <c r="V351" s="75">
        <v>2.3E-2</v>
      </c>
      <c r="W351" s="72">
        <v>126</v>
      </c>
      <c r="X351" s="72">
        <v>4</v>
      </c>
      <c r="Y351" s="72">
        <v>122</v>
      </c>
      <c r="Z351" s="75">
        <v>3.2000000000000001E-2</v>
      </c>
      <c r="AA351" s="72">
        <v>297</v>
      </c>
      <c r="AB351" s="72">
        <v>5</v>
      </c>
      <c r="AC351" s="72">
        <v>292</v>
      </c>
      <c r="AD351" s="77">
        <v>0.5</v>
      </c>
    </row>
    <row r="352" spans="1:30" ht="12.75" x14ac:dyDescent="0.2">
      <c r="A352" s="83" t="s">
        <v>596</v>
      </c>
      <c r="B352" s="72">
        <v>38</v>
      </c>
      <c r="C352" s="72">
        <v>0</v>
      </c>
      <c r="D352" s="72">
        <v>0</v>
      </c>
      <c r="E352" s="72">
        <v>0</v>
      </c>
      <c r="F352" s="72">
        <v>38</v>
      </c>
      <c r="G352" s="73">
        <v>0</v>
      </c>
      <c r="H352" s="74">
        <v>38</v>
      </c>
      <c r="I352" s="74">
        <v>0</v>
      </c>
      <c r="J352" s="72">
        <v>24</v>
      </c>
      <c r="K352" s="72">
        <v>12</v>
      </c>
      <c r="L352" s="72">
        <v>12</v>
      </c>
      <c r="M352" s="72">
        <v>0</v>
      </c>
      <c r="N352" s="72">
        <v>12</v>
      </c>
      <c r="O352" s="72">
        <v>12</v>
      </c>
      <c r="P352" s="72">
        <v>12</v>
      </c>
      <c r="Q352" s="75">
        <v>0.5</v>
      </c>
      <c r="R352" s="75">
        <v>0.5</v>
      </c>
      <c r="S352" s="72">
        <v>27</v>
      </c>
      <c r="T352" s="72">
        <v>0</v>
      </c>
      <c r="U352" s="72">
        <v>27</v>
      </c>
      <c r="V352" s="75">
        <v>0</v>
      </c>
      <c r="W352" s="72">
        <v>64</v>
      </c>
      <c r="X352" s="72">
        <v>253</v>
      </c>
      <c r="Y352" s="72">
        <v>0</v>
      </c>
      <c r="Z352" s="78">
        <v>3.9529999999999998</v>
      </c>
      <c r="AA352" s="72">
        <v>153</v>
      </c>
      <c r="AB352" s="72">
        <v>265</v>
      </c>
      <c r="AC352" s="72">
        <v>77</v>
      </c>
      <c r="AD352" s="77">
        <v>1</v>
      </c>
    </row>
    <row r="353" spans="1:30" ht="12.75" x14ac:dyDescent="0.2">
      <c r="A353" s="83" t="s">
        <v>306</v>
      </c>
      <c r="B353" s="72">
        <v>392</v>
      </c>
      <c r="C353" s="72">
        <v>46</v>
      </c>
      <c r="D353" s="72">
        <v>46</v>
      </c>
      <c r="E353" s="72">
        <v>0</v>
      </c>
      <c r="F353" s="72">
        <v>346</v>
      </c>
      <c r="G353" s="73">
        <v>0.11700000000000001</v>
      </c>
      <c r="H353" s="74">
        <v>196</v>
      </c>
      <c r="I353" s="74">
        <v>0</v>
      </c>
      <c r="J353" s="72">
        <v>254</v>
      </c>
      <c r="K353" s="72">
        <v>425</v>
      </c>
      <c r="L353" s="72">
        <v>422</v>
      </c>
      <c r="M353" s="72">
        <v>3</v>
      </c>
      <c r="N353" s="72">
        <v>0</v>
      </c>
      <c r="O353" s="72">
        <v>425</v>
      </c>
      <c r="P353" s="72">
        <v>0</v>
      </c>
      <c r="Q353" s="78">
        <v>1.673</v>
      </c>
      <c r="R353" s="78">
        <v>1.673</v>
      </c>
      <c r="S353" s="72">
        <v>316</v>
      </c>
      <c r="T353" s="72">
        <v>414</v>
      </c>
      <c r="U353" s="72">
        <v>0</v>
      </c>
      <c r="V353" s="78">
        <v>1.31</v>
      </c>
      <c r="W353" s="76">
        <v>1063</v>
      </c>
      <c r="X353" s="72">
        <v>638</v>
      </c>
      <c r="Y353" s="72">
        <v>425</v>
      </c>
      <c r="Z353" s="78">
        <v>0.6</v>
      </c>
      <c r="AA353" s="76">
        <v>2025</v>
      </c>
      <c r="AB353" s="76">
        <v>1523</v>
      </c>
      <c r="AC353" s="72">
        <v>771</v>
      </c>
      <c r="AD353" s="77">
        <v>0.5</v>
      </c>
    </row>
    <row r="354" spans="1:30" ht="12.75" x14ac:dyDescent="0.2">
      <c r="A354" s="83" t="s">
        <v>597</v>
      </c>
      <c r="B354" s="72">
        <v>112</v>
      </c>
      <c r="C354" s="72">
        <v>49</v>
      </c>
      <c r="D354" s="72">
        <v>49</v>
      </c>
      <c r="E354" s="72">
        <v>0</v>
      </c>
      <c r="F354" s="72">
        <v>63</v>
      </c>
      <c r="G354" s="73">
        <v>0.438</v>
      </c>
      <c r="H354" s="74">
        <v>56</v>
      </c>
      <c r="I354" s="74">
        <v>0</v>
      </c>
      <c r="J354" s="72">
        <v>81</v>
      </c>
      <c r="K354" s="72">
        <v>0</v>
      </c>
      <c r="L354" s="72">
        <v>0</v>
      </c>
      <c r="M354" s="72">
        <v>0</v>
      </c>
      <c r="N354" s="72">
        <v>81</v>
      </c>
      <c r="O354" s="72">
        <v>0</v>
      </c>
      <c r="P354" s="72">
        <v>81</v>
      </c>
      <c r="Q354" s="75">
        <v>0</v>
      </c>
      <c r="R354" s="75">
        <v>0</v>
      </c>
      <c r="S354" s="72">
        <v>90</v>
      </c>
      <c r="T354" s="72">
        <v>33</v>
      </c>
      <c r="U354" s="72">
        <v>57</v>
      </c>
      <c r="V354" s="75">
        <v>0.36699999999999999</v>
      </c>
      <c r="W354" s="72">
        <v>209</v>
      </c>
      <c r="X354" s="72">
        <v>115</v>
      </c>
      <c r="Y354" s="72">
        <v>94</v>
      </c>
      <c r="Z354" s="78">
        <v>0.55000000000000004</v>
      </c>
      <c r="AA354" s="72">
        <v>492</v>
      </c>
      <c r="AB354" s="72">
        <v>197</v>
      </c>
      <c r="AC354" s="72">
        <v>295</v>
      </c>
      <c r="AD354" s="77">
        <v>0.5</v>
      </c>
    </row>
    <row r="355" spans="1:30" ht="12.75" x14ac:dyDescent="0.2">
      <c r="A355" s="83" t="s">
        <v>598</v>
      </c>
      <c r="B355" s="76">
        <v>1365</v>
      </c>
      <c r="C355" s="72">
        <v>36</v>
      </c>
      <c r="D355" s="72">
        <v>36</v>
      </c>
      <c r="E355" s="72">
        <v>0</v>
      </c>
      <c r="F355" s="76">
        <v>1329</v>
      </c>
      <c r="G355" s="73">
        <v>2.5999999999999999E-2</v>
      </c>
      <c r="H355" s="74">
        <v>683</v>
      </c>
      <c r="I355" s="74">
        <v>0</v>
      </c>
      <c r="J355" s="72">
        <v>957</v>
      </c>
      <c r="K355" s="72">
        <v>86</v>
      </c>
      <c r="L355" s="72">
        <v>42</v>
      </c>
      <c r="M355" s="72">
        <v>44</v>
      </c>
      <c r="N355" s="72">
        <v>871</v>
      </c>
      <c r="O355" s="72">
        <v>86</v>
      </c>
      <c r="P355" s="72">
        <v>871</v>
      </c>
      <c r="Q355" s="75">
        <v>0.09</v>
      </c>
      <c r="R355" s="75">
        <v>0.09</v>
      </c>
      <c r="S355" s="72">
        <v>936</v>
      </c>
      <c r="T355" s="72">
        <v>115</v>
      </c>
      <c r="U355" s="72">
        <v>821</v>
      </c>
      <c r="V355" s="75">
        <v>0.123</v>
      </c>
      <c r="W355" s="76">
        <v>1773</v>
      </c>
      <c r="X355" s="76">
        <v>1756</v>
      </c>
      <c r="Y355" s="72">
        <v>17</v>
      </c>
      <c r="Z355" s="78">
        <v>0.99</v>
      </c>
      <c r="AA355" s="76">
        <v>5031</v>
      </c>
      <c r="AB355" s="76">
        <v>1993</v>
      </c>
      <c r="AC355" s="76">
        <v>3038</v>
      </c>
      <c r="AD355" s="77">
        <v>0.5</v>
      </c>
    </row>
    <row r="356" spans="1:30" ht="12.75" x14ac:dyDescent="0.2">
      <c r="A356" s="83" t="s">
        <v>343</v>
      </c>
      <c r="B356" s="72">
        <v>78</v>
      </c>
      <c r="C356" s="72">
        <v>0</v>
      </c>
      <c r="D356" s="72">
        <v>0</v>
      </c>
      <c r="E356" s="72">
        <v>0</v>
      </c>
      <c r="F356" s="72">
        <v>78</v>
      </c>
      <c r="G356" s="73">
        <v>0</v>
      </c>
      <c r="H356" s="74">
        <v>39</v>
      </c>
      <c r="I356" s="74">
        <v>0</v>
      </c>
      <c r="J356" s="72">
        <v>55</v>
      </c>
      <c r="K356" s="72">
        <v>0</v>
      </c>
      <c r="L356" s="72">
        <v>0</v>
      </c>
      <c r="M356" s="72">
        <v>0</v>
      </c>
      <c r="N356" s="72">
        <v>55</v>
      </c>
      <c r="O356" s="72">
        <v>0</v>
      </c>
      <c r="P356" s="72">
        <v>55</v>
      </c>
      <c r="Q356" s="75">
        <v>0</v>
      </c>
      <c r="R356" s="75">
        <v>0</v>
      </c>
      <c r="S356" s="72">
        <v>69</v>
      </c>
      <c r="T356" s="72">
        <v>58</v>
      </c>
      <c r="U356" s="72">
        <v>11</v>
      </c>
      <c r="V356" s="78">
        <v>0.84099999999999997</v>
      </c>
      <c r="W356" s="72">
        <v>170</v>
      </c>
      <c r="X356" s="72">
        <v>140</v>
      </c>
      <c r="Y356" s="72">
        <v>30</v>
      </c>
      <c r="Z356" s="78">
        <v>0.82399999999999995</v>
      </c>
      <c r="AA356" s="72">
        <v>372</v>
      </c>
      <c r="AB356" s="72">
        <v>198</v>
      </c>
      <c r="AC356" s="72">
        <v>174</v>
      </c>
      <c r="AD356" s="77">
        <v>0.5</v>
      </c>
    </row>
    <row r="357" spans="1:30" ht="12.75" x14ac:dyDescent="0.2">
      <c r="A357" s="83" t="s">
        <v>309</v>
      </c>
      <c r="B357" s="72">
        <v>118</v>
      </c>
      <c r="C357" s="72">
        <v>0</v>
      </c>
      <c r="D357" s="72">
        <v>0</v>
      </c>
      <c r="E357" s="72">
        <v>0</v>
      </c>
      <c r="F357" s="72">
        <v>118</v>
      </c>
      <c r="G357" s="73">
        <v>0</v>
      </c>
      <c r="H357" s="74">
        <v>59</v>
      </c>
      <c r="I357" s="74">
        <v>0</v>
      </c>
      <c r="J357" s="72">
        <v>69</v>
      </c>
      <c r="K357" s="72">
        <v>0</v>
      </c>
      <c r="L357" s="72">
        <v>0</v>
      </c>
      <c r="M357" s="72">
        <v>0</v>
      </c>
      <c r="N357" s="72">
        <v>69</v>
      </c>
      <c r="O357" s="72">
        <v>0</v>
      </c>
      <c r="P357" s="72">
        <v>69</v>
      </c>
      <c r="Q357" s="75">
        <v>0</v>
      </c>
      <c r="R357" s="75">
        <v>0</v>
      </c>
      <c r="S357" s="72">
        <v>84</v>
      </c>
      <c r="T357" s="72">
        <v>13</v>
      </c>
      <c r="U357" s="72">
        <v>71</v>
      </c>
      <c r="V357" s="75">
        <v>0.155</v>
      </c>
      <c r="W357" s="72">
        <v>177</v>
      </c>
      <c r="X357" s="72">
        <v>60</v>
      </c>
      <c r="Y357" s="72">
        <v>117</v>
      </c>
      <c r="Z357" s="75">
        <v>0.33900000000000002</v>
      </c>
      <c r="AA357" s="72">
        <v>448</v>
      </c>
      <c r="AB357" s="72">
        <v>73</v>
      </c>
      <c r="AC357" s="72">
        <v>375</v>
      </c>
      <c r="AD357" s="77">
        <v>0.5</v>
      </c>
    </row>
    <row r="358" spans="1:30" ht="12.75" x14ac:dyDescent="0.2">
      <c r="A358" s="83" t="s">
        <v>190</v>
      </c>
      <c r="B358" s="72">
        <v>716</v>
      </c>
      <c r="C358" s="72">
        <v>245</v>
      </c>
      <c r="D358" s="72">
        <v>245</v>
      </c>
      <c r="E358" s="72">
        <v>0</v>
      </c>
      <c r="F358" s="72">
        <v>471</v>
      </c>
      <c r="G358" s="73">
        <v>0.34200000000000003</v>
      </c>
      <c r="H358" s="74">
        <v>358</v>
      </c>
      <c r="I358" s="74">
        <v>0</v>
      </c>
      <c r="J358" s="72">
        <v>391</v>
      </c>
      <c r="K358" s="72">
        <v>72</v>
      </c>
      <c r="L358" s="72">
        <v>71</v>
      </c>
      <c r="M358" s="72">
        <v>1</v>
      </c>
      <c r="N358" s="72">
        <v>319</v>
      </c>
      <c r="O358" s="72">
        <v>72</v>
      </c>
      <c r="P358" s="72">
        <v>319</v>
      </c>
      <c r="Q358" s="75">
        <v>0.184</v>
      </c>
      <c r="R358" s="75">
        <v>0.184</v>
      </c>
      <c r="S358" s="72">
        <v>407</v>
      </c>
      <c r="T358" s="72">
        <v>27</v>
      </c>
      <c r="U358" s="72">
        <v>380</v>
      </c>
      <c r="V358" s="75">
        <v>6.6000000000000003E-2</v>
      </c>
      <c r="W358" s="72">
        <v>553</v>
      </c>
      <c r="X358" s="76">
        <v>1470</v>
      </c>
      <c r="Y358" s="72">
        <v>0</v>
      </c>
      <c r="Z358" s="78">
        <v>2.6579999999999999</v>
      </c>
      <c r="AA358" s="76">
        <v>2067</v>
      </c>
      <c r="AB358" s="76">
        <v>1814</v>
      </c>
      <c r="AC358" s="76">
        <v>1170</v>
      </c>
      <c r="AD358" s="77">
        <v>0.5</v>
      </c>
    </row>
    <row r="359" spans="1:30" ht="12.75" x14ac:dyDescent="0.2">
      <c r="A359" s="83" t="s">
        <v>599</v>
      </c>
      <c r="B359" s="72">
        <v>12</v>
      </c>
      <c r="C359" s="72">
        <v>0</v>
      </c>
      <c r="D359" s="72">
        <v>0</v>
      </c>
      <c r="E359" s="72">
        <v>0</v>
      </c>
      <c r="F359" s="72">
        <v>12</v>
      </c>
      <c r="G359" s="73">
        <v>0</v>
      </c>
      <c r="H359" s="74">
        <v>12</v>
      </c>
      <c r="I359" s="74">
        <v>0</v>
      </c>
      <c r="J359" s="72">
        <v>8</v>
      </c>
      <c r="K359" s="72">
        <v>0</v>
      </c>
      <c r="L359" s="72">
        <v>0</v>
      </c>
      <c r="M359" s="72">
        <v>0</v>
      </c>
      <c r="N359" s="72">
        <v>8</v>
      </c>
      <c r="O359" s="72">
        <v>0</v>
      </c>
      <c r="P359" s="72">
        <v>8</v>
      </c>
      <c r="Q359" s="75">
        <v>0</v>
      </c>
      <c r="R359" s="75">
        <v>0</v>
      </c>
      <c r="S359" s="72">
        <v>12</v>
      </c>
      <c r="T359" s="72">
        <v>34</v>
      </c>
      <c r="U359" s="72">
        <v>0</v>
      </c>
      <c r="V359" s="78">
        <v>2.8330000000000002</v>
      </c>
      <c r="W359" s="72">
        <v>25</v>
      </c>
      <c r="X359" s="72">
        <v>100</v>
      </c>
      <c r="Y359" s="72">
        <v>0</v>
      </c>
      <c r="Z359" s="78">
        <v>4</v>
      </c>
      <c r="AA359" s="72">
        <v>57</v>
      </c>
      <c r="AB359" s="72">
        <v>134</v>
      </c>
      <c r="AC359" s="72">
        <v>20</v>
      </c>
      <c r="AD359" s="77">
        <v>1</v>
      </c>
    </row>
    <row r="360" spans="1:30" ht="12.75" x14ac:dyDescent="0.2">
      <c r="A360" s="83" t="s">
        <v>223</v>
      </c>
      <c r="B360" s="72">
        <v>1</v>
      </c>
      <c r="C360" s="72">
        <v>0</v>
      </c>
      <c r="D360" s="72">
        <v>0</v>
      </c>
      <c r="E360" s="72">
        <v>0</v>
      </c>
      <c r="F360" s="72">
        <v>1</v>
      </c>
      <c r="G360" s="73">
        <v>0</v>
      </c>
      <c r="H360" s="74">
        <v>1</v>
      </c>
      <c r="I360" s="74">
        <v>0</v>
      </c>
      <c r="J360" s="72">
        <v>1</v>
      </c>
      <c r="K360" s="72">
        <v>0</v>
      </c>
      <c r="L360" s="72">
        <v>0</v>
      </c>
      <c r="M360" s="72">
        <v>0</v>
      </c>
      <c r="N360" s="72">
        <v>1</v>
      </c>
      <c r="O360" s="72">
        <v>0</v>
      </c>
      <c r="P360" s="72">
        <v>1</v>
      </c>
      <c r="Q360" s="75">
        <v>0</v>
      </c>
      <c r="R360" s="75">
        <v>0</v>
      </c>
      <c r="S360" s="72">
        <v>1</v>
      </c>
      <c r="T360" s="72">
        <v>0</v>
      </c>
      <c r="U360" s="72">
        <v>1</v>
      </c>
      <c r="V360" s="75">
        <v>0</v>
      </c>
      <c r="W360" s="72">
        <v>1</v>
      </c>
      <c r="X360" s="72">
        <v>18</v>
      </c>
      <c r="Y360" s="72">
        <v>0</v>
      </c>
      <c r="Z360" s="78">
        <v>18</v>
      </c>
      <c r="AA360" s="72">
        <v>4</v>
      </c>
      <c r="AB360" s="72">
        <v>18</v>
      </c>
      <c r="AC360" s="72">
        <v>3</v>
      </c>
      <c r="AD360" s="77">
        <v>1</v>
      </c>
    </row>
    <row r="361" spans="1:30" ht="12.75" x14ac:dyDescent="0.2">
      <c r="A361" s="83" t="s">
        <v>600</v>
      </c>
      <c r="B361" s="72">
        <v>1</v>
      </c>
      <c r="C361" s="72">
        <v>0</v>
      </c>
      <c r="D361" s="72">
        <v>0</v>
      </c>
      <c r="E361" s="72">
        <v>0</v>
      </c>
      <c r="F361" s="72">
        <v>1</v>
      </c>
      <c r="G361" s="73">
        <v>0</v>
      </c>
      <c r="H361" s="74">
        <v>1</v>
      </c>
      <c r="I361" s="74">
        <v>0</v>
      </c>
      <c r="J361" s="72">
        <v>1</v>
      </c>
      <c r="K361" s="72">
        <v>0</v>
      </c>
      <c r="L361" s="72">
        <v>0</v>
      </c>
      <c r="M361" s="72">
        <v>0</v>
      </c>
      <c r="N361" s="72">
        <v>1</v>
      </c>
      <c r="O361" s="72">
        <v>0</v>
      </c>
      <c r="P361" s="72">
        <v>1</v>
      </c>
      <c r="Q361" s="75">
        <v>0</v>
      </c>
      <c r="R361" s="75">
        <v>0</v>
      </c>
      <c r="S361" s="72">
        <v>1</v>
      </c>
      <c r="T361" s="72">
        <v>2</v>
      </c>
      <c r="U361" s="72">
        <v>0</v>
      </c>
      <c r="V361" s="78">
        <v>2</v>
      </c>
      <c r="W361" s="72">
        <v>1</v>
      </c>
      <c r="X361" s="72">
        <v>8</v>
      </c>
      <c r="Y361" s="72">
        <v>0</v>
      </c>
      <c r="Z361" s="78">
        <v>8</v>
      </c>
      <c r="AA361" s="72">
        <v>4</v>
      </c>
      <c r="AB361" s="72">
        <v>10</v>
      </c>
      <c r="AC361" s="72">
        <v>2</v>
      </c>
      <c r="AD361" s="77">
        <v>1</v>
      </c>
    </row>
    <row r="362" spans="1:30" ht="12.75" x14ac:dyDescent="0.2">
      <c r="A362" s="83" t="s">
        <v>601</v>
      </c>
      <c r="B362" s="72">
        <v>919</v>
      </c>
      <c r="C362" s="72">
        <v>0</v>
      </c>
      <c r="D362" s="72">
        <v>0</v>
      </c>
      <c r="E362" s="72">
        <v>0</v>
      </c>
      <c r="F362" s="72">
        <v>919</v>
      </c>
      <c r="G362" s="73">
        <v>0</v>
      </c>
      <c r="H362" s="74">
        <v>460</v>
      </c>
      <c r="I362" s="74">
        <v>0</v>
      </c>
      <c r="J362" s="72">
        <v>543</v>
      </c>
      <c r="K362" s="72">
        <v>0</v>
      </c>
      <c r="L362" s="72">
        <v>0</v>
      </c>
      <c r="M362" s="72">
        <v>0</v>
      </c>
      <c r="N362" s="72">
        <v>543</v>
      </c>
      <c r="O362" s="72">
        <v>0</v>
      </c>
      <c r="P362" s="72">
        <v>543</v>
      </c>
      <c r="Q362" s="75">
        <v>0</v>
      </c>
      <c r="R362" s="75">
        <v>0</v>
      </c>
      <c r="S362" s="72">
        <v>592</v>
      </c>
      <c r="T362" s="72">
        <v>0</v>
      </c>
      <c r="U362" s="72">
        <v>592</v>
      </c>
      <c r="V362" s="75">
        <v>0</v>
      </c>
      <c r="W362" s="76">
        <v>1572</v>
      </c>
      <c r="X362" s="72">
        <v>0</v>
      </c>
      <c r="Y362" s="76">
        <v>1572</v>
      </c>
      <c r="Z362" s="75">
        <v>0</v>
      </c>
      <c r="AA362" s="76">
        <v>3626</v>
      </c>
      <c r="AB362" s="72">
        <v>0</v>
      </c>
      <c r="AC362" s="76">
        <v>3626</v>
      </c>
      <c r="AD362" s="77">
        <v>0.5</v>
      </c>
    </row>
    <row r="363" spans="1:30" ht="12.75" x14ac:dyDescent="0.2">
      <c r="A363" s="83" t="s">
        <v>604</v>
      </c>
      <c r="B363" s="72">
        <v>1</v>
      </c>
      <c r="C363" s="72">
        <v>0</v>
      </c>
      <c r="D363" s="72">
        <v>0</v>
      </c>
      <c r="E363" s="72">
        <v>0</v>
      </c>
      <c r="F363" s="72">
        <v>1</v>
      </c>
      <c r="G363" s="73">
        <v>0</v>
      </c>
      <c r="H363" s="74">
        <v>1</v>
      </c>
      <c r="I363" s="74">
        <v>0</v>
      </c>
      <c r="J363" s="72">
        <v>1</v>
      </c>
      <c r="K363" s="72">
        <v>0</v>
      </c>
      <c r="L363" s="72">
        <v>0</v>
      </c>
      <c r="M363" s="72">
        <v>0</v>
      </c>
      <c r="N363" s="72">
        <v>1</v>
      </c>
      <c r="O363" s="72">
        <v>0</v>
      </c>
      <c r="P363" s="72">
        <v>1</v>
      </c>
      <c r="Q363" s="75">
        <v>0</v>
      </c>
      <c r="R363" s="75">
        <v>0</v>
      </c>
      <c r="S363" s="72">
        <v>0</v>
      </c>
      <c r="T363" s="72">
        <v>0</v>
      </c>
      <c r="U363" s="72">
        <v>0</v>
      </c>
      <c r="V363" s="80" t="s">
        <v>196</v>
      </c>
      <c r="W363" s="72">
        <v>0</v>
      </c>
      <c r="X363" s="72">
        <v>0</v>
      </c>
      <c r="Y363" s="72">
        <v>0</v>
      </c>
      <c r="Z363" s="80" t="s">
        <v>196</v>
      </c>
      <c r="AA363" s="72">
        <v>2</v>
      </c>
      <c r="AB363" s="72">
        <v>0</v>
      </c>
      <c r="AC363" s="72">
        <v>2</v>
      </c>
      <c r="AD363" s="77">
        <v>0.5</v>
      </c>
    </row>
    <row r="364" spans="1:30" ht="12.75" x14ac:dyDescent="0.2">
      <c r="A364" s="83" t="s">
        <v>605</v>
      </c>
      <c r="B364" s="72">
        <v>623</v>
      </c>
      <c r="C364" s="72">
        <v>0</v>
      </c>
      <c r="D364" s="72">
        <v>0</v>
      </c>
      <c r="E364" s="72">
        <v>0</v>
      </c>
      <c r="F364" s="72">
        <v>623</v>
      </c>
      <c r="G364" s="73">
        <v>0</v>
      </c>
      <c r="H364" s="74">
        <v>234</v>
      </c>
      <c r="I364" s="74">
        <v>0</v>
      </c>
      <c r="J364" s="72">
        <v>576</v>
      </c>
      <c r="K364" s="72">
        <v>7</v>
      </c>
      <c r="L364" s="72">
        <v>7</v>
      </c>
      <c r="M364" s="72">
        <v>0</v>
      </c>
      <c r="N364" s="72">
        <v>569</v>
      </c>
      <c r="O364" s="72">
        <v>7</v>
      </c>
      <c r="P364" s="72">
        <v>569</v>
      </c>
      <c r="Q364" s="75">
        <v>1.2E-2</v>
      </c>
      <c r="R364" s="75">
        <v>1.2E-2</v>
      </c>
      <c r="S364" s="72">
        <v>566</v>
      </c>
      <c r="T364" s="72">
        <v>152</v>
      </c>
      <c r="U364" s="72">
        <v>414</v>
      </c>
      <c r="V364" s="75">
        <v>0.26900000000000002</v>
      </c>
      <c r="W364" s="76">
        <v>1431</v>
      </c>
      <c r="X364" s="72">
        <v>11</v>
      </c>
      <c r="Y364" s="76">
        <v>1420</v>
      </c>
      <c r="Z364" s="75">
        <v>8.0000000000000002E-3</v>
      </c>
      <c r="AA364" s="76">
        <v>3196</v>
      </c>
      <c r="AB364" s="72">
        <v>170</v>
      </c>
      <c r="AC364" s="76">
        <v>3026</v>
      </c>
      <c r="AD364" s="77">
        <v>0.375</v>
      </c>
    </row>
    <row r="365" spans="1:30" ht="12.75" x14ac:dyDescent="0.2">
      <c r="A365" s="83" t="s">
        <v>606</v>
      </c>
      <c r="B365" s="72">
        <v>3</v>
      </c>
      <c r="C365" s="72">
        <v>0</v>
      </c>
      <c r="D365" s="72">
        <v>0</v>
      </c>
      <c r="E365" s="72">
        <v>0</v>
      </c>
      <c r="F365" s="72">
        <v>3</v>
      </c>
      <c r="G365" s="73">
        <v>0</v>
      </c>
      <c r="H365" s="74">
        <v>3</v>
      </c>
      <c r="I365" s="74">
        <v>0</v>
      </c>
      <c r="J365" s="72">
        <v>2</v>
      </c>
      <c r="K365" s="72">
        <v>0</v>
      </c>
      <c r="L365" s="72">
        <v>0</v>
      </c>
      <c r="M365" s="72">
        <v>0</v>
      </c>
      <c r="N365" s="72">
        <v>2</v>
      </c>
      <c r="O365" s="72">
        <v>0</v>
      </c>
      <c r="P365" s="72">
        <v>2</v>
      </c>
      <c r="Q365" s="75">
        <v>0</v>
      </c>
      <c r="R365" s="75">
        <v>0</v>
      </c>
      <c r="S365" s="72">
        <v>3</v>
      </c>
      <c r="T365" s="72">
        <v>0</v>
      </c>
      <c r="U365" s="72">
        <v>3</v>
      </c>
      <c r="V365" s="75">
        <v>0</v>
      </c>
      <c r="W365" s="72">
        <v>5</v>
      </c>
      <c r="X365" s="72">
        <v>0</v>
      </c>
      <c r="Y365" s="72">
        <v>5</v>
      </c>
      <c r="Z365" s="75">
        <v>0</v>
      </c>
      <c r="AA365" s="72">
        <v>13</v>
      </c>
      <c r="AB365" s="72">
        <v>0</v>
      </c>
      <c r="AC365" s="72">
        <v>13</v>
      </c>
      <c r="AD365" s="77">
        <v>1</v>
      </c>
    </row>
    <row r="366" spans="1:30" ht="12.75" x14ac:dyDescent="0.2">
      <c r="A366" s="83" t="s">
        <v>607</v>
      </c>
      <c r="B366" s="72">
        <v>21</v>
      </c>
      <c r="C366" s="72">
        <v>4</v>
      </c>
      <c r="D366" s="72">
        <v>0</v>
      </c>
      <c r="E366" s="72">
        <v>4</v>
      </c>
      <c r="F366" s="72">
        <v>17</v>
      </c>
      <c r="G366" s="73">
        <v>0.19</v>
      </c>
      <c r="H366" s="74">
        <v>11</v>
      </c>
      <c r="I366" s="74">
        <v>0</v>
      </c>
      <c r="J366" s="72">
        <v>15</v>
      </c>
      <c r="K366" s="72">
        <v>1</v>
      </c>
      <c r="L366" s="72">
        <v>0</v>
      </c>
      <c r="M366" s="72">
        <v>1</v>
      </c>
      <c r="N366" s="72">
        <v>14</v>
      </c>
      <c r="O366" s="72">
        <v>1</v>
      </c>
      <c r="P366" s="72">
        <v>14</v>
      </c>
      <c r="Q366" s="75">
        <v>6.7000000000000004E-2</v>
      </c>
      <c r="R366" s="75">
        <v>6.7000000000000004E-2</v>
      </c>
      <c r="S366" s="72">
        <v>15</v>
      </c>
      <c r="T366" s="72">
        <v>4</v>
      </c>
      <c r="U366" s="72">
        <v>11</v>
      </c>
      <c r="V366" s="75">
        <v>0.26700000000000002</v>
      </c>
      <c r="W366" s="72">
        <v>13</v>
      </c>
      <c r="X366" s="72">
        <v>24</v>
      </c>
      <c r="Y366" s="72">
        <v>0</v>
      </c>
      <c r="Z366" s="78">
        <v>1.8460000000000001</v>
      </c>
      <c r="AA366" s="72">
        <v>64</v>
      </c>
      <c r="AB366" s="72">
        <v>33</v>
      </c>
      <c r="AC366" s="72">
        <v>42</v>
      </c>
      <c r="AD366" s="77">
        <v>0.5</v>
      </c>
    </row>
    <row r="367" spans="1:30" ht="12.75" x14ac:dyDescent="0.2">
      <c r="A367" s="83" t="s">
        <v>608</v>
      </c>
      <c r="B367" s="72">
        <v>201</v>
      </c>
      <c r="C367" s="72">
        <v>26</v>
      </c>
      <c r="D367" s="72">
        <v>26</v>
      </c>
      <c r="E367" s="72">
        <v>0</v>
      </c>
      <c r="F367" s="72">
        <v>175</v>
      </c>
      <c r="G367" s="73">
        <v>0.129</v>
      </c>
      <c r="H367" s="74">
        <v>101</v>
      </c>
      <c r="I367" s="74">
        <v>0</v>
      </c>
      <c r="J367" s="72">
        <v>152</v>
      </c>
      <c r="K367" s="72">
        <v>26</v>
      </c>
      <c r="L367" s="72">
        <v>26</v>
      </c>
      <c r="M367" s="72">
        <v>0</v>
      </c>
      <c r="N367" s="72">
        <v>126</v>
      </c>
      <c r="O367" s="72">
        <v>26</v>
      </c>
      <c r="P367" s="72">
        <v>126</v>
      </c>
      <c r="Q367" s="75">
        <v>0.17100000000000001</v>
      </c>
      <c r="R367" s="75">
        <v>0.17100000000000001</v>
      </c>
      <c r="S367" s="72">
        <v>282</v>
      </c>
      <c r="T367" s="72">
        <v>0</v>
      </c>
      <c r="U367" s="72">
        <v>282</v>
      </c>
      <c r="V367" s="75">
        <v>0</v>
      </c>
      <c r="W367" s="72">
        <v>618</v>
      </c>
      <c r="X367" s="72">
        <v>142</v>
      </c>
      <c r="Y367" s="72">
        <v>476</v>
      </c>
      <c r="Z367" s="75">
        <v>0.23</v>
      </c>
      <c r="AA367" s="76">
        <v>1253</v>
      </c>
      <c r="AB367" s="72">
        <v>194</v>
      </c>
      <c r="AC367" s="76">
        <v>1059</v>
      </c>
      <c r="AD367" s="77">
        <v>0.5</v>
      </c>
    </row>
    <row r="368" spans="1:30" ht="12.75" x14ac:dyDescent="0.2">
      <c r="A368" s="83" t="s">
        <v>609</v>
      </c>
      <c r="B368" s="76">
        <v>1539</v>
      </c>
      <c r="C368" s="72">
        <v>100</v>
      </c>
      <c r="D368" s="72">
        <v>100</v>
      </c>
      <c r="E368" s="72">
        <v>0</v>
      </c>
      <c r="F368" s="76">
        <v>1439</v>
      </c>
      <c r="G368" s="73">
        <v>6.5000000000000002E-2</v>
      </c>
      <c r="H368" s="74">
        <v>770</v>
      </c>
      <c r="I368" s="74">
        <v>0</v>
      </c>
      <c r="J368" s="76">
        <v>1079</v>
      </c>
      <c r="K368" s="72">
        <v>0</v>
      </c>
      <c r="L368" s="72">
        <v>0</v>
      </c>
      <c r="M368" s="72">
        <v>0</v>
      </c>
      <c r="N368" s="76">
        <v>1079</v>
      </c>
      <c r="O368" s="72">
        <v>0</v>
      </c>
      <c r="P368" s="76">
        <v>1079</v>
      </c>
      <c r="Q368" s="75">
        <v>0</v>
      </c>
      <c r="R368" s="75">
        <v>0</v>
      </c>
      <c r="S368" s="76">
        <v>1303</v>
      </c>
      <c r="T368" s="72">
        <v>214</v>
      </c>
      <c r="U368" s="76">
        <v>1089</v>
      </c>
      <c r="V368" s="75">
        <v>0.16400000000000001</v>
      </c>
      <c r="W368" s="76">
        <v>3087</v>
      </c>
      <c r="X368" s="76">
        <v>1765</v>
      </c>
      <c r="Y368" s="76">
        <v>1322</v>
      </c>
      <c r="Z368" s="78">
        <v>0.57199999999999995</v>
      </c>
      <c r="AA368" s="76">
        <v>7008</v>
      </c>
      <c r="AB368" s="76">
        <v>2079</v>
      </c>
      <c r="AC368" s="76">
        <v>4929</v>
      </c>
      <c r="AD368" s="77">
        <v>0.5</v>
      </c>
    </row>
    <row r="369" spans="1:30" ht="12.75" x14ac:dyDescent="0.2">
      <c r="A369" s="83" t="s">
        <v>610</v>
      </c>
      <c r="B369" s="72">
        <v>209</v>
      </c>
      <c r="C369" s="72">
        <v>18</v>
      </c>
      <c r="D369" s="72">
        <v>18</v>
      </c>
      <c r="E369" s="72">
        <v>0</v>
      </c>
      <c r="F369" s="72">
        <v>191</v>
      </c>
      <c r="G369" s="73">
        <v>8.5999999999999993E-2</v>
      </c>
      <c r="H369" s="74">
        <v>105</v>
      </c>
      <c r="I369" s="74">
        <v>0</v>
      </c>
      <c r="J369" s="72">
        <v>141</v>
      </c>
      <c r="K369" s="72">
        <v>11</v>
      </c>
      <c r="L369" s="72">
        <v>11</v>
      </c>
      <c r="M369" s="72">
        <v>0</v>
      </c>
      <c r="N369" s="72">
        <v>130</v>
      </c>
      <c r="O369" s="72">
        <v>11</v>
      </c>
      <c r="P369" s="72">
        <v>130</v>
      </c>
      <c r="Q369" s="75">
        <v>7.8E-2</v>
      </c>
      <c r="R369" s="75">
        <v>7.8E-2</v>
      </c>
      <c r="S369" s="72">
        <v>158</v>
      </c>
      <c r="T369" s="72">
        <v>31</v>
      </c>
      <c r="U369" s="72">
        <v>127</v>
      </c>
      <c r="V369" s="75">
        <v>0.19600000000000001</v>
      </c>
      <c r="W369" s="72">
        <v>340</v>
      </c>
      <c r="X369" s="76">
        <v>1535</v>
      </c>
      <c r="Y369" s="72">
        <v>0</v>
      </c>
      <c r="Z369" s="78">
        <v>4.5149999999999997</v>
      </c>
      <c r="AA369" s="72">
        <v>848</v>
      </c>
      <c r="AB369" s="76">
        <v>1595</v>
      </c>
      <c r="AC369" s="72">
        <v>448</v>
      </c>
      <c r="AD369" s="77">
        <v>0.5</v>
      </c>
    </row>
    <row r="370" spans="1:30" ht="12.75" x14ac:dyDescent="0.2">
      <c r="A370" s="83" t="s">
        <v>611</v>
      </c>
      <c r="B370" s="72">
        <v>23</v>
      </c>
      <c r="C370" s="72">
        <v>0</v>
      </c>
      <c r="D370" s="72">
        <v>0</v>
      </c>
      <c r="E370" s="72">
        <v>0</v>
      </c>
      <c r="F370" s="72">
        <v>23</v>
      </c>
      <c r="G370" s="73">
        <v>0</v>
      </c>
      <c r="H370" s="74">
        <v>12</v>
      </c>
      <c r="I370" s="74">
        <v>0</v>
      </c>
      <c r="J370" s="72">
        <v>15</v>
      </c>
      <c r="K370" s="72">
        <v>0</v>
      </c>
      <c r="L370" s="72">
        <v>0</v>
      </c>
      <c r="M370" s="72">
        <v>0</v>
      </c>
      <c r="N370" s="72">
        <v>15</v>
      </c>
      <c r="O370" s="72">
        <v>0</v>
      </c>
      <c r="P370" s="72">
        <v>15</v>
      </c>
      <c r="Q370" s="75">
        <v>0</v>
      </c>
      <c r="R370" s="75">
        <v>0</v>
      </c>
      <c r="S370" s="72">
        <v>18</v>
      </c>
      <c r="T370" s="72">
        <v>2</v>
      </c>
      <c r="U370" s="72">
        <v>16</v>
      </c>
      <c r="V370" s="75">
        <v>0.111</v>
      </c>
      <c r="W370" s="72">
        <v>39</v>
      </c>
      <c r="X370" s="72">
        <v>36</v>
      </c>
      <c r="Y370" s="72">
        <v>3</v>
      </c>
      <c r="Z370" s="78">
        <v>0.92300000000000004</v>
      </c>
      <c r="AA370" s="72">
        <v>95</v>
      </c>
      <c r="AB370" s="72">
        <v>38</v>
      </c>
      <c r="AC370" s="72">
        <v>57</v>
      </c>
      <c r="AD370" s="77">
        <v>0.5</v>
      </c>
    </row>
    <row r="371" spans="1:30" ht="12.75" x14ac:dyDescent="0.2">
      <c r="A371" s="83" t="s">
        <v>493</v>
      </c>
      <c r="B371" s="72">
        <v>8</v>
      </c>
      <c r="C371" s="72">
        <v>5</v>
      </c>
      <c r="D371" s="72">
        <v>5</v>
      </c>
      <c r="E371" s="72">
        <v>0</v>
      </c>
      <c r="F371" s="72">
        <v>3</v>
      </c>
      <c r="G371" s="79">
        <v>0.625</v>
      </c>
      <c r="H371" s="74">
        <v>4</v>
      </c>
      <c r="I371" s="74">
        <v>1</v>
      </c>
      <c r="J371" s="72">
        <v>5</v>
      </c>
      <c r="K371" s="72">
        <v>0</v>
      </c>
      <c r="L371" s="72">
        <v>0</v>
      </c>
      <c r="M371" s="72">
        <v>0</v>
      </c>
      <c r="N371" s="72">
        <v>5</v>
      </c>
      <c r="O371" s="72">
        <v>1</v>
      </c>
      <c r="P371" s="72">
        <v>4</v>
      </c>
      <c r="Q371" s="75">
        <v>0</v>
      </c>
      <c r="R371" s="75">
        <v>0.2</v>
      </c>
      <c r="S371" s="72">
        <v>5</v>
      </c>
      <c r="T371" s="72">
        <v>1</v>
      </c>
      <c r="U371" s="72">
        <v>4</v>
      </c>
      <c r="V371" s="75">
        <v>0.2</v>
      </c>
      <c r="W371" s="72">
        <v>13</v>
      </c>
      <c r="X371" s="72">
        <v>103</v>
      </c>
      <c r="Y371" s="72">
        <v>0</v>
      </c>
      <c r="Z371" s="78">
        <v>7.923</v>
      </c>
      <c r="AA371" s="72">
        <v>31</v>
      </c>
      <c r="AB371" s="72">
        <v>109</v>
      </c>
      <c r="AC371" s="72">
        <v>12</v>
      </c>
      <c r="AD371" s="77">
        <v>0.5</v>
      </c>
    </row>
    <row r="372" spans="1:30" ht="12.75" x14ac:dyDescent="0.2">
      <c r="A372" s="83" t="s">
        <v>612</v>
      </c>
      <c r="B372" s="72">
        <v>1</v>
      </c>
      <c r="C372" s="72">
        <v>0</v>
      </c>
      <c r="D372" s="72">
        <v>0</v>
      </c>
      <c r="E372" s="72">
        <v>0</v>
      </c>
      <c r="F372" s="72">
        <v>1</v>
      </c>
      <c r="G372" s="73">
        <v>0</v>
      </c>
      <c r="H372" s="74">
        <v>1</v>
      </c>
      <c r="I372" s="74">
        <v>0</v>
      </c>
      <c r="J372" s="72">
        <v>1</v>
      </c>
      <c r="K372" s="72">
        <v>0</v>
      </c>
      <c r="L372" s="72">
        <v>0</v>
      </c>
      <c r="M372" s="72">
        <v>0</v>
      </c>
      <c r="N372" s="72">
        <v>1</v>
      </c>
      <c r="O372" s="72">
        <v>0</v>
      </c>
      <c r="P372" s="72">
        <v>1</v>
      </c>
      <c r="Q372" s="75">
        <v>0</v>
      </c>
      <c r="R372" s="75">
        <v>0</v>
      </c>
      <c r="S372" s="72">
        <v>0</v>
      </c>
      <c r="T372" s="72">
        <v>0</v>
      </c>
      <c r="U372" s="72">
        <v>0</v>
      </c>
      <c r="V372" s="80" t="s">
        <v>196</v>
      </c>
      <c r="W372" s="72">
        <v>0</v>
      </c>
      <c r="X372" s="72">
        <v>0</v>
      </c>
      <c r="Y372" s="72">
        <v>0</v>
      </c>
      <c r="Z372" s="80" t="s">
        <v>196</v>
      </c>
      <c r="AA372" s="72">
        <v>2</v>
      </c>
      <c r="AB372" s="72">
        <v>0</v>
      </c>
      <c r="AC372" s="72">
        <v>2</v>
      </c>
      <c r="AD372" s="77">
        <v>0.5</v>
      </c>
    </row>
    <row r="373" spans="1:30" ht="12.75" x14ac:dyDescent="0.2">
      <c r="A373" s="83" t="s">
        <v>613</v>
      </c>
      <c r="B373" s="72">
        <v>73</v>
      </c>
      <c r="C373" s="72">
        <v>0</v>
      </c>
      <c r="D373" s="72">
        <v>0</v>
      </c>
      <c r="E373" s="72">
        <v>0</v>
      </c>
      <c r="F373" s="72">
        <v>73</v>
      </c>
      <c r="G373" s="73">
        <v>0</v>
      </c>
      <c r="H373" s="74">
        <v>73</v>
      </c>
      <c r="I373" s="74">
        <v>0</v>
      </c>
      <c r="J373" s="72">
        <v>52</v>
      </c>
      <c r="K373" s="72">
        <v>46</v>
      </c>
      <c r="L373" s="72">
        <v>26</v>
      </c>
      <c r="M373" s="72">
        <v>20</v>
      </c>
      <c r="N373" s="72">
        <v>6</v>
      </c>
      <c r="O373" s="72">
        <v>46</v>
      </c>
      <c r="P373" s="72">
        <v>6</v>
      </c>
      <c r="Q373" s="75">
        <v>0.88500000000000001</v>
      </c>
      <c r="R373" s="75">
        <v>0.88500000000000001</v>
      </c>
      <c r="S373" s="72">
        <v>61</v>
      </c>
      <c r="T373" s="72">
        <v>29</v>
      </c>
      <c r="U373" s="72">
        <v>32</v>
      </c>
      <c r="V373" s="75">
        <v>0.47499999999999998</v>
      </c>
      <c r="W373" s="72">
        <v>137</v>
      </c>
      <c r="X373" s="72">
        <v>0</v>
      </c>
      <c r="Y373" s="72">
        <v>137</v>
      </c>
      <c r="Z373" s="75">
        <v>0</v>
      </c>
      <c r="AA373" s="72">
        <v>323</v>
      </c>
      <c r="AB373" s="72">
        <v>75</v>
      </c>
      <c r="AC373" s="72">
        <v>248</v>
      </c>
      <c r="AD373" s="77">
        <v>1</v>
      </c>
    </row>
    <row r="374" spans="1:30" ht="12.75" x14ac:dyDescent="0.2">
      <c r="A374" s="83" t="s">
        <v>615</v>
      </c>
      <c r="B374" s="72">
        <v>287</v>
      </c>
      <c r="C374" s="72">
        <v>35</v>
      </c>
      <c r="D374" s="72">
        <v>35</v>
      </c>
      <c r="E374" s="72">
        <v>0</v>
      </c>
      <c r="F374" s="72">
        <v>252</v>
      </c>
      <c r="G374" s="73">
        <v>0.122</v>
      </c>
      <c r="H374" s="74">
        <v>287</v>
      </c>
      <c r="I374" s="74">
        <v>0</v>
      </c>
      <c r="J374" s="72">
        <v>181</v>
      </c>
      <c r="K374" s="72">
        <v>129</v>
      </c>
      <c r="L374" s="72">
        <v>129</v>
      </c>
      <c r="M374" s="72">
        <v>0</v>
      </c>
      <c r="N374" s="72">
        <v>52</v>
      </c>
      <c r="O374" s="72">
        <v>129</v>
      </c>
      <c r="P374" s="72">
        <v>52</v>
      </c>
      <c r="Q374" s="75">
        <v>0.71299999999999997</v>
      </c>
      <c r="R374" s="75">
        <v>0.71299999999999997</v>
      </c>
      <c r="S374" s="72">
        <v>205</v>
      </c>
      <c r="T374" s="72">
        <v>113</v>
      </c>
      <c r="U374" s="72">
        <v>92</v>
      </c>
      <c r="V374" s="75">
        <v>0.55100000000000005</v>
      </c>
      <c r="W374" s="72">
        <v>502</v>
      </c>
      <c r="X374" s="72">
        <v>629</v>
      </c>
      <c r="Y374" s="72">
        <v>0</v>
      </c>
      <c r="Z374" s="78">
        <v>1.2529999999999999</v>
      </c>
      <c r="AA374" s="76">
        <v>1175</v>
      </c>
      <c r="AB374" s="72">
        <v>906</v>
      </c>
      <c r="AC374" s="72">
        <v>396</v>
      </c>
      <c r="AD374" s="77">
        <v>1</v>
      </c>
    </row>
    <row r="375" spans="1:30" ht="12.75" x14ac:dyDescent="0.2">
      <c r="A375" s="83" t="s">
        <v>616</v>
      </c>
      <c r="B375" s="72">
        <v>579</v>
      </c>
      <c r="C375" s="72">
        <v>0</v>
      </c>
      <c r="D375" s="72">
        <v>0</v>
      </c>
      <c r="E375" s="72">
        <v>0</v>
      </c>
      <c r="F375" s="72">
        <v>579</v>
      </c>
      <c r="G375" s="73">
        <v>0</v>
      </c>
      <c r="H375" s="74">
        <v>290</v>
      </c>
      <c r="I375" s="74">
        <v>0</v>
      </c>
      <c r="J375" s="72">
        <v>396</v>
      </c>
      <c r="K375" s="72">
        <v>0</v>
      </c>
      <c r="L375" s="72">
        <v>0</v>
      </c>
      <c r="M375" s="72">
        <v>0</v>
      </c>
      <c r="N375" s="72">
        <v>396</v>
      </c>
      <c r="O375" s="72">
        <v>0</v>
      </c>
      <c r="P375" s="72">
        <v>396</v>
      </c>
      <c r="Q375" s="75">
        <v>0</v>
      </c>
      <c r="R375" s="75">
        <v>0</v>
      </c>
      <c r="S375" s="72">
        <v>453</v>
      </c>
      <c r="T375" s="72">
        <v>4</v>
      </c>
      <c r="U375" s="72">
        <v>449</v>
      </c>
      <c r="V375" s="75">
        <v>8.9999999999999993E-3</v>
      </c>
      <c r="W375" s="76">
        <v>1001</v>
      </c>
      <c r="X375" s="72">
        <v>263</v>
      </c>
      <c r="Y375" s="72">
        <v>738</v>
      </c>
      <c r="Z375" s="75">
        <v>0.26300000000000001</v>
      </c>
      <c r="AA375" s="76">
        <v>2429</v>
      </c>
      <c r="AB375" s="72">
        <v>267</v>
      </c>
      <c r="AC375" s="76">
        <v>2162</v>
      </c>
      <c r="AD375" s="77">
        <v>0.5</v>
      </c>
    </row>
    <row r="376" spans="1:30" ht="12.75" x14ac:dyDescent="0.2">
      <c r="A376" s="83" t="s">
        <v>495</v>
      </c>
      <c r="B376" s="72">
        <v>372</v>
      </c>
      <c r="C376" s="72">
        <v>0</v>
      </c>
      <c r="D376" s="72">
        <v>0</v>
      </c>
      <c r="E376" s="72">
        <v>0</v>
      </c>
      <c r="F376" s="72">
        <v>372</v>
      </c>
      <c r="G376" s="73">
        <v>0</v>
      </c>
      <c r="H376" s="74">
        <v>186</v>
      </c>
      <c r="I376" s="74">
        <v>0</v>
      </c>
      <c r="J376" s="72">
        <v>223</v>
      </c>
      <c r="K376" s="72">
        <v>13</v>
      </c>
      <c r="L376" s="72">
        <v>0</v>
      </c>
      <c r="M376" s="72">
        <v>13</v>
      </c>
      <c r="N376" s="72">
        <v>210</v>
      </c>
      <c r="O376" s="72">
        <v>13</v>
      </c>
      <c r="P376" s="72">
        <v>210</v>
      </c>
      <c r="Q376" s="75">
        <v>5.8000000000000003E-2</v>
      </c>
      <c r="R376" s="75">
        <v>5.8000000000000003E-2</v>
      </c>
      <c r="S376" s="72">
        <v>238</v>
      </c>
      <c r="T376" s="72">
        <v>0</v>
      </c>
      <c r="U376" s="72">
        <v>238</v>
      </c>
      <c r="V376" s="75">
        <v>0</v>
      </c>
      <c r="W376" s="72">
        <v>564</v>
      </c>
      <c r="X376" s="72">
        <v>239</v>
      </c>
      <c r="Y376" s="72">
        <v>325</v>
      </c>
      <c r="Z376" s="75">
        <v>0.42399999999999999</v>
      </c>
      <c r="AA376" s="76">
        <v>1397</v>
      </c>
      <c r="AB376" s="72">
        <v>252</v>
      </c>
      <c r="AC376" s="76">
        <v>1145</v>
      </c>
      <c r="AD376" s="77">
        <v>0.5</v>
      </c>
    </row>
    <row r="377" spans="1:30" ht="12.75" x14ac:dyDescent="0.2">
      <c r="A377" s="83" t="s">
        <v>618</v>
      </c>
      <c r="B377" s="72">
        <v>706</v>
      </c>
      <c r="C377" s="72">
        <v>7</v>
      </c>
      <c r="D377" s="72">
        <v>7</v>
      </c>
      <c r="E377" s="72">
        <v>0</v>
      </c>
      <c r="F377" s="72">
        <v>699</v>
      </c>
      <c r="G377" s="73">
        <v>0.01</v>
      </c>
      <c r="H377" s="74">
        <v>353</v>
      </c>
      <c r="I377" s="74">
        <v>0</v>
      </c>
      <c r="J377" s="72">
        <v>429</v>
      </c>
      <c r="K377" s="72">
        <v>112</v>
      </c>
      <c r="L377" s="72">
        <v>71</v>
      </c>
      <c r="M377" s="72">
        <v>41</v>
      </c>
      <c r="N377" s="72">
        <v>317</v>
      </c>
      <c r="O377" s="72">
        <v>112</v>
      </c>
      <c r="P377" s="72">
        <v>317</v>
      </c>
      <c r="Q377" s="75">
        <v>0.26100000000000001</v>
      </c>
      <c r="R377" s="75">
        <v>0.26100000000000001</v>
      </c>
      <c r="S377" s="72">
        <v>502</v>
      </c>
      <c r="T377" s="72">
        <v>0</v>
      </c>
      <c r="U377" s="72">
        <v>502</v>
      </c>
      <c r="V377" s="75">
        <v>0</v>
      </c>
      <c r="W377" s="76">
        <v>1152</v>
      </c>
      <c r="X377" s="76">
        <v>1722</v>
      </c>
      <c r="Y377" s="72">
        <v>0</v>
      </c>
      <c r="Z377" s="78">
        <v>1.4950000000000001</v>
      </c>
      <c r="AA377" s="76">
        <v>2789</v>
      </c>
      <c r="AB377" s="76">
        <v>1841</v>
      </c>
      <c r="AC377" s="76">
        <v>1518</v>
      </c>
      <c r="AD377" s="77">
        <v>0.5</v>
      </c>
    </row>
    <row r="378" spans="1:30" ht="12.75" x14ac:dyDescent="0.2">
      <c r="A378" s="83" t="s">
        <v>370</v>
      </c>
      <c r="B378" s="72">
        <v>393</v>
      </c>
      <c r="C378" s="72">
        <v>55</v>
      </c>
      <c r="D378" s="72">
        <v>55</v>
      </c>
      <c r="E378" s="72">
        <v>0</v>
      </c>
      <c r="F378" s="72">
        <v>338</v>
      </c>
      <c r="G378" s="73">
        <v>0.14000000000000001</v>
      </c>
      <c r="H378" s="74">
        <v>147</v>
      </c>
      <c r="I378" s="74">
        <v>0</v>
      </c>
      <c r="J378" s="72">
        <v>204</v>
      </c>
      <c r="K378" s="72">
        <v>1</v>
      </c>
      <c r="L378" s="72">
        <v>0</v>
      </c>
      <c r="M378" s="72">
        <v>1</v>
      </c>
      <c r="N378" s="72">
        <v>203</v>
      </c>
      <c r="O378" s="72">
        <v>1</v>
      </c>
      <c r="P378" s="72">
        <v>203</v>
      </c>
      <c r="Q378" s="75">
        <v>5.0000000000000001E-3</v>
      </c>
      <c r="R378" s="75">
        <v>5.0000000000000001E-3</v>
      </c>
      <c r="S378" s="72">
        <v>161</v>
      </c>
      <c r="T378" s="72">
        <v>36</v>
      </c>
      <c r="U378" s="72">
        <v>125</v>
      </c>
      <c r="V378" s="75">
        <v>0.224</v>
      </c>
      <c r="W378" s="72">
        <v>553</v>
      </c>
      <c r="X378" s="72">
        <v>7</v>
      </c>
      <c r="Y378" s="72">
        <v>546</v>
      </c>
      <c r="Z378" s="75">
        <v>1.2999999999999999E-2</v>
      </c>
      <c r="AA378" s="76">
        <v>1311</v>
      </c>
      <c r="AB378" s="72">
        <v>99</v>
      </c>
      <c r="AC378" s="76">
        <v>1212</v>
      </c>
      <c r="AD378" s="77">
        <v>0.375</v>
      </c>
    </row>
    <row r="379" spans="1:30" ht="12.75" x14ac:dyDescent="0.2">
      <c r="A379" s="83" t="s">
        <v>619</v>
      </c>
      <c r="B379" s="72">
        <v>636</v>
      </c>
      <c r="C379" s="72">
        <v>0</v>
      </c>
      <c r="D379" s="72">
        <v>0</v>
      </c>
      <c r="E379" s="72">
        <v>0</v>
      </c>
      <c r="F379" s="72">
        <v>636</v>
      </c>
      <c r="G379" s="73">
        <v>0</v>
      </c>
      <c r="H379" s="74">
        <v>318</v>
      </c>
      <c r="I379" s="74">
        <v>0</v>
      </c>
      <c r="J379" s="72">
        <v>432</v>
      </c>
      <c r="K379" s="72">
        <v>0</v>
      </c>
      <c r="L379" s="72">
        <v>0</v>
      </c>
      <c r="M379" s="72">
        <v>0</v>
      </c>
      <c r="N379" s="72">
        <v>432</v>
      </c>
      <c r="O379" s="72">
        <v>0</v>
      </c>
      <c r="P379" s="72">
        <v>432</v>
      </c>
      <c r="Q379" s="75">
        <v>0</v>
      </c>
      <c r="R379" s="75">
        <v>0</v>
      </c>
      <c r="S379" s="72">
        <v>496</v>
      </c>
      <c r="T379" s="72">
        <v>0</v>
      </c>
      <c r="U379" s="72">
        <v>496</v>
      </c>
      <c r="V379" s="75">
        <v>0</v>
      </c>
      <c r="W379" s="76">
        <v>1151</v>
      </c>
      <c r="X379" s="72">
        <v>96</v>
      </c>
      <c r="Y379" s="76">
        <v>1055</v>
      </c>
      <c r="Z379" s="75">
        <v>8.3000000000000004E-2</v>
      </c>
      <c r="AA379" s="76">
        <v>2715</v>
      </c>
      <c r="AB379" s="72">
        <v>96</v>
      </c>
      <c r="AC379" s="76">
        <v>2619</v>
      </c>
      <c r="AD379" s="77">
        <v>0.5</v>
      </c>
    </row>
    <row r="380" spans="1:30" ht="12.75" x14ac:dyDescent="0.2">
      <c r="A380" s="83" t="s">
        <v>311</v>
      </c>
      <c r="B380" s="72">
        <v>438</v>
      </c>
      <c r="C380" s="72">
        <v>79</v>
      </c>
      <c r="D380" s="72">
        <v>79</v>
      </c>
      <c r="E380" s="72">
        <v>0</v>
      </c>
      <c r="F380" s="72">
        <v>359</v>
      </c>
      <c r="G380" s="73">
        <v>0.18</v>
      </c>
      <c r="H380" s="74">
        <v>219</v>
      </c>
      <c r="I380" s="74">
        <v>0</v>
      </c>
      <c r="J380" s="72">
        <v>305</v>
      </c>
      <c r="K380" s="72">
        <v>79</v>
      </c>
      <c r="L380" s="72">
        <v>79</v>
      </c>
      <c r="M380" s="72">
        <v>0</v>
      </c>
      <c r="N380" s="72">
        <v>226</v>
      </c>
      <c r="O380" s="72">
        <v>79</v>
      </c>
      <c r="P380" s="72">
        <v>226</v>
      </c>
      <c r="Q380" s="75">
        <v>0.25900000000000001</v>
      </c>
      <c r="R380" s="75">
        <v>0.25900000000000001</v>
      </c>
      <c r="S380" s="72">
        <v>410</v>
      </c>
      <c r="T380" s="72">
        <v>0</v>
      </c>
      <c r="U380" s="72">
        <v>410</v>
      </c>
      <c r="V380" s="75">
        <v>0</v>
      </c>
      <c r="W380" s="76">
        <v>1282</v>
      </c>
      <c r="X380" s="72">
        <v>227</v>
      </c>
      <c r="Y380" s="76">
        <v>1055</v>
      </c>
      <c r="Z380" s="75">
        <v>0.17699999999999999</v>
      </c>
      <c r="AA380" s="76">
        <v>2435</v>
      </c>
      <c r="AB380" s="72">
        <v>385</v>
      </c>
      <c r="AC380" s="76">
        <v>2050</v>
      </c>
      <c r="AD380" s="77">
        <v>0.5</v>
      </c>
    </row>
    <row r="381" spans="1:30" ht="12.75" x14ac:dyDescent="0.2">
      <c r="A381" s="83" t="s">
        <v>620</v>
      </c>
      <c r="B381" s="72">
        <v>159</v>
      </c>
      <c r="C381" s="72">
        <v>0</v>
      </c>
      <c r="D381" s="72">
        <v>0</v>
      </c>
      <c r="E381" s="72">
        <v>0</v>
      </c>
      <c r="F381" s="72">
        <v>159</v>
      </c>
      <c r="G381" s="73">
        <v>0</v>
      </c>
      <c r="H381" s="74">
        <v>60</v>
      </c>
      <c r="I381" s="74">
        <v>0</v>
      </c>
      <c r="J381" s="72">
        <v>131</v>
      </c>
      <c r="K381" s="72">
        <v>0</v>
      </c>
      <c r="L381" s="72">
        <v>0</v>
      </c>
      <c r="M381" s="72">
        <v>0</v>
      </c>
      <c r="N381" s="72">
        <v>131</v>
      </c>
      <c r="O381" s="72">
        <v>0</v>
      </c>
      <c r="P381" s="72">
        <v>131</v>
      </c>
      <c r="Q381" s="75">
        <v>0</v>
      </c>
      <c r="R381" s="75">
        <v>0</v>
      </c>
      <c r="S381" s="72">
        <v>207</v>
      </c>
      <c r="T381" s="72">
        <v>0</v>
      </c>
      <c r="U381" s="72">
        <v>207</v>
      </c>
      <c r="V381" s="75">
        <v>0</v>
      </c>
      <c r="W381" s="72">
        <v>848</v>
      </c>
      <c r="X381" s="72">
        <v>0</v>
      </c>
      <c r="Y381" s="72">
        <v>848</v>
      </c>
      <c r="Z381" s="75">
        <v>0</v>
      </c>
      <c r="AA381" s="76">
        <v>1345</v>
      </c>
      <c r="AB381" s="72">
        <v>0</v>
      </c>
      <c r="AC381" s="76">
        <v>1345</v>
      </c>
      <c r="AD381" s="77">
        <v>0.375</v>
      </c>
    </row>
    <row r="382" spans="1:30" ht="12.75" x14ac:dyDescent="0.2">
      <c r="A382" s="83" t="s">
        <v>406</v>
      </c>
      <c r="B382" s="72">
        <v>8</v>
      </c>
      <c r="C382" s="72">
        <v>0</v>
      </c>
      <c r="D382" s="72">
        <v>0</v>
      </c>
      <c r="E382" s="72">
        <v>0</v>
      </c>
      <c r="F382" s="72">
        <v>8</v>
      </c>
      <c r="G382" s="73">
        <v>0</v>
      </c>
      <c r="H382" s="74">
        <v>8</v>
      </c>
      <c r="I382" s="74">
        <v>0</v>
      </c>
      <c r="J382" s="72">
        <v>4</v>
      </c>
      <c r="K382" s="72">
        <v>0</v>
      </c>
      <c r="L382" s="72">
        <v>0</v>
      </c>
      <c r="M382" s="72">
        <v>0</v>
      </c>
      <c r="N382" s="72">
        <v>4</v>
      </c>
      <c r="O382" s="72">
        <v>0</v>
      </c>
      <c r="P382" s="72">
        <v>4</v>
      </c>
      <c r="Q382" s="75">
        <v>0</v>
      </c>
      <c r="R382" s="75">
        <v>0</v>
      </c>
      <c r="S382" s="72">
        <v>4</v>
      </c>
      <c r="T382" s="72">
        <v>0</v>
      </c>
      <c r="U382" s="72">
        <v>4</v>
      </c>
      <c r="V382" s="75">
        <v>0</v>
      </c>
      <c r="W382" s="72">
        <v>15</v>
      </c>
      <c r="X382" s="72">
        <v>1</v>
      </c>
      <c r="Y382" s="72">
        <v>14</v>
      </c>
      <c r="Z382" s="75">
        <v>6.7000000000000004E-2</v>
      </c>
      <c r="AA382" s="72">
        <v>31</v>
      </c>
      <c r="AB382" s="72">
        <v>1</v>
      </c>
      <c r="AC382" s="72">
        <v>30</v>
      </c>
      <c r="AD382" s="77">
        <v>1</v>
      </c>
    </row>
    <row r="383" spans="1:30" ht="12.75" x14ac:dyDescent="0.2">
      <c r="A383" s="83" t="s">
        <v>622</v>
      </c>
      <c r="B383" s="72">
        <v>45</v>
      </c>
      <c r="C383" s="72">
        <v>0</v>
      </c>
      <c r="D383" s="72">
        <v>0</v>
      </c>
      <c r="E383" s="72">
        <v>0</v>
      </c>
      <c r="F383" s="72">
        <v>45</v>
      </c>
      <c r="G383" s="73">
        <v>0</v>
      </c>
      <c r="H383" s="74">
        <v>23</v>
      </c>
      <c r="I383" s="74">
        <v>0</v>
      </c>
      <c r="J383" s="72">
        <v>36</v>
      </c>
      <c r="K383" s="72">
        <v>4</v>
      </c>
      <c r="L383" s="72">
        <v>0</v>
      </c>
      <c r="M383" s="72">
        <v>4</v>
      </c>
      <c r="N383" s="72">
        <v>32</v>
      </c>
      <c r="O383" s="72">
        <v>4</v>
      </c>
      <c r="P383" s="72">
        <v>32</v>
      </c>
      <c r="Q383" s="75">
        <v>0.111</v>
      </c>
      <c r="R383" s="75">
        <v>0.111</v>
      </c>
      <c r="S383" s="72">
        <v>48</v>
      </c>
      <c r="T383" s="72">
        <v>155</v>
      </c>
      <c r="U383" s="72">
        <v>0</v>
      </c>
      <c r="V383" s="78">
        <v>3.2290000000000001</v>
      </c>
      <c r="W383" s="72">
        <v>170</v>
      </c>
      <c r="X383" s="72">
        <v>317</v>
      </c>
      <c r="Y383" s="72">
        <v>0</v>
      </c>
      <c r="Z383" s="78">
        <v>1.865</v>
      </c>
      <c r="AA383" s="72">
        <v>299</v>
      </c>
      <c r="AB383" s="72">
        <v>476</v>
      </c>
      <c r="AC383" s="72">
        <v>77</v>
      </c>
      <c r="AD383" s="77">
        <v>0.5</v>
      </c>
    </row>
    <row r="384" spans="1:30" ht="12.75" x14ac:dyDescent="0.2">
      <c r="A384" s="83" t="s">
        <v>624</v>
      </c>
      <c r="B384" s="72">
        <v>308</v>
      </c>
      <c r="C384" s="72">
        <v>0</v>
      </c>
      <c r="D384" s="72">
        <v>0</v>
      </c>
      <c r="E384" s="72">
        <v>0</v>
      </c>
      <c r="F384" s="72">
        <v>308</v>
      </c>
      <c r="G384" s="73">
        <v>0</v>
      </c>
      <c r="H384" s="74">
        <v>116</v>
      </c>
      <c r="I384" s="74">
        <v>0</v>
      </c>
      <c r="J384" s="72">
        <v>215</v>
      </c>
      <c r="K384" s="72">
        <v>0</v>
      </c>
      <c r="L384" s="72">
        <v>0</v>
      </c>
      <c r="M384" s="72">
        <v>0</v>
      </c>
      <c r="N384" s="72">
        <v>215</v>
      </c>
      <c r="O384" s="72">
        <v>0</v>
      </c>
      <c r="P384" s="72">
        <v>215</v>
      </c>
      <c r="Q384" s="75">
        <v>0</v>
      </c>
      <c r="R384" s="75">
        <v>0</v>
      </c>
      <c r="S384" s="72">
        <v>231</v>
      </c>
      <c r="T384" s="72">
        <v>0</v>
      </c>
      <c r="U384" s="72">
        <v>231</v>
      </c>
      <c r="V384" s="75">
        <v>0</v>
      </c>
      <c r="W384" s="72">
        <v>726</v>
      </c>
      <c r="X384" s="72">
        <v>0</v>
      </c>
      <c r="Y384" s="72">
        <v>726</v>
      </c>
      <c r="Z384" s="75">
        <v>0</v>
      </c>
      <c r="AA384" s="76">
        <v>1480</v>
      </c>
      <c r="AB384" s="72">
        <v>0</v>
      </c>
      <c r="AC384" s="76">
        <v>1480</v>
      </c>
      <c r="AD384" s="77">
        <v>0.375</v>
      </c>
    </row>
    <row r="385" spans="1:30" ht="12.75" x14ac:dyDescent="0.2">
      <c r="A385" s="83" t="s">
        <v>625</v>
      </c>
      <c r="B385" s="72">
        <v>321</v>
      </c>
      <c r="C385" s="72">
        <v>33</v>
      </c>
      <c r="D385" s="72">
        <v>33</v>
      </c>
      <c r="E385" s="72">
        <v>0</v>
      </c>
      <c r="F385" s="72">
        <v>288</v>
      </c>
      <c r="G385" s="73">
        <v>0.10299999999999999</v>
      </c>
      <c r="H385" s="74">
        <v>120</v>
      </c>
      <c r="I385" s="74">
        <v>0</v>
      </c>
      <c r="J385" s="72">
        <v>206</v>
      </c>
      <c r="K385" s="72">
        <v>38</v>
      </c>
      <c r="L385" s="72">
        <v>38</v>
      </c>
      <c r="M385" s="72">
        <v>0</v>
      </c>
      <c r="N385" s="72">
        <v>168</v>
      </c>
      <c r="O385" s="72">
        <v>38</v>
      </c>
      <c r="P385" s="72">
        <v>168</v>
      </c>
      <c r="Q385" s="75">
        <v>0.184</v>
      </c>
      <c r="R385" s="75">
        <v>0.184</v>
      </c>
      <c r="S385" s="72">
        <v>217</v>
      </c>
      <c r="T385" s="72">
        <v>0</v>
      </c>
      <c r="U385" s="72">
        <v>217</v>
      </c>
      <c r="V385" s="75">
        <v>0</v>
      </c>
      <c r="W385" s="72">
        <v>536</v>
      </c>
      <c r="X385" s="72">
        <v>103</v>
      </c>
      <c r="Y385" s="72">
        <v>433</v>
      </c>
      <c r="Z385" s="75">
        <v>0.192</v>
      </c>
      <c r="AA385" s="76">
        <v>1280</v>
      </c>
      <c r="AB385" s="72">
        <v>174</v>
      </c>
      <c r="AC385" s="76">
        <v>1106</v>
      </c>
      <c r="AD385" s="77">
        <v>0.375</v>
      </c>
    </row>
    <row r="386" spans="1:30" ht="12.75" x14ac:dyDescent="0.2">
      <c r="A386" s="83" t="s">
        <v>481</v>
      </c>
      <c r="B386" s="76">
        <v>2002</v>
      </c>
      <c r="C386" s="72">
        <v>4</v>
      </c>
      <c r="D386" s="72">
        <v>0</v>
      </c>
      <c r="E386" s="72">
        <v>4</v>
      </c>
      <c r="F386" s="76">
        <v>1998</v>
      </c>
      <c r="G386" s="73">
        <v>2E-3</v>
      </c>
      <c r="H386" s="74">
        <v>1001</v>
      </c>
      <c r="I386" s="74">
        <v>0</v>
      </c>
      <c r="J386" s="76">
        <v>1336</v>
      </c>
      <c r="K386" s="72">
        <v>0</v>
      </c>
      <c r="L386" s="72">
        <v>0</v>
      </c>
      <c r="M386" s="72">
        <v>0</v>
      </c>
      <c r="N386" s="76">
        <v>1336</v>
      </c>
      <c r="O386" s="72">
        <v>0</v>
      </c>
      <c r="P386" s="76">
        <v>1336</v>
      </c>
      <c r="Q386" s="75">
        <v>0</v>
      </c>
      <c r="R386" s="75">
        <v>0</v>
      </c>
      <c r="S386" s="76">
        <v>1503</v>
      </c>
      <c r="T386" s="72">
        <v>12</v>
      </c>
      <c r="U386" s="76">
        <v>1491</v>
      </c>
      <c r="V386" s="75">
        <v>8.0000000000000002E-3</v>
      </c>
      <c r="W386" s="76">
        <v>3442</v>
      </c>
      <c r="X386" s="72">
        <v>671</v>
      </c>
      <c r="Y386" s="76">
        <v>2771</v>
      </c>
      <c r="Z386" s="75">
        <v>0.19500000000000001</v>
      </c>
      <c r="AA386" s="76">
        <v>8283</v>
      </c>
      <c r="AB386" s="72">
        <v>687</v>
      </c>
      <c r="AC386" s="76">
        <v>7596</v>
      </c>
      <c r="AD386" s="77">
        <v>0.5</v>
      </c>
    </row>
    <row r="387" spans="1:30" ht="12.75" x14ac:dyDescent="0.2">
      <c r="A387" s="83" t="s">
        <v>627</v>
      </c>
      <c r="B387" s="76">
        <v>7173</v>
      </c>
      <c r="C387" s="72">
        <v>221</v>
      </c>
      <c r="D387" s="72">
        <v>212</v>
      </c>
      <c r="E387" s="72">
        <v>9</v>
      </c>
      <c r="F387" s="76">
        <v>6952</v>
      </c>
      <c r="G387" s="73">
        <v>3.1E-2</v>
      </c>
      <c r="H387" s="74">
        <v>3587</v>
      </c>
      <c r="I387" s="74">
        <v>0</v>
      </c>
      <c r="J387" s="76">
        <v>4871</v>
      </c>
      <c r="K387" s="72">
        <v>82</v>
      </c>
      <c r="L387" s="72">
        <v>82</v>
      </c>
      <c r="M387" s="72">
        <v>0</v>
      </c>
      <c r="N387" s="76">
        <v>4789</v>
      </c>
      <c r="O387" s="72">
        <v>82</v>
      </c>
      <c r="P387" s="76">
        <v>4789</v>
      </c>
      <c r="Q387" s="75">
        <v>1.7000000000000001E-2</v>
      </c>
      <c r="R387" s="75">
        <v>1.7000000000000001E-2</v>
      </c>
      <c r="S387" s="76">
        <v>5534</v>
      </c>
      <c r="T387" s="76">
        <v>1033</v>
      </c>
      <c r="U387" s="76">
        <v>4501</v>
      </c>
      <c r="V387" s="75">
        <v>0.187</v>
      </c>
      <c r="W387" s="76">
        <v>12725</v>
      </c>
      <c r="X387" s="76">
        <v>4250</v>
      </c>
      <c r="Y387" s="76">
        <v>8475</v>
      </c>
      <c r="Z387" s="75">
        <v>0.33400000000000002</v>
      </c>
      <c r="AA387" s="76">
        <v>30303</v>
      </c>
      <c r="AB387" s="76">
        <v>5586</v>
      </c>
      <c r="AC387" s="76">
        <v>24717</v>
      </c>
      <c r="AD387" s="77">
        <v>0.5</v>
      </c>
    </row>
    <row r="388" spans="1:30" ht="12.75" x14ac:dyDescent="0.2">
      <c r="A388" s="83" t="s">
        <v>628</v>
      </c>
      <c r="B388" s="76">
        <v>1040</v>
      </c>
      <c r="C388" s="72">
        <v>0</v>
      </c>
      <c r="D388" s="72">
        <v>0</v>
      </c>
      <c r="E388" s="72">
        <v>0</v>
      </c>
      <c r="F388" s="76">
        <v>1040</v>
      </c>
      <c r="G388" s="73">
        <v>0</v>
      </c>
      <c r="H388" s="74">
        <v>520</v>
      </c>
      <c r="I388" s="74">
        <v>0</v>
      </c>
      <c r="J388" s="72">
        <v>729</v>
      </c>
      <c r="K388" s="72">
        <v>0</v>
      </c>
      <c r="L388" s="72">
        <v>0</v>
      </c>
      <c r="M388" s="72">
        <v>0</v>
      </c>
      <c r="N388" s="72">
        <v>729</v>
      </c>
      <c r="O388" s="72">
        <v>0</v>
      </c>
      <c r="P388" s="72">
        <v>729</v>
      </c>
      <c r="Q388" s="75">
        <v>0</v>
      </c>
      <c r="R388" s="75">
        <v>0</v>
      </c>
      <c r="S388" s="72">
        <v>709</v>
      </c>
      <c r="T388" s="72">
        <v>832</v>
      </c>
      <c r="U388" s="72">
        <v>0</v>
      </c>
      <c r="V388" s="78">
        <v>1.173</v>
      </c>
      <c r="W388" s="76">
        <v>1335</v>
      </c>
      <c r="X388" s="76">
        <v>2207</v>
      </c>
      <c r="Y388" s="72">
        <v>0</v>
      </c>
      <c r="Z388" s="78">
        <v>1.653</v>
      </c>
      <c r="AA388" s="76">
        <v>3813</v>
      </c>
      <c r="AB388" s="76">
        <v>3039</v>
      </c>
      <c r="AC388" s="76">
        <v>1769</v>
      </c>
      <c r="AD388" s="77">
        <v>0.5</v>
      </c>
    </row>
    <row r="389" spans="1:30" ht="12.75" x14ac:dyDescent="0.2">
      <c r="A389" s="83" t="s">
        <v>629</v>
      </c>
      <c r="B389" s="72">
        <v>181</v>
      </c>
      <c r="C389" s="72">
        <v>109</v>
      </c>
      <c r="D389" s="72">
        <v>109</v>
      </c>
      <c r="E389" s="72">
        <v>0</v>
      </c>
      <c r="F389" s="72">
        <v>72</v>
      </c>
      <c r="G389" s="79">
        <v>0.60199999999999998</v>
      </c>
      <c r="H389" s="74">
        <v>91</v>
      </c>
      <c r="I389" s="74">
        <v>18</v>
      </c>
      <c r="J389" s="72">
        <v>107</v>
      </c>
      <c r="K389" s="72">
        <v>109</v>
      </c>
      <c r="L389" s="72">
        <v>109</v>
      </c>
      <c r="M389" s="72">
        <v>0</v>
      </c>
      <c r="N389" s="72">
        <v>0</v>
      </c>
      <c r="O389" s="72">
        <v>127</v>
      </c>
      <c r="P389" s="72">
        <v>0</v>
      </c>
      <c r="Q389" s="78">
        <v>1.0189999999999999</v>
      </c>
      <c r="R389" s="78">
        <v>1.1870000000000001</v>
      </c>
      <c r="S389" s="72">
        <v>127</v>
      </c>
      <c r="T389" s="72">
        <v>19</v>
      </c>
      <c r="U389" s="72">
        <v>108</v>
      </c>
      <c r="V389" s="75">
        <v>0.15</v>
      </c>
      <c r="W389" s="72">
        <v>484</v>
      </c>
      <c r="X389" s="72">
        <v>941</v>
      </c>
      <c r="Y389" s="72">
        <v>0</v>
      </c>
      <c r="Z389" s="78">
        <v>1.944</v>
      </c>
      <c r="AA389" s="72">
        <v>899</v>
      </c>
      <c r="AB389" s="76">
        <v>1178</v>
      </c>
      <c r="AC389" s="72">
        <v>180</v>
      </c>
      <c r="AD389" s="77">
        <v>0.5</v>
      </c>
    </row>
    <row r="390" spans="1:30" ht="12.75" x14ac:dyDescent="0.2">
      <c r="A390" s="83" t="s">
        <v>630</v>
      </c>
      <c r="B390" s="72">
        <v>2</v>
      </c>
      <c r="C390" s="72">
        <v>0</v>
      </c>
      <c r="D390" s="72">
        <v>0</v>
      </c>
      <c r="E390" s="72">
        <v>0</v>
      </c>
      <c r="F390" s="72">
        <v>2</v>
      </c>
      <c r="G390" s="73">
        <v>0</v>
      </c>
      <c r="H390" s="74">
        <v>1</v>
      </c>
      <c r="I390" s="74">
        <v>0</v>
      </c>
      <c r="J390" s="72">
        <v>1</v>
      </c>
      <c r="K390" s="72">
        <v>0</v>
      </c>
      <c r="L390" s="72">
        <v>0</v>
      </c>
      <c r="M390" s="72">
        <v>0</v>
      </c>
      <c r="N390" s="72">
        <v>1</v>
      </c>
      <c r="O390" s="72">
        <v>0</v>
      </c>
      <c r="P390" s="72">
        <v>1</v>
      </c>
      <c r="Q390" s="75">
        <v>0</v>
      </c>
      <c r="R390" s="75">
        <v>0</v>
      </c>
      <c r="S390" s="72">
        <v>1</v>
      </c>
      <c r="T390" s="72">
        <v>0</v>
      </c>
      <c r="U390" s="72">
        <v>1</v>
      </c>
      <c r="V390" s="75">
        <v>0</v>
      </c>
      <c r="W390" s="72">
        <v>2</v>
      </c>
      <c r="X390" s="72">
        <v>0</v>
      </c>
      <c r="Y390" s="72">
        <v>2</v>
      </c>
      <c r="Z390" s="75">
        <v>0</v>
      </c>
      <c r="AA390" s="72">
        <v>6</v>
      </c>
      <c r="AB390" s="72">
        <v>0</v>
      </c>
      <c r="AC390" s="72">
        <v>6</v>
      </c>
      <c r="AD390" s="77">
        <v>0.5</v>
      </c>
    </row>
    <row r="391" spans="1:30" ht="12.75" x14ac:dyDescent="0.2">
      <c r="A391" s="83" t="s">
        <v>617</v>
      </c>
      <c r="B391" s="72">
        <v>1</v>
      </c>
      <c r="C391" s="72">
        <v>0</v>
      </c>
      <c r="D391" s="72">
        <v>0</v>
      </c>
      <c r="E391" s="72">
        <v>0</v>
      </c>
      <c r="F391" s="72">
        <v>1</v>
      </c>
      <c r="G391" s="73">
        <v>0</v>
      </c>
      <c r="H391" s="74">
        <v>1</v>
      </c>
      <c r="I391" s="74">
        <v>0</v>
      </c>
      <c r="J391" s="72">
        <v>1</v>
      </c>
      <c r="K391" s="72">
        <v>0</v>
      </c>
      <c r="L391" s="72">
        <v>0</v>
      </c>
      <c r="M391" s="72">
        <v>0</v>
      </c>
      <c r="N391" s="72">
        <v>1</v>
      </c>
      <c r="O391" s="72">
        <v>0</v>
      </c>
      <c r="P391" s="72">
        <v>1</v>
      </c>
      <c r="Q391" s="75">
        <v>0</v>
      </c>
      <c r="R391" s="75">
        <v>0</v>
      </c>
      <c r="S391" s="72">
        <v>1</v>
      </c>
      <c r="T391" s="72">
        <v>1</v>
      </c>
      <c r="U391" s="72">
        <v>0</v>
      </c>
      <c r="V391" s="78">
        <v>1</v>
      </c>
      <c r="W391" s="72">
        <v>2</v>
      </c>
      <c r="X391" s="72">
        <v>280</v>
      </c>
      <c r="Y391" s="72">
        <v>0</v>
      </c>
      <c r="Z391" s="78">
        <v>140</v>
      </c>
      <c r="AA391" s="72">
        <v>5</v>
      </c>
      <c r="AB391" s="72">
        <v>281</v>
      </c>
      <c r="AC391" s="72">
        <v>2</v>
      </c>
      <c r="AD391" s="77">
        <v>0.5</v>
      </c>
    </row>
    <row r="392" spans="1:30" ht="12.75" x14ac:dyDescent="0.2">
      <c r="A392" s="83" t="s">
        <v>496</v>
      </c>
      <c r="B392" s="72">
        <v>153</v>
      </c>
      <c r="C392" s="72">
        <v>0</v>
      </c>
      <c r="D392" s="72">
        <v>0</v>
      </c>
      <c r="E392" s="72">
        <v>0</v>
      </c>
      <c r="F392" s="72">
        <v>153</v>
      </c>
      <c r="G392" s="73">
        <v>0</v>
      </c>
      <c r="H392" s="74">
        <v>77</v>
      </c>
      <c r="I392" s="74">
        <v>0</v>
      </c>
      <c r="J392" s="72">
        <v>88</v>
      </c>
      <c r="K392" s="72">
        <v>9</v>
      </c>
      <c r="L392" s="72">
        <v>9</v>
      </c>
      <c r="M392" s="72">
        <v>0</v>
      </c>
      <c r="N392" s="72">
        <v>79</v>
      </c>
      <c r="O392" s="72">
        <v>9</v>
      </c>
      <c r="P392" s="72">
        <v>79</v>
      </c>
      <c r="Q392" s="75">
        <v>0.10199999999999999</v>
      </c>
      <c r="R392" s="75">
        <v>0.10199999999999999</v>
      </c>
      <c r="S392" s="72">
        <v>99</v>
      </c>
      <c r="T392" s="72">
        <v>51</v>
      </c>
      <c r="U392" s="72">
        <v>48</v>
      </c>
      <c r="V392" s="78">
        <v>0.51500000000000001</v>
      </c>
      <c r="W392" s="72">
        <v>262</v>
      </c>
      <c r="X392" s="72">
        <v>82</v>
      </c>
      <c r="Y392" s="72">
        <v>180</v>
      </c>
      <c r="Z392" s="75">
        <v>0.313</v>
      </c>
      <c r="AA392" s="72">
        <v>602</v>
      </c>
      <c r="AB392" s="72">
        <v>142</v>
      </c>
      <c r="AC392" s="72">
        <v>460</v>
      </c>
      <c r="AD392" s="77">
        <v>0.5</v>
      </c>
    </row>
    <row r="393" spans="1:30" ht="12.75" x14ac:dyDescent="0.2">
      <c r="A393" s="83" t="s">
        <v>632</v>
      </c>
      <c r="B393" s="76">
        <v>2268</v>
      </c>
      <c r="C393" s="72">
        <v>94</v>
      </c>
      <c r="D393" s="72">
        <v>94</v>
      </c>
      <c r="E393" s="72">
        <v>0</v>
      </c>
      <c r="F393" s="76">
        <v>2174</v>
      </c>
      <c r="G393" s="73">
        <v>4.1000000000000002E-2</v>
      </c>
      <c r="H393" s="74">
        <v>1134</v>
      </c>
      <c r="I393" s="74">
        <v>0</v>
      </c>
      <c r="J393" s="76">
        <v>1590</v>
      </c>
      <c r="K393" s="72">
        <v>32</v>
      </c>
      <c r="L393" s="72">
        <v>29</v>
      </c>
      <c r="M393" s="72">
        <v>3</v>
      </c>
      <c r="N393" s="76">
        <v>1558</v>
      </c>
      <c r="O393" s="72">
        <v>32</v>
      </c>
      <c r="P393" s="76">
        <v>1558</v>
      </c>
      <c r="Q393" s="75">
        <v>0.02</v>
      </c>
      <c r="R393" s="75">
        <v>0.02</v>
      </c>
      <c r="S393" s="76">
        <v>1577</v>
      </c>
      <c r="T393" s="76">
        <v>2507</v>
      </c>
      <c r="U393" s="72">
        <v>0</v>
      </c>
      <c r="V393" s="78">
        <v>1.59</v>
      </c>
      <c r="W393" s="76">
        <v>3043</v>
      </c>
      <c r="X393" s="76">
        <v>2961</v>
      </c>
      <c r="Y393" s="72">
        <v>82</v>
      </c>
      <c r="Z393" s="78">
        <v>0.97299999999999998</v>
      </c>
      <c r="AA393" s="76">
        <v>8478</v>
      </c>
      <c r="AB393" s="76">
        <v>5594</v>
      </c>
      <c r="AC393" s="76">
        <v>3814</v>
      </c>
      <c r="AD393" s="77">
        <v>0.5</v>
      </c>
    </row>
    <row r="394" spans="1:30" ht="12.75" x14ac:dyDescent="0.2">
      <c r="A394" s="83" t="s">
        <v>633</v>
      </c>
      <c r="B394" s="72">
        <v>6</v>
      </c>
      <c r="C394" s="72">
        <v>2</v>
      </c>
      <c r="D394" s="72">
        <v>2</v>
      </c>
      <c r="E394" s="72">
        <v>0</v>
      </c>
      <c r="F394" s="72">
        <v>4</v>
      </c>
      <c r="G394" s="73">
        <v>0.33300000000000002</v>
      </c>
      <c r="H394" s="74">
        <v>3</v>
      </c>
      <c r="I394" s="74">
        <v>0</v>
      </c>
      <c r="J394" s="72">
        <v>4</v>
      </c>
      <c r="K394" s="72">
        <v>0</v>
      </c>
      <c r="L394" s="72">
        <v>0</v>
      </c>
      <c r="M394" s="72">
        <v>0</v>
      </c>
      <c r="N394" s="72">
        <v>4</v>
      </c>
      <c r="O394" s="72">
        <v>0</v>
      </c>
      <c r="P394" s="72">
        <v>4</v>
      </c>
      <c r="Q394" s="75">
        <v>0</v>
      </c>
      <c r="R394" s="75">
        <v>0</v>
      </c>
      <c r="S394" s="72">
        <v>4</v>
      </c>
      <c r="T394" s="72">
        <v>3</v>
      </c>
      <c r="U394" s="72">
        <v>1</v>
      </c>
      <c r="V394" s="78">
        <v>0.75</v>
      </c>
      <c r="W394" s="72">
        <v>4</v>
      </c>
      <c r="X394" s="72">
        <v>1</v>
      </c>
      <c r="Y394" s="72">
        <v>3</v>
      </c>
      <c r="Z394" s="75">
        <v>0.25</v>
      </c>
      <c r="AA394" s="72">
        <v>18</v>
      </c>
      <c r="AB394" s="72">
        <v>6</v>
      </c>
      <c r="AC394" s="72">
        <v>12</v>
      </c>
      <c r="AD394" s="77">
        <v>0.5</v>
      </c>
    </row>
    <row r="395" spans="1:30" ht="12.75" x14ac:dyDescent="0.2">
      <c r="A395" s="83" t="s">
        <v>511</v>
      </c>
      <c r="B395" s="76">
        <v>4944</v>
      </c>
      <c r="C395" s="72">
        <v>208</v>
      </c>
      <c r="D395" s="72">
        <v>141</v>
      </c>
      <c r="E395" s="72">
        <v>67</v>
      </c>
      <c r="F395" s="76">
        <v>4736</v>
      </c>
      <c r="G395" s="73">
        <v>4.2000000000000003E-2</v>
      </c>
      <c r="H395" s="74">
        <v>2472</v>
      </c>
      <c r="I395" s="74">
        <v>0</v>
      </c>
      <c r="J395" s="76">
        <v>3467</v>
      </c>
      <c r="K395" s="72">
        <v>427</v>
      </c>
      <c r="L395" s="72">
        <v>205</v>
      </c>
      <c r="M395" s="72">
        <v>222</v>
      </c>
      <c r="N395" s="76">
        <v>3040</v>
      </c>
      <c r="O395" s="72">
        <v>427</v>
      </c>
      <c r="P395" s="76">
        <v>3040</v>
      </c>
      <c r="Q395" s="75">
        <v>0.123</v>
      </c>
      <c r="R395" s="75">
        <v>0.123</v>
      </c>
      <c r="S395" s="76">
        <v>4482</v>
      </c>
      <c r="T395" s="76">
        <v>3884</v>
      </c>
      <c r="U395" s="72">
        <v>598</v>
      </c>
      <c r="V395" s="78">
        <v>0.86699999999999999</v>
      </c>
      <c r="W395" s="76">
        <v>11208</v>
      </c>
      <c r="X395" s="76">
        <v>4097</v>
      </c>
      <c r="Y395" s="76">
        <v>7111</v>
      </c>
      <c r="Z395" s="75">
        <v>0.36599999999999999</v>
      </c>
      <c r="AA395" s="76">
        <v>24101</v>
      </c>
      <c r="AB395" s="76">
        <v>8616</v>
      </c>
      <c r="AC395" s="76">
        <v>15485</v>
      </c>
      <c r="AD395" s="77">
        <v>0.5</v>
      </c>
    </row>
    <row r="396" spans="1:30" ht="12.75" x14ac:dyDescent="0.2">
      <c r="A396" s="83" t="s">
        <v>634</v>
      </c>
      <c r="B396" s="76">
        <v>3149</v>
      </c>
      <c r="C396" s="72">
        <v>76</v>
      </c>
      <c r="D396" s="72">
        <v>76</v>
      </c>
      <c r="E396" s="72">
        <v>0</v>
      </c>
      <c r="F396" s="76">
        <v>3073</v>
      </c>
      <c r="G396" s="73">
        <v>2.4E-2</v>
      </c>
      <c r="H396" s="74">
        <v>1575</v>
      </c>
      <c r="I396" s="74">
        <v>0</v>
      </c>
      <c r="J396" s="76">
        <v>2208</v>
      </c>
      <c r="K396" s="72">
        <v>129</v>
      </c>
      <c r="L396" s="72">
        <v>129</v>
      </c>
      <c r="M396" s="72">
        <v>0</v>
      </c>
      <c r="N396" s="76">
        <v>2079</v>
      </c>
      <c r="O396" s="72">
        <v>129</v>
      </c>
      <c r="P396" s="76">
        <v>2079</v>
      </c>
      <c r="Q396" s="75">
        <v>5.8000000000000003E-2</v>
      </c>
      <c r="R396" s="75">
        <v>5.8000000000000003E-2</v>
      </c>
      <c r="S396" s="76">
        <v>2574</v>
      </c>
      <c r="T396" s="76">
        <v>1159</v>
      </c>
      <c r="U396" s="76">
        <v>1415</v>
      </c>
      <c r="V396" s="75">
        <v>0.45</v>
      </c>
      <c r="W396" s="76">
        <v>5913</v>
      </c>
      <c r="X396" s="76">
        <v>1902</v>
      </c>
      <c r="Y396" s="76">
        <v>4011</v>
      </c>
      <c r="Z396" s="75">
        <v>0.32200000000000001</v>
      </c>
      <c r="AA396" s="76">
        <v>13844</v>
      </c>
      <c r="AB396" s="76">
        <v>3266</v>
      </c>
      <c r="AC396" s="76">
        <v>10578</v>
      </c>
      <c r="AD396" s="77">
        <v>0.5</v>
      </c>
    </row>
    <row r="397" spans="1:30" ht="12.75" x14ac:dyDescent="0.2">
      <c r="A397" s="83" t="s">
        <v>635</v>
      </c>
      <c r="B397" s="72">
        <v>8</v>
      </c>
      <c r="C397" s="72">
        <v>5</v>
      </c>
      <c r="D397" s="72">
        <v>5</v>
      </c>
      <c r="E397" s="72">
        <v>0</v>
      </c>
      <c r="F397" s="72">
        <v>3</v>
      </c>
      <c r="G397" s="79">
        <v>0.625</v>
      </c>
      <c r="H397" s="74">
        <v>4</v>
      </c>
      <c r="I397" s="74">
        <v>1</v>
      </c>
      <c r="J397" s="72">
        <v>5</v>
      </c>
      <c r="K397" s="72">
        <v>3</v>
      </c>
      <c r="L397" s="72">
        <v>3</v>
      </c>
      <c r="M397" s="72">
        <v>0</v>
      </c>
      <c r="N397" s="72">
        <v>2</v>
      </c>
      <c r="O397" s="72">
        <v>4</v>
      </c>
      <c r="P397" s="72">
        <v>1</v>
      </c>
      <c r="Q397" s="78">
        <v>0.6</v>
      </c>
      <c r="R397" s="78">
        <v>0.8</v>
      </c>
      <c r="S397" s="72">
        <v>5</v>
      </c>
      <c r="T397" s="72">
        <v>4</v>
      </c>
      <c r="U397" s="72">
        <v>1</v>
      </c>
      <c r="V397" s="78">
        <v>0.8</v>
      </c>
      <c r="W397" s="72">
        <v>13</v>
      </c>
      <c r="X397" s="72">
        <v>50</v>
      </c>
      <c r="Y397" s="72">
        <v>0</v>
      </c>
      <c r="Z397" s="78">
        <v>3.8460000000000001</v>
      </c>
      <c r="AA397" s="72">
        <v>31</v>
      </c>
      <c r="AB397" s="72">
        <v>62</v>
      </c>
      <c r="AC397" s="72">
        <v>6</v>
      </c>
      <c r="AD397" s="77">
        <v>0.5</v>
      </c>
    </row>
    <row r="398" spans="1:30" ht="12.75" x14ac:dyDescent="0.2">
      <c r="A398" s="83" t="s">
        <v>636</v>
      </c>
      <c r="B398" s="72">
        <v>537</v>
      </c>
      <c r="C398" s="72">
        <v>116</v>
      </c>
      <c r="D398" s="72">
        <v>116</v>
      </c>
      <c r="E398" s="72">
        <v>0</v>
      </c>
      <c r="F398" s="72">
        <v>421</v>
      </c>
      <c r="G398" s="73">
        <v>0.216</v>
      </c>
      <c r="H398" s="74">
        <v>201</v>
      </c>
      <c r="I398" s="74">
        <v>0</v>
      </c>
      <c r="J398" s="72">
        <v>351</v>
      </c>
      <c r="K398" s="72">
        <v>69</v>
      </c>
      <c r="L398" s="72">
        <v>69</v>
      </c>
      <c r="M398" s="72">
        <v>0</v>
      </c>
      <c r="N398" s="72">
        <v>282</v>
      </c>
      <c r="O398" s="72">
        <v>69</v>
      </c>
      <c r="P398" s="72">
        <v>282</v>
      </c>
      <c r="Q398" s="75">
        <v>0.19700000000000001</v>
      </c>
      <c r="R398" s="75">
        <v>0.19700000000000001</v>
      </c>
      <c r="S398" s="72">
        <v>407</v>
      </c>
      <c r="T398" s="72">
        <v>4</v>
      </c>
      <c r="U398" s="72">
        <v>403</v>
      </c>
      <c r="V398" s="75">
        <v>0.01</v>
      </c>
      <c r="W398" s="72">
        <v>934</v>
      </c>
      <c r="X398" s="72">
        <v>201</v>
      </c>
      <c r="Y398" s="72">
        <v>733</v>
      </c>
      <c r="Z398" s="75">
        <v>0.215</v>
      </c>
      <c r="AA398" s="76">
        <v>2229</v>
      </c>
      <c r="AB398" s="72">
        <v>390</v>
      </c>
      <c r="AC398" s="76">
        <v>1839</v>
      </c>
      <c r="AD398" s="77">
        <v>0.375</v>
      </c>
    </row>
    <row r="399" spans="1:30" ht="12.75" x14ac:dyDescent="0.2">
      <c r="A399" s="83" t="s">
        <v>637</v>
      </c>
      <c r="B399" s="72">
        <v>33</v>
      </c>
      <c r="C399" s="72">
        <v>15</v>
      </c>
      <c r="D399" s="72">
        <v>12</v>
      </c>
      <c r="E399" s="72">
        <v>3</v>
      </c>
      <c r="F399" s="72">
        <v>18</v>
      </c>
      <c r="G399" s="73">
        <v>0.45500000000000002</v>
      </c>
      <c r="H399" s="74">
        <v>17</v>
      </c>
      <c r="I399" s="74">
        <v>0</v>
      </c>
      <c r="J399" s="72">
        <v>17</v>
      </c>
      <c r="K399" s="72">
        <v>21</v>
      </c>
      <c r="L399" s="72">
        <v>20</v>
      </c>
      <c r="M399" s="72">
        <v>1</v>
      </c>
      <c r="N399" s="72">
        <v>0</v>
      </c>
      <c r="O399" s="72">
        <v>21</v>
      </c>
      <c r="P399" s="72">
        <v>0</v>
      </c>
      <c r="Q399" s="78">
        <v>1.2350000000000001</v>
      </c>
      <c r="R399" s="78">
        <v>1.2350000000000001</v>
      </c>
      <c r="S399" s="72">
        <v>19</v>
      </c>
      <c r="T399" s="72">
        <v>16</v>
      </c>
      <c r="U399" s="72">
        <v>3</v>
      </c>
      <c r="V399" s="78">
        <v>0.84199999999999997</v>
      </c>
      <c r="W399" s="72">
        <v>37</v>
      </c>
      <c r="X399" s="72">
        <v>36</v>
      </c>
      <c r="Y399" s="72">
        <v>1</v>
      </c>
      <c r="Z399" s="78">
        <v>0.97299999999999998</v>
      </c>
      <c r="AA399" s="72">
        <v>106</v>
      </c>
      <c r="AB399" s="72">
        <v>88</v>
      </c>
      <c r="AC399" s="72">
        <v>22</v>
      </c>
      <c r="AD399" s="77">
        <v>0.5</v>
      </c>
    </row>
    <row r="400" spans="1:30" ht="12.75" x14ac:dyDescent="0.2">
      <c r="A400" s="83" t="s">
        <v>638</v>
      </c>
      <c r="B400" s="72">
        <v>198</v>
      </c>
      <c r="C400" s="72">
        <v>0</v>
      </c>
      <c r="D400" s="72">
        <v>0</v>
      </c>
      <c r="E400" s="72">
        <v>0</v>
      </c>
      <c r="F400" s="72">
        <v>198</v>
      </c>
      <c r="G400" s="73">
        <v>0</v>
      </c>
      <c r="H400" s="74">
        <v>74</v>
      </c>
      <c r="I400" s="74">
        <v>0</v>
      </c>
      <c r="J400" s="72">
        <v>120</v>
      </c>
      <c r="K400" s="72">
        <v>0</v>
      </c>
      <c r="L400" s="72">
        <v>0</v>
      </c>
      <c r="M400" s="72">
        <v>0</v>
      </c>
      <c r="N400" s="72">
        <v>120</v>
      </c>
      <c r="O400" s="72">
        <v>0</v>
      </c>
      <c r="P400" s="72">
        <v>120</v>
      </c>
      <c r="Q400" s="75">
        <v>0</v>
      </c>
      <c r="R400" s="75">
        <v>0</v>
      </c>
      <c r="S400" s="72">
        <v>164</v>
      </c>
      <c r="T400" s="72">
        <v>3</v>
      </c>
      <c r="U400" s="72">
        <v>161</v>
      </c>
      <c r="V400" s="75">
        <v>1.7999999999999999E-2</v>
      </c>
      <c r="W400" s="72">
        <v>355</v>
      </c>
      <c r="X400" s="72">
        <v>351</v>
      </c>
      <c r="Y400" s="72">
        <v>4</v>
      </c>
      <c r="Z400" s="78">
        <v>0.98899999999999999</v>
      </c>
      <c r="AA400" s="72">
        <v>837</v>
      </c>
      <c r="AB400" s="72">
        <v>354</v>
      </c>
      <c r="AC400" s="72">
        <v>483</v>
      </c>
      <c r="AD400" s="77">
        <v>0.375</v>
      </c>
    </row>
    <row r="401" spans="1:30" ht="12.75" x14ac:dyDescent="0.2">
      <c r="A401" s="83" t="s">
        <v>542</v>
      </c>
      <c r="B401" s="72">
        <v>980</v>
      </c>
      <c r="C401" s="72">
        <v>57</v>
      </c>
      <c r="D401" s="72">
        <v>57</v>
      </c>
      <c r="E401" s="72">
        <v>0</v>
      </c>
      <c r="F401" s="72">
        <v>923</v>
      </c>
      <c r="G401" s="73">
        <v>5.8000000000000003E-2</v>
      </c>
      <c r="H401" s="74">
        <v>490</v>
      </c>
      <c r="I401" s="74">
        <v>0</v>
      </c>
      <c r="J401" s="72">
        <v>696</v>
      </c>
      <c r="K401" s="72">
        <v>18</v>
      </c>
      <c r="L401" s="72">
        <v>18</v>
      </c>
      <c r="M401" s="72">
        <v>0</v>
      </c>
      <c r="N401" s="72">
        <v>678</v>
      </c>
      <c r="O401" s="72">
        <v>18</v>
      </c>
      <c r="P401" s="72">
        <v>678</v>
      </c>
      <c r="Q401" s="75">
        <v>2.5999999999999999E-2</v>
      </c>
      <c r="R401" s="75">
        <v>2.5999999999999999E-2</v>
      </c>
      <c r="S401" s="72">
        <v>808</v>
      </c>
      <c r="T401" s="72">
        <v>12</v>
      </c>
      <c r="U401" s="72">
        <v>796</v>
      </c>
      <c r="V401" s="75">
        <v>1.4999999999999999E-2</v>
      </c>
      <c r="W401" s="76">
        <v>1900</v>
      </c>
      <c r="X401" s="72">
        <v>90</v>
      </c>
      <c r="Y401" s="76">
        <v>1810</v>
      </c>
      <c r="Z401" s="75">
        <v>4.7E-2</v>
      </c>
      <c r="AA401" s="76">
        <v>4384</v>
      </c>
      <c r="AB401" s="72">
        <v>177</v>
      </c>
      <c r="AC401" s="76">
        <v>4207</v>
      </c>
      <c r="AD401" s="77">
        <v>0.5</v>
      </c>
    </row>
    <row r="402" spans="1:30" ht="12.75" x14ac:dyDescent="0.2">
      <c r="A402" s="83" t="s">
        <v>639</v>
      </c>
      <c r="B402" s="72">
        <v>9</v>
      </c>
      <c r="C402" s="72">
        <v>117</v>
      </c>
      <c r="D402" s="72">
        <v>51</v>
      </c>
      <c r="E402" s="72">
        <v>66</v>
      </c>
      <c r="F402" s="72">
        <v>0</v>
      </c>
      <c r="G402" s="79">
        <v>13</v>
      </c>
      <c r="H402" s="74">
        <v>5</v>
      </c>
      <c r="I402" s="74">
        <v>112</v>
      </c>
      <c r="J402" s="72">
        <v>6</v>
      </c>
      <c r="K402" s="72">
        <v>438</v>
      </c>
      <c r="L402" s="72">
        <v>23</v>
      </c>
      <c r="M402" s="72">
        <v>415</v>
      </c>
      <c r="N402" s="72">
        <v>0</v>
      </c>
      <c r="O402" s="72">
        <v>550</v>
      </c>
      <c r="P402" s="72">
        <v>0</v>
      </c>
      <c r="Q402" s="78">
        <v>73</v>
      </c>
      <c r="R402" s="78">
        <v>91.667000000000002</v>
      </c>
      <c r="S402" s="72">
        <v>7</v>
      </c>
      <c r="T402" s="72">
        <v>456</v>
      </c>
      <c r="U402" s="72">
        <v>0</v>
      </c>
      <c r="V402" s="78">
        <v>65.143000000000001</v>
      </c>
      <c r="W402" s="72">
        <v>17</v>
      </c>
      <c r="X402" s="72">
        <v>734</v>
      </c>
      <c r="Y402" s="72">
        <v>0</v>
      </c>
      <c r="Z402" s="78">
        <v>43.176000000000002</v>
      </c>
      <c r="AA402" s="72">
        <v>39</v>
      </c>
      <c r="AB402" s="76">
        <v>1745</v>
      </c>
      <c r="AC402" s="84">
        <v>0</v>
      </c>
      <c r="AD402" s="77">
        <v>0.5</v>
      </c>
    </row>
    <row r="403" spans="1:30" ht="12.75" x14ac:dyDescent="0.2">
      <c r="A403" s="83" t="s">
        <v>641</v>
      </c>
      <c r="B403" s="72">
        <v>358</v>
      </c>
      <c r="C403" s="72">
        <v>0</v>
      </c>
      <c r="D403" s="72">
        <v>0</v>
      </c>
      <c r="E403" s="72">
        <v>0</v>
      </c>
      <c r="F403" s="72">
        <v>358</v>
      </c>
      <c r="G403" s="73">
        <v>0</v>
      </c>
      <c r="H403" s="74">
        <v>179</v>
      </c>
      <c r="I403" s="74">
        <v>0</v>
      </c>
      <c r="J403" s="72">
        <v>161</v>
      </c>
      <c r="K403" s="72">
        <v>24</v>
      </c>
      <c r="L403" s="72">
        <v>18</v>
      </c>
      <c r="M403" s="72">
        <v>6</v>
      </c>
      <c r="N403" s="72">
        <v>137</v>
      </c>
      <c r="O403" s="72">
        <v>24</v>
      </c>
      <c r="P403" s="72">
        <v>137</v>
      </c>
      <c r="Q403" s="75">
        <v>0.14899999999999999</v>
      </c>
      <c r="R403" s="75">
        <v>0.14899999999999999</v>
      </c>
      <c r="S403" s="72">
        <v>205</v>
      </c>
      <c r="T403" s="72">
        <v>42</v>
      </c>
      <c r="U403" s="72">
        <v>163</v>
      </c>
      <c r="V403" s="75">
        <v>0.20499999999999999</v>
      </c>
      <c r="W403" s="72">
        <v>431</v>
      </c>
      <c r="X403" s="72">
        <v>53</v>
      </c>
      <c r="Y403" s="72">
        <v>378</v>
      </c>
      <c r="Z403" s="75">
        <v>0.123</v>
      </c>
      <c r="AA403" s="76">
        <v>1155</v>
      </c>
      <c r="AB403" s="72">
        <v>119</v>
      </c>
      <c r="AC403" s="76">
        <v>1036</v>
      </c>
      <c r="AD403" s="77">
        <v>0.5</v>
      </c>
    </row>
    <row r="404" spans="1:30" ht="12.75" x14ac:dyDescent="0.2">
      <c r="A404" s="83" t="s">
        <v>642</v>
      </c>
      <c r="B404" s="72">
        <v>861</v>
      </c>
      <c r="C404" s="72">
        <v>137</v>
      </c>
      <c r="D404" s="72">
        <v>137</v>
      </c>
      <c r="E404" s="72">
        <v>0</v>
      </c>
      <c r="F404" s="72">
        <v>724</v>
      </c>
      <c r="G404" s="73">
        <v>0.159</v>
      </c>
      <c r="H404" s="74">
        <v>431</v>
      </c>
      <c r="I404" s="74">
        <v>0</v>
      </c>
      <c r="J404" s="72">
        <v>591</v>
      </c>
      <c r="K404" s="72">
        <v>58</v>
      </c>
      <c r="L404" s="72">
        <v>58</v>
      </c>
      <c r="M404" s="72">
        <v>0</v>
      </c>
      <c r="N404" s="72">
        <v>533</v>
      </c>
      <c r="O404" s="72">
        <v>58</v>
      </c>
      <c r="P404" s="72">
        <v>533</v>
      </c>
      <c r="Q404" s="75">
        <v>9.8000000000000004E-2</v>
      </c>
      <c r="R404" s="75">
        <v>9.8000000000000004E-2</v>
      </c>
      <c r="S404" s="72">
        <v>673</v>
      </c>
      <c r="T404" s="72">
        <v>77</v>
      </c>
      <c r="U404" s="72">
        <v>596</v>
      </c>
      <c r="V404" s="75">
        <v>0.114</v>
      </c>
      <c r="W404" s="76">
        <v>1529</v>
      </c>
      <c r="X404" s="76">
        <v>1304</v>
      </c>
      <c r="Y404" s="72">
        <v>225</v>
      </c>
      <c r="Z404" s="78">
        <v>0.85299999999999998</v>
      </c>
      <c r="AA404" s="76">
        <v>3654</v>
      </c>
      <c r="AB404" s="76">
        <v>1576</v>
      </c>
      <c r="AC404" s="76">
        <v>2078</v>
      </c>
      <c r="AD404" s="77">
        <v>0.5</v>
      </c>
    </row>
    <row r="405" spans="1:30" ht="12.75" x14ac:dyDescent="0.2">
      <c r="A405" s="83" t="s">
        <v>643</v>
      </c>
      <c r="B405" s="72">
        <v>195</v>
      </c>
      <c r="C405" s="72">
        <v>5</v>
      </c>
      <c r="D405" s="72">
        <v>5</v>
      </c>
      <c r="E405" s="72">
        <v>0</v>
      </c>
      <c r="F405" s="72">
        <v>190</v>
      </c>
      <c r="G405" s="73">
        <v>2.5999999999999999E-2</v>
      </c>
      <c r="H405" s="74">
        <v>98</v>
      </c>
      <c r="I405" s="74">
        <v>0</v>
      </c>
      <c r="J405" s="72">
        <v>107</v>
      </c>
      <c r="K405" s="72">
        <v>13</v>
      </c>
      <c r="L405" s="72">
        <v>13</v>
      </c>
      <c r="M405" s="72">
        <v>0</v>
      </c>
      <c r="N405" s="72">
        <v>94</v>
      </c>
      <c r="O405" s="72">
        <v>13</v>
      </c>
      <c r="P405" s="72">
        <v>94</v>
      </c>
      <c r="Q405" s="75">
        <v>0.121</v>
      </c>
      <c r="R405" s="75">
        <v>0.121</v>
      </c>
      <c r="S405" s="72">
        <v>111</v>
      </c>
      <c r="T405" s="72">
        <v>11</v>
      </c>
      <c r="U405" s="72">
        <v>100</v>
      </c>
      <c r="V405" s="75">
        <v>9.9000000000000005E-2</v>
      </c>
      <c r="W405" s="72">
        <v>183</v>
      </c>
      <c r="X405" s="72">
        <v>434</v>
      </c>
      <c r="Y405" s="72">
        <v>0</v>
      </c>
      <c r="Z405" s="78">
        <v>2.3719999999999999</v>
      </c>
      <c r="AA405" s="72">
        <v>596</v>
      </c>
      <c r="AB405" s="72">
        <v>463</v>
      </c>
      <c r="AC405" s="72">
        <v>384</v>
      </c>
      <c r="AD405" s="77">
        <v>0.5</v>
      </c>
    </row>
    <row r="406" spans="1:30" ht="12.75" x14ac:dyDescent="0.2">
      <c r="A406" s="83" t="s">
        <v>644</v>
      </c>
      <c r="B406" s="72">
        <v>134</v>
      </c>
      <c r="C406" s="72">
        <v>65</v>
      </c>
      <c r="D406" s="72">
        <v>65</v>
      </c>
      <c r="E406" s="72">
        <v>0</v>
      </c>
      <c r="F406" s="72">
        <v>69</v>
      </c>
      <c r="G406" s="73">
        <v>0.48499999999999999</v>
      </c>
      <c r="H406" s="74">
        <v>67</v>
      </c>
      <c r="I406" s="74">
        <v>0</v>
      </c>
      <c r="J406" s="72">
        <v>95</v>
      </c>
      <c r="K406" s="72">
        <v>28</v>
      </c>
      <c r="L406" s="72">
        <v>28</v>
      </c>
      <c r="M406" s="72">
        <v>0</v>
      </c>
      <c r="N406" s="72">
        <v>67</v>
      </c>
      <c r="O406" s="72">
        <v>28</v>
      </c>
      <c r="P406" s="72">
        <v>67</v>
      </c>
      <c r="Q406" s="75">
        <v>0.29499999999999998</v>
      </c>
      <c r="R406" s="75">
        <v>0.29499999999999998</v>
      </c>
      <c r="S406" s="72">
        <v>108</v>
      </c>
      <c r="T406" s="72">
        <v>18</v>
      </c>
      <c r="U406" s="72">
        <v>90</v>
      </c>
      <c r="V406" s="75">
        <v>0.16700000000000001</v>
      </c>
      <c r="W406" s="72">
        <v>244</v>
      </c>
      <c r="X406" s="72">
        <v>485</v>
      </c>
      <c r="Y406" s="72">
        <v>0</v>
      </c>
      <c r="Z406" s="78">
        <v>1.988</v>
      </c>
      <c r="AA406" s="72">
        <v>581</v>
      </c>
      <c r="AB406" s="72">
        <v>596</v>
      </c>
      <c r="AC406" s="72">
        <v>226</v>
      </c>
      <c r="AD406" s="77">
        <v>0.5</v>
      </c>
    </row>
    <row r="407" spans="1:30" ht="12.75" x14ac:dyDescent="0.2">
      <c r="A407" s="83" t="s">
        <v>557</v>
      </c>
      <c r="B407" s="76">
        <v>21977</v>
      </c>
      <c r="C407" s="76">
        <v>1779</v>
      </c>
      <c r="D407" s="76">
        <v>1779</v>
      </c>
      <c r="E407" s="72">
        <v>0</v>
      </c>
      <c r="F407" s="76">
        <v>20198</v>
      </c>
      <c r="G407" s="73">
        <v>8.1000000000000003E-2</v>
      </c>
      <c r="H407" s="74">
        <v>10989</v>
      </c>
      <c r="I407" s="74">
        <v>0</v>
      </c>
      <c r="J407" s="76">
        <v>16703</v>
      </c>
      <c r="K407" s="76">
        <v>2302</v>
      </c>
      <c r="L407" s="76">
        <v>2296</v>
      </c>
      <c r="M407" s="72">
        <v>6</v>
      </c>
      <c r="N407" s="76">
        <v>14401</v>
      </c>
      <c r="O407" s="76">
        <v>2302</v>
      </c>
      <c r="P407" s="76">
        <v>14401</v>
      </c>
      <c r="Q407" s="75">
        <v>0.13800000000000001</v>
      </c>
      <c r="R407" s="75">
        <v>0.13800000000000001</v>
      </c>
      <c r="S407" s="76">
        <v>15462</v>
      </c>
      <c r="T407" s="72">
        <v>10</v>
      </c>
      <c r="U407" s="76">
        <v>15452</v>
      </c>
      <c r="V407" s="75">
        <v>1E-3</v>
      </c>
      <c r="W407" s="76">
        <v>33954</v>
      </c>
      <c r="X407" s="76">
        <v>28737</v>
      </c>
      <c r="Y407" s="76">
        <v>5217</v>
      </c>
      <c r="Z407" s="78">
        <v>0.84599999999999997</v>
      </c>
      <c r="AA407" s="76">
        <v>88096</v>
      </c>
      <c r="AB407" s="76">
        <v>32828</v>
      </c>
      <c r="AC407" s="76">
        <v>55268</v>
      </c>
      <c r="AD407" s="77">
        <v>0.5</v>
      </c>
    </row>
    <row r="408" spans="1:30" ht="12.75" x14ac:dyDescent="0.2">
      <c r="A408" s="83" t="s">
        <v>645</v>
      </c>
      <c r="B408" s="76">
        <v>2085</v>
      </c>
      <c r="C408" s="72">
        <v>35</v>
      </c>
      <c r="D408" s="72">
        <v>25</v>
      </c>
      <c r="E408" s="72">
        <v>10</v>
      </c>
      <c r="F408" s="76">
        <v>2050</v>
      </c>
      <c r="G408" s="73">
        <v>1.7000000000000001E-2</v>
      </c>
      <c r="H408" s="74">
        <v>1043</v>
      </c>
      <c r="I408" s="74">
        <v>0</v>
      </c>
      <c r="J408" s="76">
        <v>1585</v>
      </c>
      <c r="K408" s="72">
        <v>414</v>
      </c>
      <c r="L408" s="72">
        <v>220</v>
      </c>
      <c r="M408" s="72">
        <v>194</v>
      </c>
      <c r="N408" s="76">
        <v>1171</v>
      </c>
      <c r="O408" s="72">
        <v>414</v>
      </c>
      <c r="P408" s="76">
        <v>1171</v>
      </c>
      <c r="Q408" s="75">
        <v>0.26100000000000001</v>
      </c>
      <c r="R408" s="75">
        <v>0.26100000000000001</v>
      </c>
      <c r="S408" s="76">
        <v>5864</v>
      </c>
      <c r="T408" s="72">
        <v>967</v>
      </c>
      <c r="U408" s="76">
        <v>4897</v>
      </c>
      <c r="V408" s="75">
        <v>0.16500000000000001</v>
      </c>
      <c r="W408" s="76">
        <v>12878</v>
      </c>
      <c r="X408" s="76">
        <v>3726</v>
      </c>
      <c r="Y408" s="76">
        <v>9152</v>
      </c>
      <c r="Z408" s="75">
        <v>0.28899999999999998</v>
      </c>
      <c r="AA408" s="76">
        <v>22412</v>
      </c>
      <c r="AB408" s="76">
        <v>5142</v>
      </c>
      <c r="AC408" s="76">
        <v>17270</v>
      </c>
      <c r="AD408" s="77">
        <v>0.5</v>
      </c>
    </row>
    <row r="409" spans="1:30" ht="12.75" x14ac:dyDescent="0.2">
      <c r="A409" s="83" t="s">
        <v>497</v>
      </c>
      <c r="B409" s="72">
        <v>121</v>
      </c>
      <c r="C409" s="72">
        <v>0</v>
      </c>
      <c r="D409" s="72">
        <v>0</v>
      </c>
      <c r="E409" s="72">
        <v>0</v>
      </c>
      <c r="F409" s="72">
        <v>121</v>
      </c>
      <c r="G409" s="73">
        <v>0</v>
      </c>
      <c r="H409" s="74">
        <v>61</v>
      </c>
      <c r="I409" s="74">
        <v>0</v>
      </c>
      <c r="J409" s="72">
        <v>72</v>
      </c>
      <c r="K409" s="72">
        <v>0</v>
      </c>
      <c r="L409" s="72">
        <v>0</v>
      </c>
      <c r="M409" s="72">
        <v>0</v>
      </c>
      <c r="N409" s="72">
        <v>72</v>
      </c>
      <c r="O409" s="72">
        <v>0</v>
      </c>
      <c r="P409" s="72">
        <v>72</v>
      </c>
      <c r="Q409" s="75">
        <v>0</v>
      </c>
      <c r="R409" s="75">
        <v>0</v>
      </c>
      <c r="S409" s="72">
        <v>77</v>
      </c>
      <c r="T409" s="72">
        <v>1</v>
      </c>
      <c r="U409" s="72">
        <v>76</v>
      </c>
      <c r="V409" s="75">
        <v>1.2999999999999999E-2</v>
      </c>
      <c r="W409" s="72">
        <v>193</v>
      </c>
      <c r="X409" s="72">
        <v>36</v>
      </c>
      <c r="Y409" s="72">
        <v>157</v>
      </c>
      <c r="Z409" s="75">
        <v>0.187</v>
      </c>
      <c r="AA409" s="72">
        <v>463</v>
      </c>
      <c r="AB409" s="72">
        <v>37</v>
      </c>
      <c r="AC409" s="72">
        <v>426</v>
      </c>
      <c r="AD409" s="77">
        <v>0.5</v>
      </c>
    </row>
    <row r="410" spans="1:30" ht="12.75" x14ac:dyDescent="0.2">
      <c r="A410" s="83" t="s">
        <v>498</v>
      </c>
      <c r="B410" s="72">
        <v>55</v>
      </c>
      <c r="C410" s="72">
        <v>28</v>
      </c>
      <c r="D410" s="72">
        <v>28</v>
      </c>
      <c r="E410" s="72">
        <v>0</v>
      </c>
      <c r="F410" s="72">
        <v>27</v>
      </c>
      <c r="G410" s="79">
        <v>0.50900000000000001</v>
      </c>
      <c r="H410" s="74">
        <v>28</v>
      </c>
      <c r="I410" s="74">
        <v>0</v>
      </c>
      <c r="J410" s="72">
        <v>32</v>
      </c>
      <c r="K410" s="72">
        <v>105</v>
      </c>
      <c r="L410" s="72">
        <v>4</v>
      </c>
      <c r="M410" s="72">
        <v>101</v>
      </c>
      <c r="N410" s="72">
        <v>0</v>
      </c>
      <c r="O410" s="72">
        <v>105</v>
      </c>
      <c r="P410" s="72">
        <v>0</v>
      </c>
      <c r="Q410" s="78">
        <v>3.2810000000000001</v>
      </c>
      <c r="R410" s="78">
        <v>3.2810000000000001</v>
      </c>
      <c r="S410" s="72">
        <v>35</v>
      </c>
      <c r="T410" s="72">
        <v>30</v>
      </c>
      <c r="U410" s="72">
        <v>5</v>
      </c>
      <c r="V410" s="78">
        <v>0.85699999999999998</v>
      </c>
      <c r="W410" s="72">
        <v>95</v>
      </c>
      <c r="X410" s="72">
        <v>40</v>
      </c>
      <c r="Y410" s="72">
        <v>55</v>
      </c>
      <c r="Z410" s="75">
        <v>0.42099999999999999</v>
      </c>
      <c r="AA410" s="72">
        <v>217</v>
      </c>
      <c r="AB410" s="72">
        <v>203</v>
      </c>
      <c r="AC410" s="72">
        <v>87</v>
      </c>
      <c r="AD410" s="77">
        <v>0.5</v>
      </c>
    </row>
    <row r="411" spans="1:30" ht="12.75" x14ac:dyDescent="0.2">
      <c r="A411" s="83" t="s">
        <v>575</v>
      </c>
      <c r="B411" s="76">
        <v>6234</v>
      </c>
      <c r="C411" s="76">
        <v>1859</v>
      </c>
      <c r="D411" s="76">
        <v>1859</v>
      </c>
      <c r="E411" s="72">
        <v>0</v>
      </c>
      <c r="F411" s="76">
        <v>4375</v>
      </c>
      <c r="G411" s="73">
        <v>0.29799999999999999</v>
      </c>
      <c r="H411" s="74">
        <v>3117</v>
      </c>
      <c r="I411" s="74">
        <v>0</v>
      </c>
      <c r="J411" s="76">
        <v>4639</v>
      </c>
      <c r="K411" s="76">
        <v>2258</v>
      </c>
      <c r="L411" s="76">
        <v>2258</v>
      </c>
      <c r="M411" s="72">
        <v>0</v>
      </c>
      <c r="N411" s="76">
        <v>2381</v>
      </c>
      <c r="O411" s="76">
        <v>2258</v>
      </c>
      <c r="P411" s="76">
        <v>2381</v>
      </c>
      <c r="Q411" s="75">
        <v>0.48699999999999999</v>
      </c>
      <c r="R411" s="75">
        <v>0.48699999999999999</v>
      </c>
      <c r="S411" s="76">
        <v>5460</v>
      </c>
      <c r="T411" s="76">
        <v>1283</v>
      </c>
      <c r="U411" s="76">
        <v>4177</v>
      </c>
      <c r="V411" s="75">
        <v>0.23499999999999999</v>
      </c>
      <c r="W411" s="76">
        <v>12536</v>
      </c>
      <c r="X411" s="76">
        <v>18232</v>
      </c>
      <c r="Y411" s="72">
        <v>0</v>
      </c>
      <c r="Z411" s="78">
        <v>1.454</v>
      </c>
      <c r="AA411" s="76">
        <v>28869</v>
      </c>
      <c r="AB411" s="76">
        <v>23632</v>
      </c>
      <c r="AC411" s="76">
        <v>10933</v>
      </c>
      <c r="AD411" s="77">
        <v>0.5</v>
      </c>
    </row>
    <row r="412" spans="1:30" ht="12.75" x14ac:dyDescent="0.2">
      <c r="A412" s="83" t="s">
        <v>500</v>
      </c>
      <c r="B412" s="72">
        <v>236</v>
      </c>
      <c r="C412" s="72">
        <v>1</v>
      </c>
      <c r="D412" s="72">
        <v>0</v>
      </c>
      <c r="E412" s="72">
        <v>1</v>
      </c>
      <c r="F412" s="72">
        <v>235</v>
      </c>
      <c r="G412" s="73">
        <v>4.0000000000000001E-3</v>
      </c>
      <c r="H412" s="74">
        <v>118</v>
      </c>
      <c r="I412" s="74">
        <v>0</v>
      </c>
      <c r="J412" s="72">
        <v>142</v>
      </c>
      <c r="K412" s="72">
        <v>2</v>
      </c>
      <c r="L412" s="72">
        <v>0</v>
      </c>
      <c r="M412" s="72">
        <v>2</v>
      </c>
      <c r="N412" s="72">
        <v>140</v>
      </c>
      <c r="O412" s="72">
        <v>2</v>
      </c>
      <c r="P412" s="72">
        <v>140</v>
      </c>
      <c r="Q412" s="75">
        <v>1.4E-2</v>
      </c>
      <c r="R412" s="75">
        <v>1.4E-2</v>
      </c>
      <c r="S412" s="72">
        <v>154</v>
      </c>
      <c r="T412" s="72">
        <v>103</v>
      </c>
      <c r="U412" s="72">
        <v>51</v>
      </c>
      <c r="V412" s="78">
        <v>0.66900000000000004</v>
      </c>
      <c r="W412" s="72">
        <v>398</v>
      </c>
      <c r="X412" s="72">
        <v>232</v>
      </c>
      <c r="Y412" s="72">
        <v>166</v>
      </c>
      <c r="Z412" s="78">
        <v>0.58299999999999996</v>
      </c>
      <c r="AA412" s="72">
        <v>930</v>
      </c>
      <c r="AB412" s="72">
        <v>338</v>
      </c>
      <c r="AC412" s="72">
        <v>592</v>
      </c>
      <c r="AD412" s="77">
        <v>0.5</v>
      </c>
    </row>
    <row r="413" spans="1:30" ht="12.75" x14ac:dyDescent="0.2">
      <c r="A413" s="83" t="s">
        <v>648</v>
      </c>
      <c r="B413" s="72">
        <v>562</v>
      </c>
      <c r="C413" s="72">
        <v>0</v>
      </c>
      <c r="D413" s="72">
        <v>0</v>
      </c>
      <c r="E413" s="72">
        <v>0</v>
      </c>
      <c r="F413" s="72">
        <v>562</v>
      </c>
      <c r="G413" s="73">
        <v>0</v>
      </c>
      <c r="H413" s="74">
        <v>281</v>
      </c>
      <c r="I413" s="74">
        <v>0</v>
      </c>
      <c r="J413" s="72">
        <v>394</v>
      </c>
      <c r="K413" s="72">
        <v>0</v>
      </c>
      <c r="L413" s="72">
        <v>0</v>
      </c>
      <c r="M413" s="72">
        <v>0</v>
      </c>
      <c r="N413" s="72">
        <v>394</v>
      </c>
      <c r="O413" s="72">
        <v>0</v>
      </c>
      <c r="P413" s="72">
        <v>394</v>
      </c>
      <c r="Q413" s="75">
        <v>0</v>
      </c>
      <c r="R413" s="75">
        <v>0</v>
      </c>
      <c r="S413" s="72">
        <v>441</v>
      </c>
      <c r="T413" s="72">
        <v>278</v>
      </c>
      <c r="U413" s="72">
        <v>163</v>
      </c>
      <c r="V413" s="78">
        <v>0.63</v>
      </c>
      <c r="W413" s="76">
        <v>1036</v>
      </c>
      <c r="X413" s="72">
        <v>318</v>
      </c>
      <c r="Y413" s="72">
        <v>718</v>
      </c>
      <c r="Z413" s="75">
        <v>0.307</v>
      </c>
      <c r="AA413" s="76">
        <v>2433</v>
      </c>
      <c r="AB413" s="72">
        <v>596</v>
      </c>
      <c r="AC413" s="76">
        <v>1837</v>
      </c>
      <c r="AD413" s="77">
        <v>0.5</v>
      </c>
    </row>
    <row r="414" spans="1:30" ht="12.75" x14ac:dyDescent="0.2">
      <c r="A414" s="83" t="s">
        <v>383</v>
      </c>
      <c r="B414" s="72">
        <v>103</v>
      </c>
      <c r="C414" s="72">
        <v>0</v>
      </c>
      <c r="D414" s="72">
        <v>0</v>
      </c>
      <c r="E414" s="72">
        <v>0</v>
      </c>
      <c r="F414" s="72">
        <v>103</v>
      </c>
      <c r="G414" s="73">
        <v>0</v>
      </c>
      <c r="H414" s="74">
        <v>39</v>
      </c>
      <c r="I414" s="74">
        <v>0</v>
      </c>
      <c r="J414" s="72">
        <v>36</v>
      </c>
      <c r="K414" s="72">
        <v>0</v>
      </c>
      <c r="L414" s="72">
        <v>0</v>
      </c>
      <c r="M414" s="72">
        <v>0</v>
      </c>
      <c r="N414" s="72">
        <v>36</v>
      </c>
      <c r="O414" s="72">
        <v>0</v>
      </c>
      <c r="P414" s="72">
        <v>36</v>
      </c>
      <c r="Q414" s="75">
        <v>0</v>
      </c>
      <c r="R414" s="75">
        <v>0</v>
      </c>
      <c r="S414" s="72">
        <v>35</v>
      </c>
      <c r="T414" s="72">
        <v>0</v>
      </c>
      <c r="U414" s="72">
        <v>35</v>
      </c>
      <c r="V414" s="75">
        <v>0</v>
      </c>
      <c r="W414" s="72">
        <v>204</v>
      </c>
      <c r="X414" s="72">
        <v>0</v>
      </c>
      <c r="Y414" s="72">
        <v>204</v>
      </c>
      <c r="Z414" s="75">
        <v>0</v>
      </c>
      <c r="AA414" s="72">
        <v>378</v>
      </c>
      <c r="AB414" s="72">
        <v>0</v>
      </c>
      <c r="AC414" s="72">
        <v>378</v>
      </c>
      <c r="AD414" s="77">
        <v>0.375</v>
      </c>
    </row>
    <row r="415" spans="1:30" ht="12.75" x14ac:dyDescent="0.2">
      <c r="A415" s="83" t="s">
        <v>652</v>
      </c>
      <c r="B415" s="76">
        <v>2496</v>
      </c>
      <c r="C415" s="72">
        <v>11</v>
      </c>
      <c r="D415" s="72">
        <v>0</v>
      </c>
      <c r="E415" s="72">
        <v>11</v>
      </c>
      <c r="F415" s="76">
        <v>2485</v>
      </c>
      <c r="G415" s="73">
        <v>4.0000000000000001E-3</v>
      </c>
      <c r="H415" s="74">
        <v>936</v>
      </c>
      <c r="I415" s="74">
        <v>0</v>
      </c>
      <c r="J415" s="76">
        <v>1727</v>
      </c>
      <c r="K415" s="72">
        <v>260</v>
      </c>
      <c r="L415" s="72">
        <v>80</v>
      </c>
      <c r="M415" s="72">
        <v>180</v>
      </c>
      <c r="N415" s="76">
        <v>1467</v>
      </c>
      <c r="O415" s="72">
        <v>260</v>
      </c>
      <c r="P415" s="76">
        <v>1467</v>
      </c>
      <c r="Q415" s="75">
        <v>0.151</v>
      </c>
      <c r="R415" s="75">
        <v>0.151</v>
      </c>
      <c r="S415" s="76">
        <v>1724</v>
      </c>
      <c r="T415" s="72">
        <v>279</v>
      </c>
      <c r="U415" s="76">
        <v>1445</v>
      </c>
      <c r="V415" s="75">
        <v>0.16200000000000001</v>
      </c>
      <c r="W415" s="76">
        <v>4220</v>
      </c>
      <c r="X415" s="72">
        <v>597</v>
      </c>
      <c r="Y415" s="76">
        <v>3623</v>
      </c>
      <c r="Z415" s="75">
        <v>0.14099999999999999</v>
      </c>
      <c r="AA415" s="76">
        <v>10167</v>
      </c>
      <c r="AB415" s="76">
        <v>1147</v>
      </c>
      <c r="AC415" s="76">
        <v>9020</v>
      </c>
      <c r="AD415" s="77">
        <v>0.375</v>
      </c>
    </row>
    <row r="416" spans="1:30" ht="12.75" x14ac:dyDescent="0.2">
      <c r="A416" s="83" t="s">
        <v>653</v>
      </c>
      <c r="B416" s="76">
        <v>9233</v>
      </c>
      <c r="C416" s="72">
        <v>995</v>
      </c>
      <c r="D416" s="72">
        <v>995</v>
      </c>
      <c r="E416" s="72">
        <v>0</v>
      </c>
      <c r="F416" s="76">
        <v>8238</v>
      </c>
      <c r="G416" s="73">
        <v>0.108</v>
      </c>
      <c r="H416" s="74">
        <v>4617</v>
      </c>
      <c r="I416" s="74">
        <v>0</v>
      </c>
      <c r="J416" s="76">
        <v>5428</v>
      </c>
      <c r="K416" s="72">
        <v>231</v>
      </c>
      <c r="L416" s="72">
        <v>231</v>
      </c>
      <c r="M416" s="72">
        <v>0</v>
      </c>
      <c r="N416" s="76">
        <v>5197</v>
      </c>
      <c r="O416" s="72">
        <v>231</v>
      </c>
      <c r="P416" s="76">
        <v>5197</v>
      </c>
      <c r="Q416" s="75">
        <v>4.2999999999999997E-2</v>
      </c>
      <c r="R416" s="75">
        <v>4.2999999999999997E-2</v>
      </c>
      <c r="S416" s="76">
        <v>6188</v>
      </c>
      <c r="T416" s="76">
        <v>1585</v>
      </c>
      <c r="U416" s="76">
        <v>4603</v>
      </c>
      <c r="V416" s="75">
        <v>0.25600000000000001</v>
      </c>
      <c r="W416" s="76">
        <v>14231</v>
      </c>
      <c r="X416" s="76">
        <v>11820</v>
      </c>
      <c r="Y416" s="76">
        <v>2411</v>
      </c>
      <c r="Z416" s="78">
        <v>0.83099999999999996</v>
      </c>
      <c r="AA416" s="76">
        <v>35080</v>
      </c>
      <c r="AB416" s="76">
        <v>14631</v>
      </c>
      <c r="AC416" s="76">
        <v>20449</v>
      </c>
      <c r="AD416" s="77">
        <v>0.5</v>
      </c>
    </row>
    <row r="417" spans="1:30" ht="12.75" x14ac:dyDescent="0.2">
      <c r="A417" s="83" t="s">
        <v>655</v>
      </c>
      <c r="B417" s="72">
        <v>10</v>
      </c>
      <c r="C417" s="72">
        <v>0</v>
      </c>
      <c r="D417" s="72">
        <v>0</v>
      </c>
      <c r="E417" s="72">
        <v>0</v>
      </c>
      <c r="F417" s="72">
        <v>10</v>
      </c>
      <c r="G417" s="73">
        <v>0</v>
      </c>
      <c r="H417" s="74">
        <v>4</v>
      </c>
      <c r="I417" s="74">
        <v>0</v>
      </c>
      <c r="J417" s="72">
        <v>6</v>
      </c>
      <c r="K417" s="72">
        <v>0</v>
      </c>
      <c r="L417" s="72">
        <v>0</v>
      </c>
      <c r="M417" s="72">
        <v>0</v>
      </c>
      <c r="N417" s="72">
        <v>6</v>
      </c>
      <c r="O417" s="72">
        <v>0</v>
      </c>
      <c r="P417" s="72">
        <v>6</v>
      </c>
      <c r="Q417" s="75">
        <v>0</v>
      </c>
      <c r="R417" s="75">
        <v>0</v>
      </c>
      <c r="S417" s="72">
        <v>8</v>
      </c>
      <c r="T417" s="72">
        <v>0</v>
      </c>
      <c r="U417" s="72">
        <v>8</v>
      </c>
      <c r="V417" s="75">
        <v>0</v>
      </c>
      <c r="W417" s="72">
        <v>17</v>
      </c>
      <c r="X417" s="72">
        <v>0</v>
      </c>
      <c r="Y417" s="72">
        <v>17</v>
      </c>
      <c r="Z417" s="75">
        <v>0</v>
      </c>
      <c r="AA417" s="72">
        <v>41</v>
      </c>
      <c r="AB417" s="72">
        <v>0</v>
      </c>
      <c r="AC417" s="72">
        <v>41</v>
      </c>
      <c r="AD417" s="77">
        <v>0.375</v>
      </c>
    </row>
    <row r="418" spans="1:30" ht="12.75" x14ac:dyDescent="0.2">
      <c r="A418" s="83" t="s">
        <v>656</v>
      </c>
      <c r="B418" s="72">
        <v>147</v>
      </c>
      <c r="C418" s="72">
        <v>0</v>
      </c>
      <c r="D418" s="72">
        <v>0</v>
      </c>
      <c r="E418" s="72">
        <v>0</v>
      </c>
      <c r="F418" s="72">
        <v>147</v>
      </c>
      <c r="G418" s="73">
        <v>0</v>
      </c>
      <c r="H418" s="74">
        <v>74</v>
      </c>
      <c r="I418" s="74">
        <v>0</v>
      </c>
      <c r="J418" s="72">
        <v>104</v>
      </c>
      <c r="K418" s="72">
        <v>2</v>
      </c>
      <c r="L418" s="72">
        <v>2</v>
      </c>
      <c r="M418" s="72">
        <v>0</v>
      </c>
      <c r="N418" s="72">
        <v>102</v>
      </c>
      <c r="O418" s="72">
        <v>2</v>
      </c>
      <c r="P418" s="72">
        <v>102</v>
      </c>
      <c r="Q418" s="75">
        <v>1.9E-2</v>
      </c>
      <c r="R418" s="75">
        <v>1.9E-2</v>
      </c>
      <c r="S418" s="72">
        <v>120</v>
      </c>
      <c r="T418" s="72">
        <v>26</v>
      </c>
      <c r="U418" s="72">
        <v>94</v>
      </c>
      <c r="V418" s="75">
        <v>0.217</v>
      </c>
      <c r="W418" s="72">
        <v>267</v>
      </c>
      <c r="X418" s="72">
        <v>415</v>
      </c>
      <c r="Y418" s="72">
        <v>0</v>
      </c>
      <c r="Z418" s="78">
        <v>1.554</v>
      </c>
      <c r="AA418" s="72">
        <v>638</v>
      </c>
      <c r="AB418" s="72">
        <v>443</v>
      </c>
      <c r="AC418" s="72">
        <v>343</v>
      </c>
      <c r="AD418" s="77">
        <v>0.5</v>
      </c>
    </row>
    <row r="419" spans="1:30" ht="12.75" x14ac:dyDescent="0.2">
      <c r="A419" s="83" t="s">
        <v>194</v>
      </c>
      <c r="B419" s="72">
        <v>504</v>
      </c>
      <c r="C419" s="72">
        <v>109</v>
      </c>
      <c r="D419" s="72">
        <v>109</v>
      </c>
      <c r="E419" s="72">
        <v>0</v>
      </c>
      <c r="F419" s="72">
        <v>395</v>
      </c>
      <c r="G419" s="73">
        <v>0.216</v>
      </c>
      <c r="H419" s="74">
        <v>252</v>
      </c>
      <c r="I419" s="74">
        <v>0</v>
      </c>
      <c r="J419" s="72">
        <v>270</v>
      </c>
      <c r="K419" s="72">
        <v>88</v>
      </c>
      <c r="L419" s="72">
        <v>88</v>
      </c>
      <c r="M419" s="72">
        <v>0</v>
      </c>
      <c r="N419" s="72">
        <v>182</v>
      </c>
      <c r="O419" s="72">
        <v>88</v>
      </c>
      <c r="P419" s="72">
        <v>182</v>
      </c>
      <c r="Q419" s="75">
        <v>0.32600000000000001</v>
      </c>
      <c r="R419" s="75">
        <v>0.32600000000000001</v>
      </c>
      <c r="S419" s="72">
        <v>352</v>
      </c>
      <c r="T419" s="72">
        <v>0</v>
      </c>
      <c r="U419" s="72">
        <v>352</v>
      </c>
      <c r="V419" s="75">
        <v>0</v>
      </c>
      <c r="W419" s="76">
        <v>1161</v>
      </c>
      <c r="X419" s="72">
        <v>23</v>
      </c>
      <c r="Y419" s="76">
        <v>1138</v>
      </c>
      <c r="Z419" s="75">
        <v>0.02</v>
      </c>
      <c r="AA419" s="76">
        <v>2287</v>
      </c>
      <c r="AB419" s="72">
        <v>220</v>
      </c>
      <c r="AC419" s="76">
        <v>2067</v>
      </c>
      <c r="AD419" s="77">
        <v>0.5</v>
      </c>
    </row>
    <row r="420" spans="1:30" ht="12.75" x14ac:dyDescent="0.2">
      <c r="A420" s="83" t="s">
        <v>583</v>
      </c>
      <c r="B420" s="72">
        <v>285</v>
      </c>
      <c r="C420" s="72">
        <v>166</v>
      </c>
      <c r="D420" s="72">
        <v>166</v>
      </c>
      <c r="E420" s="72">
        <v>0</v>
      </c>
      <c r="F420" s="72">
        <v>119</v>
      </c>
      <c r="G420" s="73">
        <v>0.58199999999999996</v>
      </c>
      <c r="H420" s="74">
        <v>285</v>
      </c>
      <c r="I420" s="74">
        <v>0</v>
      </c>
      <c r="J420" s="72">
        <v>179</v>
      </c>
      <c r="K420" s="72">
        <v>31</v>
      </c>
      <c r="L420" s="72">
        <v>31</v>
      </c>
      <c r="M420" s="72">
        <v>0</v>
      </c>
      <c r="N420" s="72">
        <v>148</v>
      </c>
      <c r="O420" s="72">
        <v>31</v>
      </c>
      <c r="P420" s="72">
        <v>148</v>
      </c>
      <c r="Q420" s="75">
        <v>0.17299999999999999</v>
      </c>
      <c r="R420" s="75">
        <v>0.17299999999999999</v>
      </c>
      <c r="S420" s="72">
        <v>201</v>
      </c>
      <c r="T420" s="72">
        <v>13</v>
      </c>
      <c r="U420" s="72">
        <v>188</v>
      </c>
      <c r="V420" s="75">
        <v>6.5000000000000002E-2</v>
      </c>
      <c r="W420" s="72">
        <v>478</v>
      </c>
      <c r="X420" s="72">
        <v>809</v>
      </c>
      <c r="Y420" s="72">
        <v>0</v>
      </c>
      <c r="Z420" s="78">
        <v>1.6919999999999999</v>
      </c>
      <c r="AA420" s="76">
        <v>1143</v>
      </c>
      <c r="AB420" s="76">
        <v>1019</v>
      </c>
      <c r="AC420" s="72">
        <v>455</v>
      </c>
      <c r="AD420" s="77">
        <v>1</v>
      </c>
    </row>
    <row r="421" spans="1:30" ht="12.75" x14ac:dyDescent="0.2">
      <c r="A421" s="83" t="s">
        <v>657</v>
      </c>
      <c r="B421" s="72">
        <v>336</v>
      </c>
      <c r="C421" s="72">
        <v>52</v>
      </c>
      <c r="D421" s="72">
        <v>32</v>
      </c>
      <c r="E421" s="72">
        <v>20</v>
      </c>
      <c r="F421" s="72">
        <v>284</v>
      </c>
      <c r="G421" s="73">
        <v>0.155</v>
      </c>
      <c r="H421" s="74">
        <v>336</v>
      </c>
      <c r="I421" s="74">
        <v>0</v>
      </c>
      <c r="J421" s="72">
        <v>211</v>
      </c>
      <c r="K421" s="72">
        <v>89</v>
      </c>
      <c r="L421" s="72">
        <v>64</v>
      </c>
      <c r="M421" s="72">
        <v>25</v>
      </c>
      <c r="N421" s="72">
        <v>122</v>
      </c>
      <c r="O421" s="72">
        <v>89</v>
      </c>
      <c r="P421" s="72">
        <v>122</v>
      </c>
      <c r="Q421" s="75">
        <v>0.42199999999999999</v>
      </c>
      <c r="R421" s="75">
        <v>0.42199999999999999</v>
      </c>
      <c r="S421" s="72">
        <v>237</v>
      </c>
      <c r="T421" s="72">
        <v>156</v>
      </c>
      <c r="U421" s="72">
        <v>81</v>
      </c>
      <c r="V421" s="75">
        <v>0.65800000000000003</v>
      </c>
      <c r="W421" s="72">
        <v>563</v>
      </c>
      <c r="X421" s="76">
        <v>1567</v>
      </c>
      <c r="Y421" s="72">
        <v>0</v>
      </c>
      <c r="Z421" s="78">
        <v>2.7829999999999999</v>
      </c>
      <c r="AA421" s="76">
        <v>1347</v>
      </c>
      <c r="AB421" s="76">
        <v>1864</v>
      </c>
      <c r="AC421" s="72">
        <v>487</v>
      </c>
      <c r="AD421" s="77">
        <v>1</v>
      </c>
    </row>
    <row r="422" spans="1:30" ht="12.75" x14ac:dyDescent="0.2">
      <c r="A422" s="83" t="s">
        <v>658</v>
      </c>
      <c r="B422" s="76">
        <v>1043</v>
      </c>
      <c r="C422" s="72">
        <v>220</v>
      </c>
      <c r="D422" s="72">
        <v>220</v>
      </c>
      <c r="E422" s="72">
        <v>0</v>
      </c>
      <c r="F422" s="72">
        <v>823</v>
      </c>
      <c r="G422" s="73">
        <v>0.21099999999999999</v>
      </c>
      <c r="H422" s="74">
        <v>522</v>
      </c>
      <c r="I422" s="74">
        <v>0</v>
      </c>
      <c r="J422" s="72">
        <v>793</v>
      </c>
      <c r="K422" s="72">
        <v>115</v>
      </c>
      <c r="L422" s="72">
        <v>115</v>
      </c>
      <c r="M422" s="72">
        <v>0</v>
      </c>
      <c r="N422" s="72">
        <v>678</v>
      </c>
      <c r="O422" s="72">
        <v>115</v>
      </c>
      <c r="P422" s="72">
        <v>678</v>
      </c>
      <c r="Q422" s="75">
        <v>0.14499999999999999</v>
      </c>
      <c r="R422" s="75">
        <v>0.14499999999999999</v>
      </c>
      <c r="S422" s="72">
        <v>734</v>
      </c>
      <c r="T422" s="72">
        <v>64</v>
      </c>
      <c r="U422" s="72">
        <v>670</v>
      </c>
      <c r="V422" s="75">
        <v>8.6999999999999994E-2</v>
      </c>
      <c r="W422" s="76">
        <v>1613</v>
      </c>
      <c r="X422" s="76">
        <v>3286</v>
      </c>
      <c r="Y422" s="72">
        <v>0</v>
      </c>
      <c r="Z422" s="78">
        <v>2.0369999999999999</v>
      </c>
      <c r="AA422" s="76">
        <v>4183</v>
      </c>
      <c r="AB422" s="76">
        <v>3685</v>
      </c>
      <c r="AC422" s="76">
        <v>2171</v>
      </c>
      <c r="AD422" s="77">
        <v>0.5</v>
      </c>
    </row>
    <row r="423" spans="1:30" ht="12.75" x14ac:dyDescent="0.2">
      <c r="A423" s="83" t="s">
        <v>554</v>
      </c>
      <c r="B423" s="72">
        <v>1</v>
      </c>
      <c r="C423" s="72">
        <v>3</v>
      </c>
      <c r="D423" s="72">
        <v>3</v>
      </c>
      <c r="E423" s="72">
        <v>0</v>
      </c>
      <c r="F423" s="72">
        <v>0</v>
      </c>
      <c r="G423" s="79">
        <v>3</v>
      </c>
      <c r="H423" s="74">
        <v>1</v>
      </c>
      <c r="I423" s="74">
        <v>2</v>
      </c>
      <c r="J423" s="72">
        <v>1</v>
      </c>
      <c r="K423" s="72">
        <v>1</v>
      </c>
      <c r="L423" s="72">
        <v>1</v>
      </c>
      <c r="M423" s="72">
        <v>0</v>
      </c>
      <c r="N423" s="72">
        <v>0</v>
      </c>
      <c r="O423" s="72">
        <v>3</v>
      </c>
      <c r="P423" s="72">
        <v>0</v>
      </c>
      <c r="Q423" s="78">
        <v>1</v>
      </c>
      <c r="R423" s="78">
        <v>3</v>
      </c>
      <c r="S423" s="72">
        <v>0</v>
      </c>
      <c r="T423" s="72">
        <v>5</v>
      </c>
      <c r="U423" s="72">
        <v>0</v>
      </c>
      <c r="V423" s="80" t="s">
        <v>196</v>
      </c>
      <c r="W423" s="72">
        <v>0</v>
      </c>
      <c r="X423" s="72">
        <v>30</v>
      </c>
      <c r="Y423" s="72">
        <v>0</v>
      </c>
      <c r="Z423" s="80" t="s">
        <v>196</v>
      </c>
      <c r="AA423" s="72">
        <v>2</v>
      </c>
      <c r="AB423" s="72">
        <v>39</v>
      </c>
      <c r="AC423" s="84">
        <v>0</v>
      </c>
      <c r="AD423" s="77">
        <v>0.5</v>
      </c>
    </row>
    <row r="424" spans="1:30" ht="12.75" x14ac:dyDescent="0.2">
      <c r="A424" s="83" t="s">
        <v>595</v>
      </c>
      <c r="B424" s="72">
        <v>859</v>
      </c>
      <c r="C424" s="72">
        <v>49</v>
      </c>
      <c r="D424" s="72">
        <v>49</v>
      </c>
      <c r="E424" s="72">
        <v>0</v>
      </c>
      <c r="F424" s="72">
        <v>810</v>
      </c>
      <c r="G424" s="73">
        <v>5.7000000000000002E-2</v>
      </c>
      <c r="H424" s="74">
        <v>430</v>
      </c>
      <c r="I424" s="74">
        <v>0</v>
      </c>
      <c r="J424" s="72">
        <v>469</v>
      </c>
      <c r="K424" s="72">
        <v>47</v>
      </c>
      <c r="L424" s="72">
        <v>26</v>
      </c>
      <c r="M424" s="72">
        <v>21</v>
      </c>
      <c r="N424" s="72">
        <v>422</v>
      </c>
      <c r="O424" s="72">
        <v>47</v>
      </c>
      <c r="P424" s="72">
        <v>422</v>
      </c>
      <c r="Q424" s="75">
        <v>0.1</v>
      </c>
      <c r="R424" s="75">
        <v>0.1</v>
      </c>
      <c r="S424" s="72">
        <v>530</v>
      </c>
      <c r="T424" s="72">
        <v>94</v>
      </c>
      <c r="U424" s="72">
        <v>436</v>
      </c>
      <c r="V424" s="75">
        <v>0.17699999999999999</v>
      </c>
      <c r="W424" s="76">
        <v>1242</v>
      </c>
      <c r="X424" s="76">
        <v>1138</v>
      </c>
      <c r="Y424" s="72">
        <v>104</v>
      </c>
      <c r="Z424" s="78">
        <v>0.91600000000000004</v>
      </c>
      <c r="AA424" s="76">
        <v>3100</v>
      </c>
      <c r="AB424" s="76">
        <v>1328</v>
      </c>
      <c r="AC424" s="76">
        <v>1772</v>
      </c>
      <c r="AD424" s="77">
        <v>0.5</v>
      </c>
    </row>
    <row r="425" spans="1:30" ht="12.75" x14ac:dyDescent="0.2">
      <c r="A425" s="83" t="s">
        <v>659</v>
      </c>
      <c r="B425" s="72">
        <v>153</v>
      </c>
      <c r="C425" s="72">
        <v>1</v>
      </c>
      <c r="D425" s="72">
        <v>0</v>
      </c>
      <c r="E425" s="72">
        <v>1</v>
      </c>
      <c r="F425" s="72">
        <v>152</v>
      </c>
      <c r="G425" s="73">
        <v>7.0000000000000001E-3</v>
      </c>
      <c r="H425" s="74">
        <v>77</v>
      </c>
      <c r="I425" s="74">
        <v>0</v>
      </c>
      <c r="J425" s="72">
        <v>103</v>
      </c>
      <c r="K425" s="72">
        <v>33</v>
      </c>
      <c r="L425" s="72">
        <v>7</v>
      </c>
      <c r="M425" s="72">
        <v>26</v>
      </c>
      <c r="N425" s="72">
        <v>70</v>
      </c>
      <c r="O425" s="72">
        <v>33</v>
      </c>
      <c r="P425" s="72">
        <v>70</v>
      </c>
      <c r="Q425" s="75">
        <v>0.32</v>
      </c>
      <c r="R425" s="75">
        <v>0.32</v>
      </c>
      <c r="S425" s="72">
        <v>102</v>
      </c>
      <c r="T425" s="72">
        <v>17</v>
      </c>
      <c r="U425" s="72">
        <v>85</v>
      </c>
      <c r="V425" s="75">
        <v>0.16700000000000001</v>
      </c>
      <c r="W425" s="72">
        <v>555</v>
      </c>
      <c r="X425" s="72">
        <v>209</v>
      </c>
      <c r="Y425" s="72">
        <v>346</v>
      </c>
      <c r="Z425" s="75">
        <v>0.377</v>
      </c>
      <c r="AA425" s="72">
        <v>913</v>
      </c>
      <c r="AB425" s="72">
        <v>260</v>
      </c>
      <c r="AC425" s="72">
        <v>653</v>
      </c>
      <c r="AD425" s="77">
        <v>0.5</v>
      </c>
    </row>
    <row r="426" spans="1:30" ht="12.75" x14ac:dyDescent="0.2">
      <c r="A426" s="83" t="s">
        <v>313</v>
      </c>
      <c r="B426" s="72">
        <v>56</v>
      </c>
      <c r="C426" s="72">
        <v>0</v>
      </c>
      <c r="D426" s="72">
        <v>0</v>
      </c>
      <c r="E426" s="72">
        <v>0</v>
      </c>
      <c r="F426" s="72">
        <v>56</v>
      </c>
      <c r="G426" s="73">
        <v>0</v>
      </c>
      <c r="H426" s="74">
        <v>28</v>
      </c>
      <c r="I426" s="74">
        <v>0</v>
      </c>
      <c r="J426" s="72">
        <v>53</v>
      </c>
      <c r="K426" s="72">
        <v>4</v>
      </c>
      <c r="L426" s="72">
        <v>3</v>
      </c>
      <c r="M426" s="72">
        <v>1</v>
      </c>
      <c r="N426" s="72">
        <v>49</v>
      </c>
      <c r="O426" s="72">
        <v>4</v>
      </c>
      <c r="P426" s="72">
        <v>49</v>
      </c>
      <c r="Q426" s="75">
        <v>7.4999999999999997E-2</v>
      </c>
      <c r="R426" s="75">
        <v>7.4999999999999997E-2</v>
      </c>
      <c r="S426" s="72">
        <v>75</v>
      </c>
      <c r="T426" s="72">
        <v>13</v>
      </c>
      <c r="U426" s="72">
        <v>62</v>
      </c>
      <c r="V426" s="75">
        <v>0.17299999999999999</v>
      </c>
      <c r="W426" s="72">
        <v>265</v>
      </c>
      <c r="X426" s="72">
        <v>31</v>
      </c>
      <c r="Y426" s="72">
        <v>234</v>
      </c>
      <c r="Z426" s="75">
        <v>0.11700000000000001</v>
      </c>
      <c r="AA426" s="72">
        <v>449</v>
      </c>
      <c r="AB426" s="72">
        <v>48</v>
      </c>
      <c r="AC426" s="72">
        <v>401</v>
      </c>
      <c r="AD426" s="77">
        <v>0.5</v>
      </c>
    </row>
    <row r="427" spans="1:30" ht="12.75" x14ac:dyDescent="0.2">
      <c r="A427" s="83" t="s">
        <v>661</v>
      </c>
      <c r="B427" s="72">
        <v>240</v>
      </c>
      <c r="C427" s="72">
        <v>5</v>
      </c>
      <c r="D427" s="72">
        <v>5</v>
      </c>
      <c r="E427" s="72">
        <v>0</v>
      </c>
      <c r="F427" s="72">
        <v>235</v>
      </c>
      <c r="G427" s="73">
        <v>2.1000000000000001E-2</v>
      </c>
      <c r="H427" s="74">
        <v>120</v>
      </c>
      <c r="I427" s="74">
        <v>0</v>
      </c>
      <c r="J427" s="72">
        <v>148</v>
      </c>
      <c r="K427" s="72">
        <v>73</v>
      </c>
      <c r="L427" s="72">
        <v>18</v>
      </c>
      <c r="M427" s="72">
        <v>55</v>
      </c>
      <c r="N427" s="72">
        <v>75</v>
      </c>
      <c r="O427" s="72">
        <v>73</v>
      </c>
      <c r="P427" s="72">
        <v>75</v>
      </c>
      <c r="Q427" s="75">
        <v>0.49299999999999999</v>
      </c>
      <c r="R427" s="75">
        <v>0.49299999999999999</v>
      </c>
      <c r="S427" s="72">
        <v>181</v>
      </c>
      <c r="T427" s="72">
        <v>12</v>
      </c>
      <c r="U427" s="72">
        <v>169</v>
      </c>
      <c r="V427" s="75">
        <v>6.6000000000000003E-2</v>
      </c>
      <c r="W427" s="72">
        <v>438</v>
      </c>
      <c r="X427" s="72">
        <v>179</v>
      </c>
      <c r="Y427" s="72">
        <v>259</v>
      </c>
      <c r="Z427" s="75">
        <v>0.40899999999999997</v>
      </c>
      <c r="AA427" s="76">
        <v>1007</v>
      </c>
      <c r="AB427" s="72">
        <v>269</v>
      </c>
      <c r="AC427" s="72">
        <v>738</v>
      </c>
      <c r="AD427" s="77">
        <v>0.5</v>
      </c>
    </row>
    <row r="428" spans="1:30" ht="12.75" x14ac:dyDescent="0.2">
      <c r="A428" s="83" t="s">
        <v>314</v>
      </c>
      <c r="B428" s="72">
        <v>516</v>
      </c>
      <c r="C428" s="72">
        <v>20</v>
      </c>
      <c r="D428" s="72">
        <v>20</v>
      </c>
      <c r="E428" s="72">
        <v>0</v>
      </c>
      <c r="F428" s="72">
        <v>496</v>
      </c>
      <c r="G428" s="73">
        <v>3.9E-2</v>
      </c>
      <c r="H428" s="74">
        <v>258</v>
      </c>
      <c r="I428" s="74">
        <v>0</v>
      </c>
      <c r="J428" s="72">
        <v>279</v>
      </c>
      <c r="K428" s="72">
        <v>82</v>
      </c>
      <c r="L428" s="72">
        <v>82</v>
      </c>
      <c r="M428" s="72">
        <v>0</v>
      </c>
      <c r="N428" s="72">
        <v>197</v>
      </c>
      <c r="O428" s="72">
        <v>82</v>
      </c>
      <c r="P428" s="72">
        <v>197</v>
      </c>
      <c r="Q428" s="75">
        <v>0.29399999999999998</v>
      </c>
      <c r="R428" s="75">
        <v>0.29399999999999998</v>
      </c>
      <c r="S428" s="72">
        <v>282</v>
      </c>
      <c r="T428" s="72">
        <v>169</v>
      </c>
      <c r="U428" s="72">
        <v>113</v>
      </c>
      <c r="V428" s="78">
        <v>0.59899999999999998</v>
      </c>
      <c r="W428" s="72">
        <v>340</v>
      </c>
      <c r="X428" s="76">
        <v>1683</v>
      </c>
      <c r="Y428" s="72">
        <v>0</v>
      </c>
      <c r="Z428" s="78">
        <v>4.95</v>
      </c>
      <c r="AA428" s="76">
        <v>1417</v>
      </c>
      <c r="AB428" s="76">
        <v>1954</v>
      </c>
      <c r="AC428" s="72">
        <v>806</v>
      </c>
      <c r="AD428" s="77">
        <v>0.5</v>
      </c>
    </row>
    <row r="429" spans="1:30" ht="12.75" x14ac:dyDescent="0.2">
      <c r="A429" s="83" t="s">
        <v>662</v>
      </c>
      <c r="B429" s="72">
        <v>13</v>
      </c>
      <c r="C429" s="72">
        <v>0</v>
      </c>
      <c r="D429" s="72">
        <v>0</v>
      </c>
      <c r="E429" s="72">
        <v>0</v>
      </c>
      <c r="F429" s="72">
        <v>13</v>
      </c>
      <c r="G429" s="73">
        <v>0</v>
      </c>
      <c r="H429" s="74">
        <v>5</v>
      </c>
      <c r="I429" s="74">
        <v>0</v>
      </c>
      <c r="J429" s="72">
        <v>9</v>
      </c>
      <c r="K429" s="72">
        <v>0</v>
      </c>
      <c r="L429" s="72">
        <v>0</v>
      </c>
      <c r="M429" s="72">
        <v>0</v>
      </c>
      <c r="N429" s="72">
        <v>9</v>
      </c>
      <c r="O429" s="72">
        <v>0</v>
      </c>
      <c r="P429" s="72">
        <v>9</v>
      </c>
      <c r="Q429" s="75">
        <v>0</v>
      </c>
      <c r="R429" s="75">
        <v>0</v>
      </c>
      <c r="S429" s="72">
        <v>10</v>
      </c>
      <c r="T429" s="72">
        <v>0</v>
      </c>
      <c r="U429" s="72">
        <v>10</v>
      </c>
      <c r="V429" s="75">
        <v>0</v>
      </c>
      <c r="W429" s="72">
        <v>23</v>
      </c>
      <c r="X429" s="72">
        <v>0</v>
      </c>
      <c r="Y429" s="72">
        <v>23</v>
      </c>
      <c r="Z429" s="75">
        <v>0</v>
      </c>
      <c r="AA429" s="72">
        <v>55</v>
      </c>
      <c r="AB429" s="72">
        <v>0</v>
      </c>
      <c r="AC429" s="72">
        <v>55</v>
      </c>
      <c r="AD429" s="77">
        <v>0.375</v>
      </c>
    </row>
    <row r="430" spans="1:30" ht="12.75" x14ac:dyDescent="0.2">
      <c r="A430" s="83" t="s">
        <v>373</v>
      </c>
      <c r="B430" s="72">
        <v>312</v>
      </c>
      <c r="C430" s="72">
        <v>0</v>
      </c>
      <c r="D430" s="72">
        <v>0</v>
      </c>
      <c r="E430" s="72">
        <v>0</v>
      </c>
      <c r="F430" s="72">
        <v>312</v>
      </c>
      <c r="G430" s="73">
        <v>0</v>
      </c>
      <c r="H430" s="74">
        <v>117</v>
      </c>
      <c r="I430" s="74">
        <v>0</v>
      </c>
      <c r="J430" s="72">
        <v>175</v>
      </c>
      <c r="K430" s="72">
        <v>0</v>
      </c>
      <c r="L430" s="72">
        <v>0</v>
      </c>
      <c r="M430" s="72">
        <v>0</v>
      </c>
      <c r="N430" s="72">
        <v>175</v>
      </c>
      <c r="O430" s="72">
        <v>0</v>
      </c>
      <c r="P430" s="72">
        <v>175</v>
      </c>
      <c r="Q430" s="75">
        <v>0</v>
      </c>
      <c r="R430" s="75">
        <v>0</v>
      </c>
      <c r="S430" s="72">
        <v>163</v>
      </c>
      <c r="T430" s="72">
        <v>0</v>
      </c>
      <c r="U430" s="72">
        <v>163</v>
      </c>
      <c r="V430" s="75">
        <v>0</v>
      </c>
      <c r="W430" s="72">
        <v>568</v>
      </c>
      <c r="X430" s="72">
        <v>0</v>
      </c>
      <c r="Y430" s="72">
        <v>568</v>
      </c>
      <c r="Z430" s="75">
        <v>0</v>
      </c>
      <c r="AA430" s="76">
        <v>1218</v>
      </c>
      <c r="AB430" s="72">
        <v>0</v>
      </c>
      <c r="AC430" s="76">
        <v>1218</v>
      </c>
      <c r="AD430" s="77">
        <v>0.375</v>
      </c>
    </row>
    <row r="431" spans="1:30" ht="12.75" x14ac:dyDescent="0.2">
      <c r="A431" s="83" t="s">
        <v>664</v>
      </c>
      <c r="B431" s="72">
        <v>45</v>
      </c>
      <c r="C431" s="72">
        <v>241</v>
      </c>
      <c r="D431" s="72">
        <v>241</v>
      </c>
      <c r="E431" s="72">
        <v>0</v>
      </c>
      <c r="F431" s="72">
        <v>0</v>
      </c>
      <c r="G431" s="79">
        <v>5.3559999999999999</v>
      </c>
      <c r="H431" s="74">
        <v>23</v>
      </c>
      <c r="I431" s="74">
        <v>218</v>
      </c>
      <c r="J431" s="72">
        <v>32</v>
      </c>
      <c r="K431" s="72">
        <v>440</v>
      </c>
      <c r="L431" s="72">
        <v>440</v>
      </c>
      <c r="M431" s="72">
        <v>0</v>
      </c>
      <c r="N431" s="72">
        <v>0</v>
      </c>
      <c r="O431" s="72">
        <v>658</v>
      </c>
      <c r="P431" s="72">
        <v>0</v>
      </c>
      <c r="Q431" s="78">
        <v>13.75</v>
      </c>
      <c r="R431" s="78">
        <v>20.562999999999999</v>
      </c>
      <c r="S431" s="72">
        <v>37</v>
      </c>
      <c r="T431" s="72">
        <v>41</v>
      </c>
      <c r="U431" s="72">
        <v>0</v>
      </c>
      <c r="V431" s="78">
        <v>1.1080000000000001</v>
      </c>
      <c r="W431" s="72">
        <v>90</v>
      </c>
      <c r="X431" s="76">
        <v>1565</v>
      </c>
      <c r="Y431" s="72">
        <v>0</v>
      </c>
      <c r="Z431" s="78">
        <v>17.388999999999999</v>
      </c>
      <c r="AA431" s="72">
        <v>204</v>
      </c>
      <c r="AB431" s="76">
        <v>2287</v>
      </c>
      <c r="AC431" s="84">
        <v>0</v>
      </c>
      <c r="AD431" s="77">
        <v>0.5</v>
      </c>
    </row>
    <row r="432" spans="1:30" ht="12.75" x14ac:dyDescent="0.2">
      <c r="A432" s="83" t="s">
        <v>602</v>
      </c>
      <c r="B432" s="72">
        <v>962</v>
      </c>
      <c r="C432" s="72">
        <v>118</v>
      </c>
      <c r="D432" s="72">
        <v>118</v>
      </c>
      <c r="E432" s="72">
        <v>0</v>
      </c>
      <c r="F432" s="72">
        <v>844</v>
      </c>
      <c r="G432" s="73">
        <v>0.123</v>
      </c>
      <c r="H432" s="74">
        <v>481</v>
      </c>
      <c r="I432" s="74">
        <v>0</v>
      </c>
      <c r="J432" s="72">
        <v>701</v>
      </c>
      <c r="K432" s="72">
        <v>84</v>
      </c>
      <c r="L432" s="72">
        <v>84</v>
      </c>
      <c r="M432" s="72">
        <v>0</v>
      </c>
      <c r="N432" s="72">
        <v>617</v>
      </c>
      <c r="O432" s="72">
        <v>84</v>
      </c>
      <c r="P432" s="72">
        <v>617</v>
      </c>
      <c r="Q432" s="75">
        <v>0.12</v>
      </c>
      <c r="R432" s="75">
        <v>0.12</v>
      </c>
      <c r="S432" s="72">
        <v>820</v>
      </c>
      <c r="T432" s="72">
        <v>4</v>
      </c>
      <c r="U432" s="72">
        <v>816</v>
      </c>
      <c r="V432" s="75">
        <v>5.0000000000000001E-3</v>
      </c>
      <c r="W432" s="76">
        <v>1617</v>
      </c>
      <c r="X432" s="72">
        <v>811</v>
      </c>
      <c r="Y432" s="72">
        <v>806</v>
      </c>
      <c r="Z432" s="78">
        <v>0.502</v>
      </c>
      <c r="AA432" s="76">
        <v>4100</v>
      </c>
      <c r="AB432" s="76">
        <v>1017</v>
      </c>
      <c r="AC432" s="76">
        <v>3083</v>
      </c>
      <c r="AD432" s="77">
        <v>0.5</v>
      </c>
    </row>
    <row r="433" spans="1:30" ht="12.75" x14ac:dyDescent="0.2">
      <c r="A433" s="83" t="s">
        <v>665</v>
      </c>
      <c r="B433" s="72">
        <v>159</v>
      </c>
      <c r="C433" s="72">
        <v>58</v>
      </c>
      <c r="D433" s="72">
        <v>57</v>
      </c>
      <c r="E433" s="72">
        <v>1</v>
      </c>
      <c r="F433" s="72">
        <v>101</v>
      </c>
      <c r="G433" s="73">
        <v>0.36499999999999999</v>
      </c>
      <c r="H433" s="74">
        <v>80</v>
      </c>
      <c r="I433" s="74">
        <v>0</v>
      </c>
      <c r="J433" s="72">
        <v>106</v>
      </c>
      <c r="K433" s="72">
        <v>63</v>
      </c>
      <c r="L433" s="72">
        <v>36</v>
      </c>
      <c r="M433" s="72">
        <v>27</v>
      </c>
      <c r="N433" s="72">
        <v>43</v>
      </c>
      <c r="O433" s="72">
        <v>63</v>
      </c>
      <c r="P433" s="72">
        <v>43</v>
      </c>
      <c r="Q433" s="78">
        <v>0.59399999999999997</v>
      </c>
      <c r="R433" s="78">
        <v>0.59399999999999997</v>
      </c>
      <c r="S433" s="72">
        <v>112</v>
      </c>
      <c r="T433" s="72">
        <v>252</v>
      </c>
      <c r="U433" s="72">
        <v>0</v>
      </c>
      <c r="V433" s="78">
        <v>2.25</v>
      </c>
      <c r="W433" s="72">
        <v>284</v>
      </c>
      <c r="X433" s="72">
        <v>581</v>
      </c>
      <c r="Y433" s="72">
        <v>0</v>
      </c>
      <c r="Z433" s="78">
        <v>2.0459999999999998</v>
      </c>
      <c r="AA433" s="72">
        <v>661</v>
      </c>
      <c r="AB433" s="72">
        <v>954</v>
      </c>
      <c r="AC433" s="72">
        <v>144</v>
      </c>
      <c r="AD433" s="77">
        <v>0.5</v>
      </c>
    </row>
    <row r="434" spans="1:30" ht="12.75" x14ac:dyDescent="0.2">
      <c r="A434" s="83" t="s">
        <v>614</v>
      </c>
      <c r="B434" s="76">
        <v>1050</v>
      </c>
      <c r="C434" s="72">
        <v>1</v>
      </c>
      <c r="D434" s="72">
        <v>1</v>
      </c>
      <c r="E434" s="72">
        <v>0</v>
      </c>
      <c r="F434" s="76">
        <v>1049</v>
      </c>
      <c r="G434" s="73">
        <v>1E-3</v>
      </c>
      <c r="H434" s="74">
        <v>525</v>
      </c>
      <c r="I434" s="74">
        <v>0</v>
      </c>
      <c r="J434" s="72">
        <v>695</v>
      </c>
      <c r="K434" s="72">
        <v>1</v>
      </c>
      <c r="L434" s="72">
        <v>1</v>
      </c>
      <c r="M434" s="72">
        <v>0</v>
      </c>
      <c r="N434" s="72">
        <v>694</v>
      </c>
      <c r="O434" s="72">
        <v>1</v>
      </c>
      <c r="P434" s="72">
        <v>694</v>
      </c>
      <c r="Q434" s="75">
        <v>1E-3</v>
      </c>
      <c r="R434" s="75">
        <v>1E-3</v>
      </c>
      <c r="S434" s="72">
        <v>755</v>
      </c>
      <c r="T434" s="72">
        <v>46</v>
      </c>
      <c r="U434" s="72">
        <v>709</v>
      </c>
      <c r="V434" s="75">
        <v>6.0999999999999999E-2</v>
      </c>
      <c r="W434" s="76">
        <v>1593</v>
      </c>
      <c r="X434" s="76">
        <v>3382</v>
      </c>
      <c r="Y434" s="72">
        <v>0</v>
      </c>
      <c r="Z434" s="78">
        <v>2.1230000000000002</v>
      </c>
      <c r="AA434" s="76">
        <v>4093</v>
      </c>
      <c r="AB434" s="76">
        <v>3430</v>
      </c>
      <c r="AC434" s="76">
        <v>2452</v>
      </c>
      <c r="AD434" s="77">
        <v>0.5</v>
      </c>
    </row>
    <row r="435" spans="1:30" ht="12.75" x14ac:dyDescent="0.2">
      <c r="A435" s="83" t="s">
        <v>666</v>
      </c>
      <c r="B435" s="72">
        <v>22</v>
      </c>
      <c r="C435" s="72">
        <v>64</v>
      </c>
      <c r="D435" s="72">
        <v>29</v>
      </c>
      <c r="E435" s="72">
        <v>35</v>
      </c>
      <c r="F435" s="72">
        <v>0</v>
      </c>
      <c r="G435" s="79">
        <v>2.9089999999999998</v>
      </c>
      <c r="H435" s="74">
        <v>11</v>
      </c>
      <c r="I435" s="74">
        <v>53</v>
      </c>
      <c r="J435" s="72">
        <v>13</v>
      </c>
      <c r="K435" s="72">
        <v>0</v>
      </c>
      <c r="L435" s="72">
        <v>0</v>
      </c>
      <c r="M435" s="72">
        <v>0</v>
      </c>
      <c r="N435" s="72">
        <v>13</v>
      </c>
      <c r="O435" s="72">
        <v>53</v>
      </c>
      <c r="P435" s="72">
        <v>0</v>
      </c>
      <c r="Q435" s="75">
        <v>0</v>
      </c>
      <c r="R435" s="78">
        <v>4.077</v>
      </c>
      <c r="S435" s="72">
        <v>214</v>
      </c>
      <c r="T435" s="72">
        <v>65</v>
      </c>
      <c r="U435" s="72">
        <v>149</v>
      </c>
      <c r="V435" s="75">
        <v>0.30399999999999999</v>
      </c>
      <c r="W435" s="72">
        <v>28</v>
      </c>
      <c r="X435" s="72">
        <v>227</v>
      </c>
      <c r="Y435" s="72">
        <v>0</v>
      </c>
      <c r="Z435" s="78">
        <v>8.1069999999999993</v>
      </c>
      <c r="AA435" s="72">
        <v>277</v>
      </c>
      <c r="AB435" s="72">
        <v>356</v>
      </c>
      <c r="AC435" s="72">
        <v>162</v>
      </c>
      <c r="AD435" s="77">
        <v>0.5</v>
      </c>
    </row>
    <row r="436" spans="1:30" ht="12.75" x14ac:dyDescent="0.2">
      <c r="A436" s="83" t="s">
        <v>502</v>
      </c>
      <c r="B436" s="76">
        <v>2645</v>
      </c>
      <c r="C436" s="72">
        <v>13</v>
      </c>
      <c r="D436" s="72">
        <v>13</v>
      </c>
      <c r="E436" s="72">
        <v>0</v>
      </c>
      <c r="F436" s="76">
        <v>2632</v>
      </c>
      <c r="G436" s="73">
        <v>5.0000000000000001E-3</v>
      </c>
      <c r="H436" s="74">
        <v>1323</v>
      </c>
      <c r="I436" s="74">
        <v>0</v>
      </c>
      <c r="J436" s="76">
        <v>1678</v>
      </c>
      <c r="K436" s="72">
        <v>124</v>
      </c>
      <c r="L436" s="72">
        <v>94</v>
      </c>
      <c r="M436" s="72">
        <v>30</v>
      </c>
      <c r="N436" s="76">
        <v>1554</v>
      </c>
      <c r="O436" s="72">
        <v>124</v>
      </c>
      <c r="P436" s="76">
        <v>1554</v>
      </c>
      <c r="Q436" s="75">
        <v>7.3999999999999996E-2</v>
      </c>
      <c r="R436" s="75">
        <v>7.3999999999999996E-2</v>
      </c>
      <c r="S436" s="76">
        <v>1532</v>
      </c>
      <c r="T436" s="72">
        <v>155</v>
      </c>
      <c r="U436" s="76">
        <v>1377</v>
      </c>
      <c r="V436" s="75">
        <v>0.10100000000000001</v>
      </c>
      <c r="W436" s="76">
        <v>5126</v>
      </c>
      <c r="X436" s="76">
        <v>1944</v>
      </c>
      <c r="Y436" s="76">
        <v>3182</v>
      </c>
      <c r="Z436" s="75">
        <v>0.379</v>
      </c>
      <c r="AA436" s="76">
        <v>10981</v>
      </c>
      <c r="AB436" s="76">
        <v>2236</v>
      </c>
      <c r="AC436" s="76">
        <v>8745</v>
      </c>
      <c r="AD436" s="77">
        <v>0.5</v>
      </c>
    </row>
    <row r="437" spans="1:30" ht="12.75" x14ac:dyDescent="0.2">
      <c r="A437" s="83" t="s">
        <v>621</v>
      </c>
      <c r="B437" s="72">
        <v>180</v>
      </c>
      <c r="C437" s="72">
        <v>12</v>
      </c>
      <c r="D437" s="72">
        <v>12</v>
      </c>
      <c r="E437" s="72">
        <v>0</v>
      </c>
      <c r="F437" s="72">
        <v>168</v>
      </c>
      <c r="G437" s="73">
        <v>6.7000000000000004E-2</v>
      </c>
      <c r="H437" s="74">
        <v>68</v>
      </c>
      <c r="I437" s="74">
        <v>0</v>
      </c>
      <c r="J437" s="72">
        <v>118</v>
      </c>
      <c r="K437" s="72">
        <v>88</v>
      </c>
      <c r="L437" s="72">
        <v>82</v>
      </c>
      <c r="M437" s="72">
        <v>6</v>
      </c>
      <c r="N437" s="72">
        <v>30</v>
      </c>
      <c r="O437" s="72">
        <v>88</v>
      </c>
      <c r="P437" s="72">
        <v>30</v>
      </c>
      <c r="Q437" s="78">
        <v>0.746</v>
      </c>
      <c r="R437" s="78">
        <v>0.746</v>
      </c>
      <c r="S437" s="72">
        <v>136</v>
      </c>
      <c r="T437" s="72">
        <v>193</v>
      </c>
      <c r="U437" s="72">
        <v>0</v>
      </c>
      <c r="V437" s="78">
        <v>1.419</v>
      </c>
      <c r="W437" s="72">
        <v>313</v>
      </c>
      <c r="X437" s="72">
        <v>337</v>
      </c>
      <c r="Y437" s="72">
        <v>0</v>
      </c>
      <c r="Z437" s="78">
        <v>1.077</v>
      </c>
      <c r="AA437" s="72">
        <v>747</v>
      </c>
      <c r="AB437" s="72">
        <v>630</v>
      </c>
      <c r="AC437" s="72">
        <v>198</v>
      </c>
      <c r="AD437" s="77">
        <v>0.375</v>
      </c>
    </row>
    <row r="438" spans="1:30" ht="12.75" x14ac:dyDescent="0.2">
      <c r="A438" s="83" t="s">
        <v>667</v>
      </c>
      <c r="B438" s="72">
        <v>317</v>
      </c>
      <c r="C438" s="72">
        <v>43</v>
      </c>
      <c r="D438" s="72">
        <v>43</v>
      </c>
      <c r="E438" s="72">
        <v>0</v>
      </c>
      <c r="F438" s="72">
        <v>274</v>
      </c>
      <c r="G438" s="73">
        <v>0.13600000000000001</v>
      </c>
      <c r="H438" s="74">
        <v>119</v>
      </c>
      <c r="I438" s="74">
        <v>0</v>
      </c>
      <c r="J438" s="72">
        <v>207</v>
      </c>
      <c r="K438" s="72">
        <v>40</v>
      </c>
      <c r="L438" s="72">
        <v>25</v>
      </c>
      <c r="M438" s="72">
        <v>15</v>
      </c>
      <c r="N438" s="72">
        <v>167</v>
      </c>
      <c r="O438" s="72">
        <v>40</v>
      </c>
      <c r="P438" s="72">
        <v>167</v>
      </c>
      <c r="Q438" s="75">
        <v>0.193</v>
      </c>
      <c r="R438" s="75">
        <v>0.193</v>
      </c>
      <c r="S438" s="72">
        <v>239</v>
      </c>
      <c r="T438" s="72">
        <v>211</v>
      </c>
      <c r="U438" s="72">
        <v>28</v>
      </c>
      <c r="V438" s="78">
        <v>0.88300000000000001</v>
      </c>
      <c r="W438" s="72">
        <v>551</v>
      </c>
      <c r="X438" s="72">
        <v>132</v>
      </c>
      <c r="Y438" s="72">
        <v>419</v>
      </c>
      <c r="Z438" s="75">
        <v>0.24</v>
      </c>
      <c r="AA438" s="76">
        <v>1314</v>
      </c>
      <c r="AB438" s="72">
        <v>426</v>
      </c>
      <c r="AC438" s="72">
        <v>888</v>
      </c>
      <c r="AD438" s="77">
        <v>0.375</v>
      </c>
    </row>
    <row r="439" spans="1:30" ht="12.75" x14ac:dyDescent="0.2">
      <c r="A439" s="83" t="s">
        <v>504</v>
      </c>
      <c r="B439" s="72">
        <v>82</v>
      </c>
      <c r="C439" s="72">
        <v>0</v>
      </c>
      <c r="D439" s="72">
        <v>0</v>
      </c>
      <c r="E439" s="72">
        <v>0</v>
      </c>
      <c r="F439" s="72">
        <v>82</v>
      </c>
      <c r="G439" s="73">
        <v>0</v>
      </c>
      <c r="H439" s="74">
        <v>41</v>
      </c>
      <c r="I439" s="74">
        <v>0</v>
      </c>
      <c r="J439" s="72">
        <v>50</v>
      </c>
      <c r="K439" s="72">
        <v>3</v>
      </c>
      <c r="L439" s="72">
        <v>0</v>
      </c>
      <c r="M439" s="72">
        <v>3</v>
      </c>
      <c r="N439" s="72">
        <v>47</v>
      </c>
      <c r="O439" s="72">
        <v>3</v>
      </c>
      <c r="P439" s="72">
        <v>47</v>
      </c>
      <c r="Q439" s="75">
        <v>0.06</v>
      </c>
      <c r="R439" s="75">
        <v>0.06</v>
      </c>
      <c r="S439" s="72">
        <v>53</v>
      </c>
      <c r="T439" s="72">
        <v>0</v>
      </c>
      <c r="U439" s="72">
        <v>53</v>
      </c>
      <c r="V439" s="75">
        <v>0</v>
      </c>
      <c r="W439" s="72">
        <v>139</v>
      </c>
      <c r="X439" s="72">
        <v>221</v>
      </c>
      <c r="Y439" s="72">
        <v>0</v>
      </c>
      <c r="Z439" s="78">
        <v>1.59</v>
      </c>
      <c r="AA439" s="72">
        <v>324</v>
      </c>
      <c r="AB439" s="72">
        <v>224</v>
      </c>
      <c r="AC439" s="72">
        <v>182</v>
      </c>
      <c r="AD439" s="77">
        <v>0.5</v>
      </c>
    </row>
    <row r="440" spans="1:30" ht="12.75" x14ac:dyDescent="0.2">
      <c r="A440" s="83" t="s">
        <v>668</v>
      </c>
      <c r="B440" s="72">
        <v>985</v>
      </c>
      <c r="C440" s="72">
        <v>27</v>
      </c>
      <c r="D440" s="72">
        <v>27</v>
      </c>
      <c r="E440" s="72">
        <v>0</v>
      </c>
      <c r="F440" s="72">
        <v>958</v>
      </c>
      <c r="G440" s="73">
        <v>2.7E-2</v>
      </c>
      <c r="H440" s="74">
        <v>493</v>
      </c>
      <c r="I440" s="74">
        <v>0</v>
      </c>
      <c r="J440" s="72">
        <v>656</v>
      </c>
      <c r="K440" s="72">
        <v>167</v>
      </c>
      <c r="L440" s="72">
        <v>137</v>
      </c>
      <c r="M440" s="72">
        <v>30</v>
      </c>
      <c r="N440" s="72">
        <v>489</v>
      </c>
      <c r="O440" s="72">
        <v>167</v>
      </c>
      <c r="P440" s="72">
        <v>489</v>
      </c>
      <c r="Q440" s="75">
        <v>0.255</v>
      </c>
      <c r="R440" s="75">
        <v>0.255</v>
      </c>
      <c r="S440" s="72">
        <v>730</v>
      </c>
      <c r="T440" s="72">
        <v>691</v>
      </c>
      <c r="U440" s="72">
        <v>39</v>
      </c>
      <c r="V440" s="78">
        <v>0.94699999999999995</v>
      </c>
      <c r="W440" s="76">
        <v>1731</v>
      </c>
      <c r="X440" s="72">
        <v>518</v>
      </c>
      <c r="Y440" s="76">
        <v>1213</v>
      </c>
      <c r="Z440" s="75">
        <v>0.29899999999999999</v>
      </c>
      <c r="AA440" s="76">
        <v>4102</v>
      </c>
      <c r="AB440" s="76">
        <v>1403</v>
      </c>
      <c r="AC440" s="76">
        <v>2699</v>
      </c>
      <c r="AD440" s="77">
        <v>0.5</v>
      </c>
    </row>
    <row r="441" spans="1:30" ht="12.75" x14ac:dyDescent="0.2">
      <c r="A441" s="83" t="s">
        <v>505</v>
      </c>
      <c r="B441" s="72">
        <v>428</v>
      </c>
      <c r="C441" s="72">
        <v>356</v>
      </c>
      <c r="D441" s="72">
        <v>356</v>
      </c>
      <c r="E441" s="72">
        <v>0</v>
      </c>
      <c r="F441" s="72">
        <v>72</v>
      </c>
      <c r="G441" s="79">
        <v>0.83199999999999996</v>
      </c>
      <c r="H441" s="74">
        <v>214</v>
      </c>
      <c r="I441" s="74">
        <v>142</v>
      </c>
      <c r="J441" s="72">
        <v>263</v>
      </c>
      <c r="K441" s="72">
        <v>133</v>
      </c>
      <c r="L441" s="72">
        <v>133</v>
      </c>
      <c r="M441" s="72">
        <v>0</v>
      </c>
      <c r="N441" s="72">
        <v>130</v>
      </c>
      <c r="O441" s="72">
        <v>275</v>
      </c>
      <c r="P441" s="72">
        <v>0</v>
      </c>
      <c r="Q441" s="78">
        <v>0.50600000000000001</v>
      </c>
      <c r="R441" s="78">
        <v>1.046</v>
      </c>
      <c r="S441" s="72">
        <v>283</v>
      </c>
      <c r="T441" s="72">
        <v>51</v>
      </c>
      <c r="U441" s="72">
        <v>232</v>
      </c>
      <c r="V441" s="75">
        <v>0.18</v>
      </c>
      <c r="W441" s="72">
        <v>700</v>
      </c>
      <c r="X441" s="76">
        <v>1534</v>
      </c>
      <c r="Y441" s="72">
        <v>0</v>
      </c>
      <c r="Z441" s="78">
        <v>2.1909999999999998</v>
      </c>
      <c r="AA441" s="76">
        <v>1674</v>
      </c>
      <c r="AB441" s="76">
        <v>2074</v>
      </c>
      <c r="AC441" s="72">
        <v>434</v>
      </c>
      <c r="AD441" s="77">
        <v>0.5</v>
      </c>
    </row>
    <row r="442" spans="1:30" ht="12.75" x14ac:dyDescent="0.2">
      <c r="A442" s="83" t="s">
        <v>670</v>
      </c>
      <c r="B442" s="72">
        <v>288</v>
      </c>
      <c r="C442" s="72">
        <v>0</v>
      </c>
      <c r="D442" s="72">
        <v>0</v>
      </c>
      <c r="E442" s="72">
        <v>0</v>
      </c>
      <c r="F442" s="72">
        <v>288</v>
      </c>
      <c r="G442" s="73">
        <v>0</v>
      </c>
      <c r="H442" s="74">
        <v>144</v>
      </c>
      <c r="I442" s="74">
        <v>0</v>
      </c>
      <c r="J442" s="72">
        <v>201</v>
      </c>
      <c r="K442" s="72">
        <v>10</v>
      </c>
      <c r="L442" s="72">
        <v>10</v>
      </c>
      <c r="M442" s="72">
        <v>0</v>
      </c>
      <c r="N442" s="72">
        <v>191</v>
      </c>
      <c r="O442" s="72">
        <v>10</v>
      </c>
      <c r="P442" s="72">
        <v>191</v>
      </c>
      <c r="Q442" s="75">
        <v>0.05</v>
      </c>
      <c r="R442" s="75">
        <v>0.05</v>
      </c>
      <c r="S442" s="72">
        <v>241</v>
      </c>
      <c r="T442" s="72">
        <v>6</v>
      </c>
      <c r="U442" s="72">
        <v>235</v>
      </c>
      <c r="V442" s="75">
        <v>2.5000000000000001E-2</v>
      </c>
      <c r="W442" s="72">
        <v>555</v>
      </c>
      <c r="X442" s="72">
        <v>1</v>
      </c>
      <c r="Y442" s="72">
        <v>554</v>
      </c>
      <c r="Z442" s="75">
        <v>2E-3</v>
      </c>
      <c r="AA442" s="76">
        <v>1285</v>
      </c>
      <c r="AB442" s="72">
        <v>17</v>
      </c>
      <c r="AC442" s="76">
        <v>1268</v>
      </c>
      <c r="AD442" s="77">
        <v>0.5</v>
      </c>
    </row>
    <row r="443" spans="1:30" ht="12.75" x14ac:dyDescent="0.2">
      <c r="A443" s="83" t="s">
        <v>671</v>
      </c>
      <c r="B443" s="76">
        <v>1041</v>
      </c>
      <c r="C443" s="72">
        <v>105</v>
      </c>
      <c r="D443" s="72">
        <v>105</v>
      </c>
      <c r="E443" s="72">
        <v>0</v>
      </c>
      <c r="F443" s="72">
        <v>936</v>
      </c>
      <c r="G443" s="73">
        <v>0.10100000000000001</v>
      </c>
      <c r="H443" s="74">
        <v>521</v>
      </c>
      <c r="I443" s="74">
        <v>0</v>
      </c>
      <c r="J443" s="72">
        <v>671</v>
      </c>
      <c r="K443" s="72">
        <v>139</v>
      </c>
      <c r="L443" s="72">
        <v>139</v>
      </c>
      <c r="M443" s="72">
        <v>0</v>
      </c>
      <c r="N443" s="72">
        <v>532</v>
      </c>
      <c r="O443" s="72">
        <v>139</v>
      </c>
      <c r="P443" s="72">
        <v>532</v>
      </c>
      <c r="Q443" s="75">
        <v>0.20699999999999999</v>
      </c>
      <c r="R443" s="75">
        <v>0.20699999999999999</v>
      </c>
      <c r="S443" s="72">
        <v>759</v>
      </c>
      <c r="T443" s="72">
        <v>50</v>
      </c>
      <c r="U443" s="72">
        <v>709</v>
      </c>
      <c r="V443" s="75">
        <v>6.6000000000000003E-2</v>
      </c>
      <c r="W443" s="76">
        <v>2612</v>
      </c>
      <c r="X443" s="72">
        <v>732</v>
      </c>
      <c r="Y443" s="76">
        <v>1880</v>
      </c>
      <c r="Z443" s="75">
        <v>0.28000000000000003</v>
      </c>
      <c r="AA443" s="76">
        <v>5083</v>
      </c>
      <c r="AB443" s="76">
        <v>1026</v>
      </c>
      <c r="AC443" s="76">
        <v>4057</v>
      </c>
      <c r="AD443" s="77">
        <v>0.5</v>
      </c>
    </row>
    <row r="444" spans="1:30" ht="12.75" x14ac:dyDescent="0.2">
      <c r="A444" s="83" t="s">
        <v>672</v>
      </c>
      <c r="B444" s="72">
        <v>914</v>
      </c>
      <c r="C444" s="72">
        <v>10</v>
      </c>
      <c r="D444" s="72">
        <v>10</v>
      </c>
      <c r="E444" s="72">
        <v>0</v>
      </c>
      <c r="F444" s="72">
        <v>904</v>
      </c>
      <c r="G444" s="73">
        <v>1.0999999999999999E-2</v>
      </c>
      <c r="H444" s="74">
        <v>457</v>
      </c>
      <c r="I444" s="74">
        <v>0</v>
      </c>
      <c r="J444" s="72">
        <v>694</v>
      </c>
      <c r="K444" s="72">
        <v>43</v>
      </c>
      <c r="L444" s="72">
        <v>37</v>
      </c>
      <c r="M444" s="72">
        <v>6</v>
      </c>
      <c r="N444" s="72">
        <v>651</v>
      </c>
      <c r="O444" s="72">
        <v>43</v>
      </c>
      <c r="P444" s="72">
        <v>651</v>
      </c>
      <c r="Q444" s="75">
        <v>6.2E-2</v>
      </c>
      <c r="R444" s="75">
        <v>6.2E-2</v>
      </c>
      <c r="S444" s="72">
        <v>642</v>
      </c>
      <c r="T444" s="72">
        <v>96</v>
      </c>
      <c r="U444" s="72">
        <v>546</v>
      </c>
      <c r="V444" s="75">
        <v>0.15</v>
      </c>
      <c r="W444" s="76">
        <v>1410</v>
      </c>
      <c r="X444" s="72">
        <v>883</v>
      </c>
      <c r="Y444" s="72">
        <v>527</v>
      </c>
      <c r="Z444" s="78">
        <v>0.626</v>
      </c>
      <c r="AA444" s="76">
        <v>3660</v>
      </c>
      <c r="AB444" s="76">
        <v>1032</v>
      </c>
      <c r="AC444" s="76">
        <v>2628</v>
      </c>
      <c r="AD444" s="77">
        <v>0.5</v>
      </c>
    </row>
    <row r="445" spans="1:30" ht="12.75" x14ac:dyDescent="0.2">
      <c r="A445" s="83" t="s">
        <v>673</v>
      </c>
      <c r="B445" s="72">
        <v>147</v>
      </c>
      <c r="C445" s="72">
        <v>0</v>
      </c>
      <c r="D445" s="72">
        <v>0</v>
      </c>
      <c r="E445" s="72">
        <v>0</v>
      </c>
      <c r="F445" s="72">
        <v>147</v>
      </c>
      <c r="G445" s="73">
        <v>0</v>
      </c>
      <c r="H445" s="74">
        <v>74</v>
      </c>
      <c r="I445" s="74">
        <v>0</v>
      </c>
      <c r="J445" s="72">
        <v>95</v>
      </c>
      <c r="K445" s="72">
        <v>32</v>
      </c>
      <c r="L445" s="72">
        <v>32</v>
      </c>
      <c r="M445" s="72">
        <v>0</v>
      </c>
      <c r="N445" s="72">
        <v>63</v>
      </c>
      <c r="O445" s="72">
        <v>32</v>
      </c>
      <c r="P445" s="72">
        <v>63</v>
      </c>
      <c r="Q445" s="75">
        <v>0.33700000000000002</v>
      </c>
      <c r="R445" s="75">
        <v>0.33700000000000002</v>
      </c>
      <c r="S445" s="72">
        <v>104</v>
      </c>
      <c r="T445" s="72">
        <v>6</v>
      </c>
      <c r="U445" s="72">
        <v>98</v>
      </c>
      <c r="V445" s="75">
        <v>5.8000000000000003E-2</v>
      </c>
      <c r="W445" s="72">
        <v>93</v>
      </c>
      <c r="X445" s="72">
        <v>19</v>
      </c>
      <c r="Y445" s="72">
        <v>74</v>
      </c>
      <c r="Z445" s="75">
        <v>0.20399999999999999</v>
      </c>
      <c r="AA445" s="72">
        <v>439</v>
      </c>
      <c r="AB445" s="72">
        <v>57</v>
      </c>
      <c r="AC445" s="72">
        <v>382</v>
      </c>
      <c r="AD445" s="77">
        <v>0.5</v>
      </c>
    </row>
    <row r="446" spans="1:30" ht="12.75" x14ac:dyDescent="0.2">
      <c r="A446" s="83" t="s">
        <v>674</v>
      </c>
      <c r="B446" s="72">
        <v>26</v>
      </c>
      <c r="C446" s="72">
        <v>10</v>
      </c>
      <c r="D446" s="72">
        <v>2</v>
      </c>
      <c r="E446" s="72">
        <v>8</v>
      </c>
      <c r="F446" s="72">
        <v>16</v>
      </c>
      <c r="G446" s="73">
        <v>0.38500000000000001</v>
      </c>
      <c r="H446" s="74">
        <v>13</v>
      </c>
      <c r="I446" s="74">
        <v>0</v>
      </c>
      <c r="J446" s="72">
        <v>14</v>
      </c>
      <c r="K446" s="72">
        <v>17</v>
      </c>
      <c r="L446" s="72">
        <v>1</v>
      </c>
      <c r="M446" s="72">
        <v>16</v>
      </c>
      <c r="N446" s="72">
        <v>0</v>
      </c>
      <c r="O446" s="72">
        <v>17</v>
      </c>
      <c r="P446" s="72">
        <v>0</v>
      </c>
      <c r="Q446" s="78">
        <v>1.214</v>
      </c>
      <c r="R446" s="78">
        <v>1.214</v>
      </c>
      <c r="S446" s="72">
        <v>16</v>
      </c>
      <c r="T446" s="72">
        <v>5</v>
      </c>
      <c r="U446" s="72">
        <v>11</v>
      </c>
      <c r="V446" s="75">
        <v>0.313</v>
      </c>
      <c r="W446" s="72">
        <v>23</v>
      </c>
      <c r="X446" s="72">
        <v>7</v>
      </c>
      <c r="Y446" s="72">
        <v>16</v>
      </c>
      <c r="Z446" s="75">
        <v>0.30399999999999999</v>
      </c>
      <c r="AA446" s="72">
        <v>79</v>
      </c>
      <c r="AB446" s="72">
        <v>39</v>
      </c>
      <c r="AC446" s="72">
        <v>43</v>
      </c>
      <c r="AD446" s="77">
        <v>0.5</v>
      </c>
    </row>
    <row r="447" spans="1:30" ht="12.75" x14ac:dyDescent="0.2">
      <c r="A447" s="83" t="s">
        <v>675</v>
      </c>
      <c r="B447" s="72">
        <v>34</v>
      </c>
      <c r="C447" s="72">
        <v>0</v>
      </c>
      <c r="D447" s="72">
        <v>0</v>
      </c>
      <c r="E447" s="72">
        <v>0</v>
      </c>
      <c r="F447" s="72">
        <v>34</v>
      </c>
      <c r="G447" s="73">
        <v>0</v>
      </c>
      <c r="H447" s="74">
        <v>13</v>
      </c>
      <c r="I447" s="74">
        <v>0</v>
      </c>
      <c r="J447" s="72">
        <v>22</v>
      </c>
      <c r="K447" s="72">
        <v>3</v>
      </c>
      <c r="L447" s="72">
        <v>3</v>
      </c>
      <c r="M447" s="72">
        <v>0</v>
      </c>
      <c r="N447" s="72">
        <v>19</v>
      </c>
      <c r="O447" s="72">
        <v>3</v>
      </c>
      <c r="P447" s="72">
        <v>19</v>
      </c>
      <c r="Q447" s="75">
        <v>0.13600000000000001</v>
      </c>
      <c r="R447" s="75">
        <v>0.13600000000000001</v>
      </c>
      <c r="S447" s="72">
        <v>26</v>
      </c>
      <c r="T447" s="72">
        <v>7</v>
      </c>
      <c r="U447" s="72">
        <v>19</v>
      </c>
      <c r="V447" s="75">
        <v>0.26900000000000002</v>
      </c>
      <c r="W447" s="72">
        <v>58</v>
      </c>
      <c r="X447" s="72">
        <v>115</v>
      </c>
      <c r="Y447" s="72">
        <v>0</v>
      </c>
      <c r="Z447" s="78">
        <v>1.9830000000000001</v>
      </c>
      <c r="AA447" s="72">
        <v>140</v>
      </c>
      <c r="AB447" s="72">
        <v>125</v>
      </c>
      <c r="AC447" s="72">
        <v>72</v>
      </c>
      <c r="AD447" s="77">
        <v>0.375</v>
      </c>
    </row>
    <row r="448" spans="1:30" ht="12.75" x14ac:dyDescent="0.2">
      <c r="A448" s="83" t="s">
        <v>676</v>
      </c>
      <c r="B448" s="72">
        <v>1</v>
      </c>
      <c r="C448" s="72">
        <v>0</v>
      </c>
      <c r="D448" s="72">
        <v>0</v>
      </c>
      <c r="E448" s="72">
        <v>0</v>
      </c>
      <c r="F448" s="72">
        <v>1</v>
      </c>
      <c r="G448" s="73">
        <v>0</v>
      </c>
      <c r="H448" s="74">
        <v>1</v>
      </c>
      <c r="I448" s="74">
        <v>0</v>
      </c>
      <c r="J448" s="72">
        <v>1</v>
      </c>
      <c r="K448" s="72">
        <v>0</v>
      </c>
      <c r="L448" s="72">
        <v>0</v>
      </c>
      <c r="M448" s="72">
        <v>0</v>
      </c>
      <c r="N448" s="72">
        <v>1</v>
      </c>
      <c r="O448" s="72">
        <v>0</v>
      </c>
      <c r="P448" s="72">
        <v>1</v>
      </c>
      <c r="Q448" s="75">
        <v>0</v>
      </c>
      <c r="R448" s="75">
        <v>0</v>
      </c>
      <c r="S448" s="72">
        <v>0</v>
      </c>
      <c r="T448" s="72">
        <v>0</v>
      </c>
      <c r="U448" s="72">
        <v>0</v>
      </c>
      <c r="V448" s="80" t="s">
        <v>196</v>
      </c>
      <c r="W448" s="72">
        <v>0</v>
      </c>
      <c r="X448" s="72">
        <v>0</v>
      </c>
      <c r="Y448" s="72">
        <v>0</v>
      </c>
      <c r="Z448" s="80" t="s">
        <v>196</v>
      </c>
      <c r="AA448" s="72">
        <v>2</v>
      </c>
      <c r="AB448" s="72">
        <v>0</v>
      </c>
      <c r="AC448" s="72">
        <v>2</v>
      </c>
      <c r="AD448" s="77">
        <v>0.5</v>
      </c>
    </row>
    <row r="449" spans="1:30" ht="12.75" x14ac:dyDescent="0.2">
      <c r="A449" s="83" t="s">
        <v>677</v>
      </c>
      <c r="B449" s="72">
        <v>95</v>
      </c>
      <c r="C449" s="72">
        <v>0</v>
      </c>
      <c r="D449" s="72">
        <v>0</v>
      </c>
      <c r="E449" s="72">
        <v>0</v>
      </c>
      <c r="F449" s="72">
        <v>95</v>
      </c>
      <c r="G449" s="73">
        <v>0</v>
      </c>
      <c r="H449" s="74">
        <v>36</v>
      </c>
      <c r="I449" s="74">
        <v>0</v>
      </c>
      <c r="J449" s="72">
        <v>62</v>
      </c>
      <c r="K449" s="72">
        <v>0</v>
      </c>
      <c r="L449" s="72">
        <v>0</v>
      </c>
      <c r="M449" s="72">
        <v>0</v>
      </c>
      <c r="N449" s="72">
        <v>62</v>
      </c>
      <c r="O449" s="72">
        <v>0</v>
      </c>
      <c r="P449" s="72">
        <v>62</v>
      </c>
      <c r="Q449" s="75">
        <v>0</v>
      </c>
      <c r="R449" s="75">
        <v>0</v>
      </c>
      <c r="S449" s="72">
        <v>72</v>
      </c>
      <c r="T449" s="72">
        <v>3</v>
      </c>
      <c r="U449" s="72">
        <v>69</v>
      </c>
      <c r="V449" s="75">
        <v>4.2000000000000003E-2</v>
      </c>
      <c r="W449" s="72">
        <v>164</v>
      </c>
      <c r="X449" s="72">
        <v>3</v>
      </c>
      <c r="Y449" s="72">
        <v>161</v>
      </c>
      <c r="Z449" s="75">
        <v>1.7999999999999999E-2</v>
      </c>
      <c r="AA449" s="72">
        <v>393</v>
      </c>
      <c r="AB449" s="72">
        <v>6</v>
      </c>
      <c r="AC449" s="72">
        <v>387</v>
      </c>
      <c r="AD449" s="77">
        <v>0.375</v>
      </c>
    </row>
    <row r="450" spans="1:30" ht="12.75" x14ac:dyDescent="0.2">
      <c r="A450" s="83" t="s">
        <v>678</v>
      </c>
      <c r="B450" s="72">
        <v>22</v>
      </c>
      <c r="C450" s="72">
        <v>3</v>
      </c>
      <c r="D450" s="72">
        <v>0</v>
      </c>
      <c r="E450" s="72">
        <v>3</v>
      </c>
      <c r="F450" s="72">
        <v>19</v>
      </c>
      <c r="G450" s="73">
        <v>0.13600000000000001</v>
      </c>
      <c r="H450" s="74">
        <v>11</v>
      </c>
      <c r="I450" s="74">
        <v>0</v>
      </c>
      <c r="J450" s="72">
        <v>17</v>
      </c>
      <c r="K450" s="72">
        <v>7</v>
      </c>
      <c r="L450" s="72">
        <v>3</v>
      </c>
      <c r="M450" s="72">
        <v>4</v>
      </c>
      <c r="N450" s="72">
        <v>10</v>
      </c>
      <c r="O450" s="72">
        <v>7</v>
      </c>
      <c r="P450" s="72">
        <v>10</v>
      </c>
      <c r="Q450" s="75">
        <v>0.41199999999999998</v>
      </c>
      <c r="R450" s="75">
        <v>0.41199999999999998</v>
      </c>
      <c r="S450" s="72">
        <v>19</v>
      </c>
      <c r="T450" s="72">
        <v>20</v>
      </c>
      <c r="U450" s="72">
        <v>0</v>
      </c>
      <c r="V450" s="78">
        <v>1.0529999999999999</v>
      </c>
      <c r="W450" s="72">
        <v>62</v>
      </c>
      <c r="X450" s="72">
        <v>24</v>
      </c>
      <c r="Y450" s="72">
        <v>38</v>
      </c>
      <c r="Z450" s="75">
        <v>0.38700000000000001</v>
      </c>
      <c r="AA450" s="72">
        <v>120</v>
      </c>
      <c r="AB450" s="72">
        <v>54</v>
      </c>
      <c r="AC450" s="72">
        <v>67</v>
      </c>
      <c r="AD450" s="77">
        <v>0.5</v>
      </c>
    </row>
    <row r="451" spans="1:30" ht="12.75" x14ac:dyDescent="0.2">
      <c r="A451" s="83" t="s">
        <v>375</v>
      </c>
      <c r="B451" s="72">
        <v>140</v>
      </c>
      <c r="C451" s="72">
        <v>55</v>
      </c>
      <c r="D451" s="72">
        <v>55</v>
      </c>
      <c r="E451" s="72">
        <v>0</v>
      </c>
      <c r="F451" s="72">
        <v>85</v>
      </c>
      <c r="G451" s="79">
        <v>0.39300000000000002</v>
      </c>
      <c r="H451" s="74">
        <v>53</v>
      </c>
      <c r="I451" s="74">
        <v>2</v>
      </c>
      <c r="J451" s="72">
        <v>115</v>
      </c>
      <c r="K451" s="72">
        <v>39</v>
      </c>
      <c r="L451" s="72">
        <v>39</v>
      </c>
      <c r="M451" s="72">
        <v>0</v>
      </c>
      <c r="N451" s="72">
        <v>76</v>
      </c>
      <c r="O451" s="72">
        <v>41</v>
      </c>
      <c r="P451" s="72">
        <v>74</v>
      </c>
      <c r="Q451" s="75">
        <v>0.33900000000000002</v>
      </c>
      <c r="R451" s="75">
        <v>0.35699999999999998</v>
      </c>
      <c r="S451" s="72">
        <v>69</v>
      </c>
      <c r="T451" s="72">
        <v>27</v>
      </c>
      <c r="U451" s="72">
        <v>42</v>
      </c>
      <c r="V451" s="78">
        <v>0.39100000000000001</v>
      </c>
      <c r="W451" s="72">
        <v>281</v>
      </c>
      <c r="X451" s="72">
        <v>2</v>
      </c>
      <c r="Y451" s="72">
        <v>279</v>
      </c>
      <c r="Z451" s="75">
        <v>7.0000000000000001E-3</v>
      </c>
      <c r="AA451" s="72">
        <v>605</v>
      </c>
      <c r="AB451" s="72">
        <v>123</v>
      </c>
      <c r="AC451" s="72">
        <v>482</v>
      </c>
      <c r="AD451" s="77">
        <v>0.375</v>
      </c>
    </row>
    <row r="452" spans="1:30" ht="12.75" x14ac:dyDescent="0.2">
      <c r="A452" s="83" t="s">
        <v>680</v>
      </c>
      <c r="B452" s="72">
        <v>417</v>
      </c>
      <c r="C452" s="72">
        <v>0</v>
      </c>
      <c r="D452" s="72">
        <v>0</v>
      </c>
      <c r="E452" s="72">
        <v>0</v>
      </c>
      <c r="F452" s="72">
        <v>417</v>
      </c>
      <c r="G452" s="73">
        <v>0</v>
      </c>
      <c r="H452" s="74">
        <v>156</v>
      </c>
      <c r="I452" s="74">
        <v>0</v>
      </c>
      <c r="J452" s="72">
        <v>426</v>
      </c>
      <c r="K452" s="72">
        <v>0</v>
      </c>
      <c r="L452" s="72">
        <v>0</v>
      </c>
      <c r="M452" s="72">
        <v>0</v>
      </c>
      <c r="N452" s="72">
        <v>426</v>
      </c>
      <c r="O452" s="72">
        <v>0</v>
      </c>
      <c r="P452" s="72">
        <v>426</v>
      </c>
      <c r="Q452" s="75">
        <v>0</v>
      </c>
      <c r="R452" s="75">
        <v>0</v>
      </c>
      <c r="S452" s="72">
        <v>397</v>
      </c>
      <c r="T452" s="72">
        <v>0</v>
      </c>
      <c r="U452" s="72">
        <v>397</v>
      </c>
      <c r="V452" s="75">
        <v>0</v>
      </c>
      <c r="W452" s="72">
        <v>796</v>
      </c>
      <c r="X452" s="72">
        <v>0</v>
      </c>
      <c r="Y452" s="72">
        <v>796</v>
      </c>
      <c r="Z452" s="75">
        <v>0</v>
      </c>
      <c r="AA452" s="76">
        <v>2036</v>
      </c>
      <c r="AB452" s="72">
        <v>0</v>
      </c>
      <c r="AC452" s="76">
        <v>2036</v>
      </c>
      <c r="AD452" s="77">
        <v>0.375</v>
      </c>
    </row>
    <row r="453" spans="1:30" ht="12.75" x14ac:dyDescent="0.2">
      <c r="A453" s="83" t="s">
        <v>681</v>
      </c>
      <c r="B453" s="72">
        <v>189</v>
      </c>
      <c r="C453" s="72">
        <v>16</v>
      </c>
      <c r="D453" s="72">
        <v>0</v>
      </c>
      <c r="E453" s="72">
        <v>16</v>
      </c>
      <c r="F453" s="72">
        <v>173</v>
      </c>
      <c r="G453" s="73">
        <v>8.5000000000000006E-2</v>
      </c>
      <c r="H453" s="74">
        <v>189</v>
      </c>
      <c r="I453" s="74">
        <v>0</v>
      </c>
      <c r="J453" s="72">
        <v>117</v>
      </c>
      <c r="K453" s="72">
        <v>32</v>
      </c>
      <c r="L453" s="72">
        <v>0</v>
      </c>
      <c r="M453" s="72">
        <v>32</v>
      </c>
      <c r="N453" s="72">
        <v>85</v>
      </c>
      <c r="O453" s="72">
        <v>32</v>
      </c>
      <c r="P453" s="72">
        <v>85</v>
      </c>
      <c r="Q453" s="75">
        <v>0.27400000000000002</v>
      </c>
      <c r="R453" s="75">
        <v>0.27400000000000002</v>
      </c>
      <c r="S453" s="72">
        <v>128</v>
      </c>
      <c r="T453" s="72">
        <v>138</v>
      </c>
      <c r="U453" s="72">
        <v>0</v>
      </c>
      <c r="V453" s="78">
        <v>1.0780000000000001</v>
      </c>
      <c r="W453" s="72">
        <v>321</v>
      </c>
      <c r="X453" s="72">
        <v>145</v>
      </c>
      <c r="Y453" s="72">
        <v>176</v>
      </c>
      <c r="Z453" s="75">
        <v>0.45200000000000001</v>
      </c>
      <c r="AA453" s="72">
        <v>755</v>
      </c>
      <c r="AB453" s="72">
        <v>331</v>
      </c>
      <c r="AC453" s="72">
        <v>434</v>
      </c>
      <c r="AD453" s="77">
        <v>1</v>
      </c>
    </row>
    <row r="454" spans="1:30" ht="12.75" x14ac:dyDescent="0.2">
      <c r="A454" s="83" t="s">
        <v>683</v>
      </c>
      <c r="B454" s="72">
        <v>32</v>
      </c>
      <c r="C454" s="72">
        <v>9</v>
      </c>
      <c r="D454" s="72">
        <v>9</v>
      </c>
      <c r="E454" s="72">
        <v>0</v>
      </c>
      <c r="F454" s="72">
        <v>23</v>
      </c>
      <c r="G454" s="73">
        <v>0.28100000000000003</v>
      </c>
      <c r="H454" s="74">
        <v>32</v>
      </c>
      <c r="I454" s="74">
        <v>0</v>
      </c>
      <c r="J454" s="72">
        <v>21</v>
      </c>
      <c r="K454" s="72">
        <v>32</v>
      </c>
      <c r="L454" s="72">
        <v>14</v>
      </c>
      <c r="M454" s="72">
        <v>18</v>
      </c>
      <c r="N454" s="72">
        <v>0</v>
      </c>
      <c r="O454" s="72">
        <v>32</v>
      </c>
      <c r="P454" s="72">
        <v>0</v>
      </c>
      <c r="Q454" s="78">
        <v>1.524</v>
      </c>
      <c r="R454" s="78">
        <v>1.524</v>
      </c>
      <c r="S454" s="72">
        <v>23</v>
      </c>
      <c r="T454" s="72">
        <v>63</v>
      </c>
      <c r="U454" s="72">
        <v>0</v>
      </c>
      <c r="V454" s="78">
        <v>2.7389999999999999</v>
      </c>
      <c r="W454" s="72">
        <v>58</v>
      </c>
      <c r="X454" s="72">
        <v>2</v>
      </c>
      <c r="Y454" s="72">
        <v>56</v>
      </c>
      <c r="Z454" s="75">
        <v>3.4000000000000002E-2</v>
      </c>
      <c r="AA454" s="72">
        <v>134</v>
      </c>
      <c r="AB454" s="72">
        <v>106</v>
      </c>
      <c r="AC454" s="72">
        <v>79</v>
      </c>
      <c r="AD454" s="77">
        <v>1</v>
      </c>
    </row>
    <row r="455" spans="1:30" ht="12.75" x14ac:dyDescent="0.2">
      <c r="A455" s="83" t="s">
        <v>684</v>
      </c>
      <c r="B455" s="72">
        <v>1</v>
      </c>
      <c r="C455" s="72">
        <v>0</v>
      </c>
      <c r="D455" s="72">
        <v>0</v>
      </c>
      <c r="E455" s="72">
        <v>0</v>
      </c>
      <c r="F455" s="72">
        <v>1</v>
      </c>
      <c r="G455" s="73">
        <v>0</v>
      </c>
      <c r="H455" s="74">
        <v>1</v>
      </c>
      <c r="I455" s="74">
        <v>0</v>
      </c>
      <c r="J455" s="72">
        <v>1</v>
      </c>
      <c r="K455" s="72">
        <v>0</v>
      </c>
      <c r="L455" s="72">
        <v>0</v>
      </c>
      <c r="M455" s="72">
        <v>0</v>
      </c>
      <c r="N455" s="72">
        <v>1</v>
      </c>
      <c r="O455" s="72">
        <v>0</v>
      </c>
      <c r="P455" s="72">
        <v>1</v>
      </c>
      <c r="Q455" s="75">
        <v>0</v>
      </c>
      <c r="R455" s="75">
        <v>0</v>
      </c>
      <c r="S455" s="72">
        <v>0</v>
      </c>
      <c r="T455" s="72">
        <v>0</v>
      </c>
      <c r="U455" s="72">
        <v>0</v>
      </c>
      <c r="V455" s="80" t="s">
        <v>196</v>
      </c>
      <c r="W455" s="72">
        <v>0</v>
      </c>
      <c r="X455" s="72">
        <v>0</v>
      </c>
      <c r="Y455" s="72">
        <v>0</v>
      </c>
      <c r="Z455" s="80" t="s">
        <v>196</v>
      </c>
      <c r="AA455" s="72">
        <v>2</v>
      </c>
      <c r="AB455" s="72">
        <v>0</v>
      </c>
      <c r="AC455" s="72">
        <v>2</v>
      </c>
      <c r="AD455" s="77">
        <v>1</v>
      </c>
    </row>
    <row r="456" spans="1:30" ht="12.75" x14ac:dyDescent="0.2">
      <c r="A456" s="83" t="s">
        <v>506</v>
      </c>
      <c r="B456" s="72">
        <v>14</v>
      </c>
      <c r="C456" s="72">
        <v>2</v>
      </c>
      <c r="D456" s="72">
        <v>0</v>
      </c>
      <c r="E456" s="72">
        <v>2</v>
      </c>
      <c r="F456" s="72">
        <v>12</v>
      </c>
      <c r="G456" s="73">
        <v>0.14299999999999999</v>
      </c>
      <c r="H456" s="74">
        <v>7</v>
      </c>
      <c r="I456" s="74">
        <v>0</v>
      </c>
      <c r="J456" s="72">
        <v>9</v>
      </c>
      <c r="K456" s="72">
        <v>8</v>
      </c>
      <c r="L456" s="72">
        <v>0</v>
      </c>
      <c r="M456" s="72">
        <v>8</v>
      </c>
      <c r="N456" s="72">
        <v>1</v>
      </c>
      <c r="O456" s="72">
        <v>8</v>
      </c>
      <c r="P456" s="72">
        <v>1</v>
      </c>
      <c r="Q456" s="78">
        <v>0.88900000000000001</v>
      </c>
      <c r="R456" s="78">
        <v>0.88900000000000001</v>
      </c>
      <c r="S456" s="72">
        <v>9</v>
      </c>
      <c r="T456" s="72">
        <v>3</v>
      </c>
      <c r="U456" s="72">
        <v>6</v>
      </c>
      <c r="V456" s="75">
        <v>0.33300000000000002</v>
      </c>
      <c r="W456" s="72">
        <v>23</v>
      </c>
      <c r="X456" s="72">
        <v>82</v>
      </c>
      <c r="Y456" s="72">
        <v>0</v>
      </c>
      <c r="Z456" s="78">
        <v>3.5649999999999999</v>
      </c>
      <c r="AA456" s="72">
        <v>55</v>
      </c>
      <c r="AB456" s="72">
        <v>95</v>
      </c>
      <c r="AC456" s="72">
        <v>19</v>
      </c>
      <c r="AD456" s="77">
        <v>0.5</v>
      </c>
    </row>
    <row r="457" spans="1:30" ht="12.75" x14ac:dyDescent="0.2">
      <c r="A457" s="83" t="s">
        <v>508</v>
      </c>
      <c r="B457" s="72">
        <v>44</v>
      </c>
      <c r="C457" s="72">
        <v>44</v>
      </c>
      <c r="D457" s="72">
        <v>44</v>
      </c>
      <c r="E457" s="72">
        <v>0</v>
      </c>
      <c r="F457" s="72">
        <v>0</v>
      </c>
      <c r="G457" s="79">
        <v>1</v>
      </c>
      <c r="H457" s="74">
        <v>22</v>
      </c>
      <c r="I457" s="74">
        <v>22</v>
      </c>
      <c r="J457" s="72">
        <v>27</v>
      </c>
      <c r="K457" s="72">
        <v>27</v>
      </c>
      <c r="L457" s="72">
        <v>27</v>
      </c>
      <c r="M457" s="72">
        <v>0</v>
      </c>
      <c r="N457" s="72">
        <v>0</v>
      </c>
      <c r="O457" s="72">
        <v>49</v>
      </c>
      <c r="P457" s="72">
        <v>0</v>
      </c>
      <c r="Q457" s="78">
        <v>1</v>
      </c>
      <c r="R457" s="78">
        <v>1.8149999999999999</v>
      </c>
      <c r="S457" s="72">
        <v>28</v>
      </c>
      <c r="T457" s="72">
        <v>19</v>
      </c>
      <c r="U457" s="72">
        <v>9</v>
      </c>
      <c r="V457" s="78">
        <v>0.67900000000000005</v>
      </c>
      <c r="W457" s="72">
        <v>70</v>
      </c>
      <c r="X457" s="72">
        <v>28</v>
      </c>
      <c r="Y457" s="72">
        <v>42</v>
      </c>
      <c r="Z457" s="75">
        <v>0.4</v>
      </c>
      <c r="AA457" s="72">
        <v>169</v>
      </c>
      <c r="AB457" s="72">
        <v>118</v>
      </c>
      <c r="AC457" s="72">
        <v>51</v>
      </c>
      <c r="AD457" s="77">
        <v>0.5</v>
      </c>
    </row>
    <row r="458" spans="1:30" ht="12.75" x14ac:dyDescent="0.2">
      <c r="A458" s="83" t="s">
        <v>686</v>
      </c>
      <c r="B458" s="72">
        <v>310</v>
      </c>
      <c r="C458" s="72">
        <v>35</v>
      </c>
      <c r="D458" s="72">
        <v>35</v>
      </c>
      <c r="E458" s="72">
        <v>0</v>
      </c>
      <c r="F458" s="72">
        <v>275</v>
      </c>
      <c r="G458" s="73">
        <v>0.113</v>
      </c>
      <c r="H458" s="74">
        <v>155</v>
      </c>
      <c r="I458" s="74">
        <v>0</v>
      </c>
      <c r="J458" s="72">
        <v>208</v>
      </c>
      <c r="K458" s="72">
        <v>3</v>
      </c>
      <c r="L458" s="72">
        <v>3</v>
      </c>
      <c r="M458" s="72">
        <v>0</v>
      </c>
      <c r="N458" s="72">
        <v>205</v>
      </c>
      <c r="O458" s="72">
        <v>3</v>
      </c>
      <c r="P458" s="72">
        <v>205</v>
      </c>
      <c r="Q458" s="75">
        <v>1.4E-2</v>
      </c>
      <c r="R458" s="75">
        <v>1.4E-2</v>
      </c>
      <c r="S458" s="72">
        <v>229</v>
      </c>
      <c r="T458" s="72">
        <v>54</v>
      </c>
      <c r="U458" s="72">
        <v>175</v>
      </c>
      <c r="V458" s="75">
        <v>0.23599999999999999</v>
      </c>
      <c r="W458" s="72">
        <v>509</v>
      </c>
      <c r="X458" s="72">
        <v>438</v>
      </c>
      <c r="Y458" s="72">
        <v>71</v>
      </c>
      <c r="Z458" s="78">
        <v>0.86099999999999999</v>
      </c>
      <c r="AA458" s="76">
        <v>1256</v>
      </c>
      <c r="AB458" s="72">
        <v>530</v>
      </c>
      <c r="AC458" s="72">
        <v>726</v>
      </c>
      <c r="AD458" s="77">
        <v>0.5</v>
      </c>
    </row>
    <row r="459" spans="1:30" ht="12.75" x14ac:dyDescent="0.2">
      <c r="A459" s="83" t="s">
        <v>687</v>
      </c>
      <c r="B459" s="72">
        <v>65</v>
      </c>
      <c r="C459" s="72">
        <v>0</v>
      </c>
      <c r="D459" s="72">
        <v>0</v>
      </c>
      <c r="E459" s="72">
        <v>0</v>
      </c>
      <c r="F459" s="72">
        <v>65</v>
      </c>
      <c r="G459" s="73">
        <v>0</v>
      </c>
      <c r="H459" s="74">
        <v>65</v>
      </c>
      <c r="I459" s="74">
        <v>0</v>
      </c>
      <c r="J459" s="72">
        <v>40</v>
      </c>
      <c r="K459" s="72">
        <v>0</v>
      </c>
      <c r="L459" s="72">
        <v>0</v>
      </c>
      <c r="M459" s="72">
        <v>0</v>
      </c>
      <c r="N459" s="72">
        <v>40</v>
      </c>
      <c r="O459" s="72">
        <v>0</v>
      </c>
      <c r="P459" s="72">
        <v>40</v>
      </c>
      <c r="Q459" s="75">
        <v>0</v>
      </c>
      <c r="R459" s="75">
        <v>0</v>
      </c>
      <c r="S459" s="72">
        <v>43</v>
      </c>
      <c r="T459" s="72">
        <v>0</v>
      </c>
      <c r="U459" s="72">
        <v>43</v>
      </c>
      <c r="V459" s="75">
        <v>0</v>
      </c>
      <c r="W459" s="72">
        <v>110</v>
      </c>
      <c r="X459" s="72">
        <v>0</v>
      </c>
      <c r="Y459" s="72">
        <v>110</v>
      </c>
      <c r="Z459" s="75">
        <v>0</v>
      </c>
      <c r="AA459" s="72">
        <v>258</v>
      </c>
      <c r="AB459" s="72">
        <v>0</v>
      </c>
      <c r="AC459" s="72">
        <v>258</v>
      </c>
      <c r="AD459" s="77">
        <v>1</v>
      </c>
    </row>
    <row r="460" spans="1:30" ht="12.75" x14ac:dyDescent="0.2">
      <c r="A460" s="83" t="s">
        <v>688</v>
      </c>
      <c r="B460" s="72">
        <v>85</v>
      </c>
      <c r="C460" s="72">
        <v>0</v>
      </c>
      <c r="D460" s="72">
        <v>0</v>
      </c>
      <c r="E460" s="72">
        <v>0</v>
      </c>
      <c r="F460" s="72">
        <v>85</v>
      </c>
      <c r="G460" s="73">
        <v>0</v>
      </c>
      <c r="H460" s="74">
        <v>43</v>
      </c>
      <c r="I460" s="74">
        <v>0</v>
      </c>
      <c r="J460" s="72">
        <v>65</v>
      </c>
      <c r="K460" s="72">
        <v>6</v>
      </c>
      <c r="L460" s="72">
        <v>5</v>
      </c>
      <c r="M460" s="72">
        <v>1</v>
      </c>
      <c r="N460" s="72">
        <v>59</v>
      </c>
      <c r="O460" s="72">
        <v>6</v>
      </c>
      <c r="P460" s="72">
        <v>59</v>
      </c>
      <c r="Q460" s="75">
        <v>9.1999999999999998E-2</v>
      </c>
      <c r="R460" s="75">
        <v>9.1999999999999998E-2</v>
      </c>
      <c r="S460" s="72">
        <v>59</v>
      </c>
      <c r="T460" s="72">
        <v>8</v>
      </c>
      <c r="U460" s="72">
        <v>51</v>
      </c>
      <c r="V460" s="75">
        <v>0.13600000000000001</v>
      </c>
      <c r="W460" s="72">
        <v>131</v>
      </c>
      <c r="X460" s="72">
        <v>47</v>
      </c>
      <c r="Y460" s="72">
        <v>84</v>
      </c>
      <c r="Z460" s="75">
        <v>0.35899999999999999</v>
      </c>
      <c r="AA460" s="72">
        <v>340</v>
      </c>
      <c r="AB460" s="72">
        <v>61</v>
      </c>
      <c r="AC460" s="72">
        <v>279</v>
      </c>
      <c r="AD460" s="77">
        <v>0.5</v>
      </c>
    </row>
    <row r="461" spans="1:30" ht="12.75" x14ac:dyDescent="0.2">
      <c r="A461" s="83" t="s">
        <v>689</v>
      </c>
      <c r="B461" s="72">
        <v>26</v>
      </c>
      <c r="C461" s="72">
        <v>5</v>
      </c>
      <c r="D461" s="72">
        <v>1</v>
      </c>
      <c r="E461" s="72">
        <v>4</v>
      </c>
      <c r="F461" s="72">
        <v>21</v>
      </c>
      <c r="G461" s="73">
        <v>0.192</v>
      </c>
      <c r="H461" s="74">
        <v>13</v>
      </c>
      <c r="I461" s="74">
        <v>0</v>
      </c>
      <c r="J461" s="72">
        <v>15</v>
      </c>
      <c r="K461" s="72">
        <v>55</v>
      </c>
      <c r="L461" s="72">
        <v>13</v>
      </c>
      <c r="M461" s="72">
        <v>42</v>
      </c>
      <c r="N461" s="72">
        <v>0</v>
      </c>
      <c r="O461" s="72">
        <v>55</v>
      </c>
      <c r="P461" s="72">
        <v>0</v>
      </c>
      <c r="Q461" s="78">
        <v>3.6669999999999998</v>
      </c>
      <c r="R461" s="78">
        <v>3.6669999999999998</v>
      </c>
      <c r="S461" s="72">
        <v>19</v>
      </c>
      <c r="T461" s="72">
        <v>22</v>
      </c>
      <c r="U461" s="72">
        <v>0</v>
      </c>
      <c r="V461" s="78">
        <v>1.1579999999999999</v>
      </c>
      <c r="W461" s="72">
        <v>43</v>
      </c>
      <c r="X461" s="72">
        <v>59</v>
      </c>
      <c r="Y461" s="72">
        <v>0</v>
      </c>
      <c r="Z461" s="78">
        <v>1.3720000000000001</v>
      </c>
      <c r="AA461" s="72">
        <v>103</v>
      </c>
      <c r="AB461" s="72">
        <v>141</v>
      </c>
      <c r="AC461" s="72">
        <v>21</v>
      </c>
      <c r="AD461" s="77">
        <v>0.5</v>
      </c>
    </row>
    <row r="462" spans="1:30" ht="12.75" x14ac:dyDescent="0.2">
      <c r="A462" s="83" t="s">
        <v>690</v>
      </c>
      <c r="B462" s="72">
        <v>46</v>
      </c>
      <c r="C462" s="72">
        <v>0</v>
      </c>
      <c r="D462" s="72">
        <v>0</v>
      </c>
      <c r="E462" s="72">
        <v>0</v>
      </c>
      <c r="F462" s="72">
        <v>46</v>
      </c>
      <c r="G462" s="73">
        <v>0</v>
      </c>
      <c r="H462" s="74">
        <v>17</v>
      </c>
      <c r="I462" s="74">
        <v>0</v>
      </c>
      <c r="J462" s="72">
        <v>30</v>
      </c>
      <c r="K462" s="72">
        <v>0</v>
      </c>
      <c r="L462" s="72">
        <v>0</v>
      </c>
      <c r="M462" s="72">
        <v>0</v>
      </c>
      <c r="N462" s="72">
        <v>30</v>
      </c>
      <c r="O462" s="72">
        <v>0</v>
      </c>
      <c r="P462" s="72">
        <v>30</v>
      </c>
      <c r="Q462" s="75">
        <v>0</v>
      </c>
      <c r="R462" s="75">
        <v>0</v>
      </c>
      <c r="S462" s="72">
        <v>35</v>
      </c>
      <c r="T462" s="72">
        <v>0</v>
      </c>
      <c r="U462" s="72">
        <v>35</v>
      </c>
      <c r="V462" s="75">
        <v>0</v>
      </c>
      <c r="W462" s="72">
        <v>80</v>
      </c>
      <c r="X462" s="72">
        <v>296</v>
      </c>
      <c r="Y462" s="72">
        <v>0</v>
      </c>
      <c r="Z462" s="78">
        <v>3.7</v>
      </c>
      <c r="AA462" s="72">
        <v>191</v>
      </c>
      <c r="AB462" s="72">
        <v>296</v>
      </c>
      <c r="AC462" s="72">
        <v>111</v>
      </c>
      <c r="AD462" s="77">
        <v>0.375</v>
      </c>
    </row>
    <row r="463" spans="1:30" ht="12.75" x14ac:dyDescent="0.2">
      <c r="A463" s="83" t="s">
        <v>692</v>
      </c>
      <c r="B463" s="72">
        <v>42</v>
      </c>
      <c r="C463" s="72">
        <v>35</v>
      </c>
      <c r="D463" s="72">
        <v>35</v>
      </c>
      <c r="E463" s="72">
        <v>0</v>
      </c>
      <c r="F463" s="72">
        <v>7</v>
      </c>
      <c r="G463" s="79">
        <v>0.83299999999999996</v>
      </c>
      <c r="H463" s="74">
        <v>21</v>
      </c>
      <c r="I463" s="74">
        <v>14</v>
      </c>
      <c r="J463" s="72">
        <v>28</v>
      </c>
      <c r="K463" s="72">
        <v>10</v>
      </c>
      <c r="L463" s="72">
        <v>10</v>
      </c>
      <c r="M463" s="72">
        <v>0</v>
      </c>
      <c r="N463" s="72">
        <v>18</v>
      </c>
      <c r="O463" s="72">
        <v>24</v>
      </c>
      <c r="P463" s="72">
        <v>4</v>
      </c>
      <c r="Q463" s="75">
        <v>0.35699999999999998</v>
      </c>
      <c r="R463" s="78">
        <v>0.85699999999999998</v>
      </c>
      <c r="S463" s="72">
        <v>30</v>
      </c>
      <c r="T463" s="72">
        <v>1</v>
      </c>
      <c r="U463" s="72">
        <v>29</v>
      </c>
      <c r="V463" s="75">
        <v>3.3000000000000002E-2</v>
      </c>
      <c r="W463" s="72">
        <v>75</v>
      </c>
      <c r="X463" s="72">
        <v>81</v>
      </c>
      <c r="Y463" s="72">
        <v>0</v>
      </c>
      <c r="Z463" s="78">
        <v>1.08</v>
      </c>
      <c r="AA463" s="72">
        <v>175</v>
      </c>
      <c r="AB463" s="72">
        <v>127</v>
      </c>
      <c r="AC463" s="72">
        <v>54</v>
      </c>
      <c r="AD463" s="77">
        <v>0.5</v>
      </c>
    </row>
    <row r="464" spans="1:30" ht="12.75" x14ac:dyDescent="0.2">
      <c r="A464" s="83" t="s">
        <v>669</v>
      </c>
      <c r="B464" s="72">
        <v>24</v>
      </c>
      <c r="C464" s="72">
        <v>0</v>
      </c>
      <c r="D464" s="72">
        <v>0</v>
      </c>
      <c r="E464" s="72">
        <v>0</v>
      </c>
      <c r="F464" s="72">
        <v>24</v>
      </c>
      <c r="G464" s="73">
        <v>0</v>
      </c>
      <c r="H464" s="74">
        <v>12</v>
      </c>
      <c r="I464" s="74">
        <v>0</v>
      </c>
      <c r="J464" s="72">
        <v>23</v>
      </c>
      <c r="K464" s="72">
        <v>7</v>
      </c>
      <c r="L464" s="72">
        <v>0</v>
      </c>
      <c r="M464" s="72">
        <v>7</v>
      </c>
      <c r="N464" s="72">
        <v>16</v>
      </c>
      <c r="O464" s="72">
        <v>7</v>
      </c>
      <c r="P464" s="72">
        <v>16</v>
      </c>
      <c r="Q464" s="75">
        <v>0.30399999999999999</v>
      </c>
      <c r="R464" s="75">
        <v>0.30399999999999999</v>
      </c>
      <c r="S464" s="72">
        <v>27</v>
      </c>
      <c r="T464" s="72">
        <v>11</v>
      </c>
      <c r="U464" s="72">
        <v>16</v>
      </c>
      <c r="V464" s="75">
        <v>0.40699999999999997</v>
      </c>
      <c r="W464" s="72">
        <v>63</v>
      </c>
      <c r="X464" s="72">
        <v>28</v>
      </c>
      <c r="Y464" s="72">
        <v>35</v>
      </c>
      <c r="Z464" s="75">
        <v>0.44400000000000001</v>
      </c>
      <c r="AA464" s="72">
        <v>137</v>
      </c>
      <c r="AB464" s="72">
        <v>46</v>
      </c>
      <c r="AC464" s="72">
        <v>91</v>
      </c>
      <c r="AD464" s="77">
        <v>0.5</v>
      </c>
    </row>
    <row r="465" spans="1:30" ht="12.75" x14ac:dyDescent="0.2">
      <c r="A465" s="83" t="s">
        <v>694</v>
      </c>
      <c r="B465" s="72">
        <v>126</v>
      </c>
      <c r="C465" s="72">
        <v>115</v>
      </c>
      <c r="D465" s="72">
        <v>115</v>
      </c>
      <c r="E465" s="72">
        <v>0</v>
      </c>
      <c r="F465" s="72">
        <v>11</v>
      </c>
      <c r="G465" s="79">
        <v>0.91300000000000003</v>
      </c>
      <c r="H465" s="74">
        <v>63</v>
      </c>
      <c r="I465" s="74">
        <v>52</v>
      </c>
      <c r="J465" s="72">
        <v>37</v>
      </c>
      <c r="K465" s="72">
        <v>167</v>
      </c>
      <c r="L465" s="72">
        <v>165</v>
      </c>
      <c r="M465" s="72">
        <v>2</v>
      </c>
      <c r="N465" s="72">
        <v>0</v>
      </c>
      <c r="O465" s="72">
        <v>219</v>
      </c>
      <c r="P465" s="72">
        <v>0</v>
      </c>
      <c r="Q465" s="78">
        <v>4.5140000000000002</v>
      </c>
      <c r="R465" s="78">
        <v>5.9189999999999996</v>
      </c>
      <c r="S465" s="72">
        <v>160</v>
      </c>
      <c r="T465" s="72">
        <v>259</v>
      </c>
      <c r="U465" s="72">
        <v>0</v>
      </c>
      <c r="V465" s="78">
        <v>1.619</v>
      </c>
      <c r="W465" s="72">
        <v>192</v>
      </c>
      <c r="X465" s="72">
        <v>560</v>
      </c>
      <c r="Y465" s="72">
        <v>0</v>
      </c>
      <c r="Z465" s="78">
        <v>2.9169999999999998</v>
      </c>
      <c r="AA465" s="72">
        <v>515</v>
      </c>
      <c r="AB465" s="76">
        <v>1101</v>
      </c>
      <c r="AC465" s="72">
        <v>11</v>
      </c>
      <c r="AD465" s="77">
        <v>0.5</v>
      </c>
    </row>
    <row r="466" spans="1:30" ht="12.75" x14ac:dyDescent="0.2">
      <c r="A466" s="83" t="s">
        <v>695</v>
      </c>
      <c r="B466" s="72">
        <v>23</v>
      </c>
      <c r="C466" s="72">
        <v>0</v>
      </c>
      <c r="D466" s="72">
        <v>0</v>
      </c>
      <c r="E466" s="72">
        <v>0</v>
      </c>
      <c r="F466" s="72">
        <v>23</v>
      </c>
      <c r="G466" s="73">
        <v>0</v>
      </c>
      <c r="H466" s="74">
        <v>23</v>
      </c>
      <c r="I466" s="74">
        <v>0</v>
      </c>
      <c r="J466" s="72">
        <v>16</v>
      </c>
      <c r="K466" s="72">
        <v>10</v>
      </c>
      <c r="L466" s="72">
        <v>8</v>
      </c>
      <c r="M466" s="72">
        <v>2</v>
      </c>
      <c r="N466" s="72">
        <v>6</v>
      </c>
      <c r="O466" s="72">
        <v>10</v>
      </c>
      <c r="P466" s="72">
        <v>6</v>
      </c>
      <c r="Q466" s="75">
        <v>0.625</v>
      </c>
      <c r="R466" s="75">
        <v>0.625</v>
      </c>
      <c r="S466" s="72">
        <v>19</v>
      </c>
      <c r="T466" s="72">
        <v>8</v>
      </c>
      <c r="U466" s="72">
        <v>11</v>
      </c>
      <c r="V466" s="75">
        <v>0.42099999999999999</v>
      </c>
      <c r="W466" s="72">
        <v>42</v>
      </c>
      <c r="X466" s="72">
        <v>5</v>
      </c>
      <c r="Y466" s="72">
        <v>37</v>
      </c>
      <c r="Z466" s="75">
        <v>0.11899999999999999</v>
      </c>
      <c r="AA466" s="72">
        <v>100</v>
      </c>
      <c r="AB466" s="72">
        <v>23</v>
      </c>
      <c r="AC466" s="72">
        <v>77</v>
      </c>
      <c r="AD466" s="77">
        <v>1</v>
      </c>
    </row>
    <row r="467" spans="1:30" ht="12.75" x14ac:dyDescent="0.2">
      <c r="A467" s="83" t="s">
        <v>509</v>
      </c>
      <c r="B467" s="72">
        <v>43</v>
      </c>
      <c r="C467" s="72">
        <v>0</v>
      </c>
      <c r="D467" s="72">
        <v>0</v>
      </c>
      <c r="E467" s="72">
        <v>0</v>
      </c>
      <c r="F467" s="72">
        <v>43</v>
      </c>
      <c r="G467" s="73">
        <v>0</v>
      </c>
      <c r="H467" s="74">
        <v>22</v>
      </c>
      <c r="I467" s="74">
        <v>0</v>
      </c>
      <c r="J467" s="72">
        <v>25</v>
      </c>
      <c r="K467" s="72">
        <v>19</v>
      </c>
      <c r="L467" s="72">
        <v>6</v>
      </c>
      <c r="M467" s="72">
        <v>13</v>
      </c>
      <c r="N467" s="72">
        <v>6</v>
      </c>
      <c r="O467" s="72">
        <v>19</v>
      </c>
      <c r="P467" s="72">
        <v>6</v>
      </c>
      <c r="Q467" s="78">
        <v>0.76</v>
      </c>
      <c r="R467" s="78">
        <v>0.76</v>
      </c>
      <c r="S467" s="72">
        <v>28</v>
      </c>
      <c r="T467" s="72">
        <v>0</v>
      </c>
      <c r="U467" s="72">
        <v>28</v>
      </c>
      <c r="V467" s="75">
        <v>0</v>
      </c>
      <c r="W467" s="72">
        <v>76</v>
      </c>
      <c r="X467" s="72">
        <v>137</v>
      </c>
      <c r="Y467" s="72">
        <v>0</v>
      </c>
      <c r="Z467" s="78">
        <v>1.8029999999999999</v>
      </c>
      <c r="AA467" s="72">
        <v>172</v>
      </c>
      <c r="AB467" s="72">
        <v>156</v>
      </c>
      <c r="AC467" s="72">
        <v>77</v>
      </c>
      <c r="AD467" s="77">
        <v>0.5</v>
      </c>
    </row>
    <row r="468" spans="1:30" ht="12.75" x14ac:dyDescent="0.2">
      <c r="A468" s="83" t="s">
        <v>510</v>
      </c>
      <c r="B468" s="72">
        <v>314</v>
      </c>
      <c r="C468" s="72">
        <v>22</v>
      </c>
      <c r="D468" s="72">
        <v>22</v>
      </c>
      <c r="E468" s="72">
        <v>0</v>
      </c>
      <c r="F468" s="72">
        <v>292</v>
      </c>
      <c r="G468" s="73">
        <v>7.0000000000000007E-2</v>
      </c>
      <c r="H468" s="74">
        <v>157</v>
      </c>
      <c r="I468" s="74">
        <v>0</v>
      </c>
      <c r="J468" s="72">
        <v>185</v>
      </c>
      <c r="K468" s="72">
        <v>192</v>
      </c>
      <c r="L468" s="72">
        <v>192</v>
      </c>
      <c r="M468" s="72">
        <v>0</v>
      </c>
      <c r="N468" s="72">
        <v>0</v>
      </c>
      <c r="O468" s="72">
        <v>192</v>
      </c>
      <c r="P468" s="72">
        <v>0</v>
      </c>
      <c r="Q468" s="78">
        <v>1.038</v>
      </c>
      <c r="R468" s="78">
        <v>1.038</v>
      </c>
      <c r="S468" s="72">
        <v>205</v>
      </c>
      <c r="T468" s="72">
        <v>82</v>
      </c>
      <c r="U468" s="72">
        <v>123</v>
      </c>
      <c r="V468" s="75">
        <v>0.4</v>
      </c>
      <c r="W468" s="72">
        <v>558</v>
      </c>
      <c r="X468" s="72">
        <v>19</v>
      </c>
      <c r="Y468" s="72">
        <v>539</v>
      </c>
      <c r="Z468" s="75">
        <v>3.4000000000000002E-2</v>
      </c>
      <c r="AA468" s="76">
        <v>1262</v>
      </c>
      <c r="AB468" s="72">
        <v>315</v>
      </c>
      <c r="AC468" s="72">
        <v>954</v>
      </c>
      <c r="AD468" s="77">
        <v>0.5</v>
      </c>
    </row>
    <row r="469" spans="1:30" ht="12.75" x14ac:dyDescent="0.2">
      <c r="A469" s="83" t="s">
        <v>347</v>
      </c>
      <c r="B469" s="72">
        <v>54</v>
      </c>
      <c r="C469" s="72">
        <v>0</v>
      </c>
      <c r="D469" s="72">
        <v>0</v>
      </c>
      <c r="E469" s="72">
        <v>0</v>
      </c>
      <c r="F469" s="72">
        <v>54</v>
      </c>
      <c r="G469" s="73">
        <v>0</v>
      </c>
      <c r="H469" s="74">
        <v>27</v>
      </c>
      <c r="I469" s="74">
        <v>0</v>
      </c>
      <c r="J469" s="72">
        <v>38</v>
      </c>
      <c r="K469" s="72">
        <v>0</v>
      </c>
      <c r="L469" s="72">
        <v>0</v>
      </c>
      <c r="M469" s="72">
        <v>0</v>
      </c>
      <c r="N469" s="72">
        <v>38</v>
      </c>
      <c r="O469" s="72">
        <v>0</v>
      </c>
      <c r="P469" s="72">
        <v>38</v>
      </c>
      <c r="Q469" s="75">
        <v>0</v>
      </c>
      <c r="R469" s="75">
        <v>0</v>
      </c>
      <c r="S469" s="72">
        <v>63</v>
      </c>
      <c r="T469" s="72">
        <v>4</v>
      </c>
      <c r="U469" s="72">
        <v>59</v>
      </c>
      <c r="V469" s="75">
        <v>6.3E-2</v>
      </c>
      <c r="W469" s="72">
        <v>181</v>
      </c>
      <c r="X469" s="72">
        <v>90</v>
      </c>
      <c r="Y469" s="72">
        <v>91</v>
      </c>
      <c r="Z469" s="75">
        <v>0.497</v>
      </c>
      <c r="AA469" s="72">
        <v>336</v>
      </c>
      <c r="AB469" s="72">
        <v>94</v>
      </c>
      <c r="AC469" s="72">
        <v>242</v>
      </c>
      <c r="AD469" s="77">
        <v>0.5</v>
      </c>
    </row>
    <row r="470" spans="1:30" ht="12.75" x14ac:dyDescent="0.2">
      <c r="A470" s="83" t="s">
        <v>514</v>
      </c>
      <c r="B470" s="72">
        <v>17</v>
      </c>
      <c r="C470" s="72">
        <v>1</v>
      </c>
      <c r="D470" s="72">
        <v>0</v>
      </c>
      <c r="E470" s="72">
        <v>1</v>
      </c>
      <c r="F470" s="72">
        <v>16</v>
      </c>
      <c r="G470" s="73">
        <v>5.8999999999999997E-2</v>
      </c>
      <c r="H470" s="74">
        <v>9</v>
      </c>
      <c r="I470" s="74">
        <v>0</v>
      </c>
      <c r="J470" s="72">
        <v>10</v>
      </c>
      <c r="K470" s="72">
        <v>3</v>
      </c>
      <c r="L470" s="72">
        <v>0</v>
      </c>
      <c r="M470" s="72">
        <v>3</v>
      </c>
      <c r="N470" s="72">
        <v>7</v>
      </c>
      <c r="O470" s="72">
        <v>3</v>
      </c>
      <c r="P470" s="72">
        <v>7</v>
      </c>
      <c r="Q470" s="75">
        <v>0.3</v>
      </c>
      <c r="R470" s="75">
        <v>0.3</v>
      </c>
      <c r="S470" s="72">
        <v>11</v>
      </c>
      <c r="T470" s="72">
        <v>1</v>
      </c>
      <c r="U470" s="72">
        <v>10</v>
      </c>
      <c r="V470" s="75">
        <v>9.0999999999999998E-2</v>
      </c>
      <c r="W470" s="72">
        <v>25</v>
      </c>
      <c r="X470" s="72">
        <v>78</v>
      </c>
      <c r="Y470" s="72">
        <v>0</v>
      </c>
      <c r="Z470" s="78">
        <v>3.12</v>
      </c>
      <c r="AA470" s="72">
        <v>63</v>
      </c>
      <c r="AB470" s="72">
        <v>83</v>
      </c>
      <c r="AC470" s="72">
        <v>33</v>
      </c>
      <c r="AD470" s="77">
        <v>0.5</v>
      </c>
    </row>
    <row r="471" spans="1:30" ht="12.75" x14ac:dyDescent="0.2">
      <c r="A471" s="83" t="s">
        <v>696</v>
      </c>
      <c r="B471" s="72">
        <v>565</v>
      </c>
      <c r="C471" s="72">
        <v>80</v>
      </c>
      <c r="D471" s="72">
        <v>80</v>
      </c>
      <c r="E471" s="72">
        <v>0</v>
      </c>
      <c r="F471" s="72">
        <v>485</v>
      </c>
      <c r="G471" s="73">
        <v>0.14199999999999999</v>
      </c>
      <c r="H471" s="74">
        <v>283</v>
      </c>
      <c r="I471" s="74">
        <v>0</v>
      </c>
      <c r="J471" s="72">
        <v>281</v>
      </c>
      <c r="K471" s="72">
        <v>4</v>
      </c>
      <c r="L471" s="72">
        <v>4</v>
      </c>
      <c r="M471" s="72">
        <v>0</v>
      </c>
      <c r="N471" s="72">
        <v>277</v>
      </c>
      <c r="O471" s="72">
        <v>4</v>
      </c>
      <c r="P471" s="72">
        <v>277</v>
      </c>
      <c r="Q471" s="75">
        <v>1.4E-2</v>
      </c>
      <c r="R471" s="75">
        <v>1.4E-2</v>
      </c>
      <c r="S471" s="72">
        <v>313</v>
      </c>
      <c r="T471" s="72">
        <v>33</v>
      </c>
      <c r="U471" s="72">
        <v>280</v>
      </c>
      <c r="V471" s="75">
        <v>0.105</v>
      </c>
      <c r="W471" s="72">
        <v>705</v>
      </c>
      <c r="X471" s="72">
        <v>565</v>
      </c>
      <c r="Y471" s="72">
        <v>140</v>
      </c>
      <c r="Z471" s="78">
        <v>0.80100000000000005</v>
      </c>
      <c r="AA471" s="76">
        <v>1864</v>
      </c>
      <c r="AB471" s="72">
        <v>682</v>
      </c>
      <c r="AC471" s="76">
        <v>1182</v>
      </c>
      <c r="AD471" s="77">
        <v>0.5</v>
      </c>
    </row>
    <row r="472" spans="1:30" ht="12.75" x14ac:dyDescent="0.2">
      <c r="A472" s="83" t="s">
        <v>697</v>
      </c>
      <c r="B472" s="72">
        <v>538</v>
      </c>
      <c r="C472" s="72">
        <v>0</v>
      </c>
      <c r="D472" s="72">
        <v>0</v>
      </c>
      <c r="E472" s="72">
        <v>0</v>
      </c>
      <c r="F472" s="72">
        <v>538</v>
      </c>
      <c r="G472" s="73">
        <v>0</v>
      </c>
      <c r="H472" s="74">
        <v>202</v>
      </c>
      <c r="I472" s="74">
        <v>0</v>
      </c>
      <c r="J472" s="72">
        <v>345</v>
      </c>
      <c r="K472" s="72">
        <v>16</v>
      </c>
      <c r="L472" s="72">
        <v>0</v>
      </c>
      <c r="M472" s="72">
        <v>16</v>
      </c>
      <c r="N472" s="72">
        <v>329</v>
      </c>
      <c r="O472" s="72">
        <v>16</v>
      </c>
      <c r="P472" s="72">
        <v>329</v>
      </c>
      <c r="Q472" s="75">
        <v>4.5999999999999999E-2</v>
      </c>
      <c r="R472" s="75">
        <v>4.5999999999999999E-2</v>
      </c>
      <c r="S472" s="72">
        <v>391</v>
      </c>
      <c r="T472" s="72">
        <v>44</v>
      </c>
      <c r="U472" s="72">
        <v>347</v>
      </c>
      <c r="V472" s="75">
        <v>0.113</v>
      </c>
      <c r="W472" s="72">
        <v>967</v>
      </c>
      <c r="X472" s="72">
        <v>425</v>
      </c>
      <c r="Y472" s="72">
        <v>542</v>
      </c>
      <c r="Z472" s="78">
        <v>0.44</v>
      </c>
      <c r="AA472" s="76">
        <v>2241</v>
      </c>
      <c r="AB472" s="72">
        <v>485</v>
      </c>
      <c r="AC472" s="76">
        <v>1756</v>
      </c>
      <c r="AD472" s="77">
        <v>0.375</v>
      </c>
    </row>
    <row r="473" spans="1:30" ht="12.75" x14ac:dyDescent="0.2">
      <c r="A473" s="83" t="s">
        <v>698</v>
      </c>
      <c r="B473" s="72">
        <v>68</v>
      </c>
      <c r="C473" s="72">
        <v>0</v>
      </c>
      <c r="D473" s="72">
        <v>0</v>
      </c>
      <c r="E473" s="72">
        <v>0</v>
      </c>
      <c r="F473" s="72">
        <v>68</v>
      </c>
      <c r="G473" s="73">
        <v>0</v>
      </c>
      <c r="H473" s="74">
        <v>34</v>
      </c>
      <c r="I473" s="74">
        <v>0</v>
      </c>
      <c r="J473" s="72">
        <v>49</v>
      </c>
      <c r="K473" s="72">
        <v>0</v>
      </c>
      <c r="L473" s="72">
        <v>0</v>
      </c>
      <c r="M473" s="72">
        <v>0</v>
      </c>
      <c r="N473" s="72">
        <v>49</v>
      </c>
      <c r="O473" s="72">
        <v>0</v>
      </c>
      <c r="P473" s="72">
        <v>49</v>
      </c>
      <c r="Q473" s="75">
        <v>0</v>
      </c>
      <c r="R473" s="75">
        <v>0</v>
      </c>
      <c r="S473" s="72">
        <v>56</v>
      </c>
      <c r="T473" s="72">
        <v>14</v>
      </c>
      <c r="U473" s="72">
        <v>42</v>
      </c>
      <c r="V473" s="75">
        <v>0.25</v>
      </c>
      <c r="W473" s="72">
        <v>140</v>
      </c>
      <c r="X473" s="72">
        <v>139</v>
      </c>
      <c r="Y473" s="72">
        <v>1</v>
      </c>
      <c r="Z473" s="78">
        <v>0.99299999999999999</v>
      </c>
      <c r="AA473" s="72">
        <v>313</v>
      </c>
      <c r="AB473" s="72">
        <v>153</v>
      </c>
      <c r="AC473" s="72">
        <v>160</v>
      </c>
      <c r="AD473" s="77">
        <v>0.5</v>
      </c>
    </row>
    <row r="474" spans="1:30" ht="12.75" x14ac:dyDescent="0.2">
      <c r="A474" s="83" t="s">
        <v>699</v>
      </c>
      <c r="B474" s="76">
        <v>3157</v>
      </c>
      <c r="C474" s="72">
        <v>164</v>
      </c>
      <c r="D474" s="72">
        <v>164</v>
      </c>
      <c r="E474" s="72">
        <v>0</v>
      </c>
      <c r="F474" s="76">
        <v>2993</v>
      </c>
      <c r="G474" s="73">
        <v>5.1999999999999998E-2</v>
      </c>
      <c r="H474" s="74">
        <v>1184</v>
      </c>
      <c r="I474" s="74">
        <v>0</v>
      </c>
      <c r="J474" s="76">
        <v>2004</v>
      </c>
      <c r="K474" s="72">
        <v>4</v>
      </c>
      <c r="L474" s="72">
        <v>0</v>
      </c>
      <c r="M474" s="72">
        <v>4</v>
      </c>
      <c r="N474" s="76">
        <v>2000</v>
      </c>
      <c r="O474" s="72">
        <v>4</v>
      </c>
      <c r="P474" s="76">
        <v>2000</v>
      </c>
      <c r="Q474" s="75">
        <v>2E-3</v>
      </c>
      <c r="R474" s="75">
        <v>2E-3</v>
      </c>
      <c r="S474" s="76">
        <v>2103</v>
      </c>
      <c r="T474" s="72">
        <v>127</v>
      </c>
      <c r="U474" s="76">
        <v>1976</v>
      </c>
      <c r="V474" s="75">
        <v>0.06</v>
      </c>
      <c r="W474" s="76">
        <v>4560</v>
      </c>
      <c r="X474" s="72">
        <v>418</v>
      </c>
      <c r="Y474" s="76">
        <v>4142</v>
      </c>
      <c r="Z474" s="75">
        <v>9.1999999999999998E-2</v>
      </c>
      <c r="AA474" s="76">
        <v>11824</v>
      </c>
      <c r="AB474" s="72">
        <v>713</v>
      </c>
      <c r="AC474" s="76">
        <v>11111</v>
      </c>
      <c r="AD474" s="77">
        <v>0.375</v>
      </c>
    </row>
    <row r="475" spans="1:30" ht="12.75" x14ac:dyDescent="0.2">
      <c r="A475" s="83" t="s">
        <v>700</v>
      </c>
      <c r="B475" s="72">
        <v>147</v>
      </c>
      <c r="C475" s="72">
        <v>0</v>
      </c>
      <c r="D475" s="72">
        <v>0</v>
      </c>
      <c r="E475" s="72">
        <v>0</v>
      </c>
      <c r="F475" s="72">
        <v>147</v>
      </c>
      <c r="G475" s="73">
        <v>0</v>
      </c>
      <c r="H475" s="74">
        <v>74</v>
      </c>
      <c r="I475" s="74">
        <v>0</v>
      </c>
      <c r="J475" s="72">
        <v>57</v>
      </c>
      <c r="K475" s="72">
        <v>0</v>
      </c>
      <c r="L475" s="72">
        <v>0</v>
      </c>
      <c r="M475" s="72">
        <v>0</v>
      </c>
      <c r="N475" s="72">
        <v>57</v>
      </c>
      <c r="O475" s="72">
        <v>0</v>
      </c>
      <c r="P475" s="72">
        <v>57</v>
      </c>
      <c r="Q475" s="75">
        <v>0</v>
      </c>
      <c r="R475" s="75">
        <v>0</v>
      </c>
      <c r="S475" s="72">
        <v>60</v>
      </c>
      <c r="T475" s="72">
        <v>0</v>
      </c>
      <c r="U475" s="72">
        <v>60</v>
      </c>
      <c r="V475" s="75">
        <v>0</v>
      </c>
      <c r="W475" s="72">
        <v>241</v>
      </c>
      <c r="X475" s="72">
        <v>84</v>
      </c>
      <c r="Y475" s="72">
        <v>157</v>
      </c>
      <c r="Z475" s="75">
        <v>0.34899999999999998</v>
      </c>
      <c r="AA475" s="72">
        <v>505</v>
      </c>
      <c r="AB475" s="72">
        <v>84</v>
      </c>
      <c r="AC475" s="72">
        <v>421</v>
      </c>
      <c r="AD475" s="77">
        <v>0.5</v>
      </c>
    </row>
    <row r="476" spans="1:30" ht="12.75" x14ac:dyDescent="0.2">
      <c r="A476" s="83" t="s">
        <v>702</v>
      </c>
      <c r="B476" s="76">
        <v>1640</v>
      </c>
      <c r="C476" s="72">
        <v>89</v>
      </c>
      <c r="D476" s="72">
        <v>89</v>
      </c>
      <c r="E476" s="72">
        <v>0</v>
      </c>
      <c r="F476" s="76">
        <v>1551</v>
      </c>
      <c r="G476" s="73">
        <v>5.3999999999999999E-2</v>
      </c>
      <c r="H476" s="74">
        <v>820</v>
      </c>
      <c r="I476" s="74">
        <v>0</v>
      </c>
      <c r="J476" s="72">
        <v>906</v>
      </c>
      <c r="K476" s="72">
        <v>21</v>
      </c>
      <c r="L476" s="72">
        <v>21</v>
      </c>
      <c r="M476" s="72">
        <v>0</v>
      </c>
      <c r="N476" s="72">
        <v>885</v>
      </c>
      <c r="O476" s="72">
        <v>21</v>
      </c>
      <c r="P476" s="72">
        <v>885</v>
      </c>
      <c r="Q476" s="75">
        <v>2.3E-2</v>
      </c>
      <c r="R476" s="75">
        <v>2.3E-2</v>
      </c>
      <c r="S476" s="72">
        <v>932</v>
      </c>
      <c r="T476" s="72">
        <v>167</v>
      </c>
      <c r="U476" s="72">
        <v>765</v>
      </c>
      <c r="V476" s="75">
        <v>0.17899999999999999</v>
      </c>
      <c r="W476" s="76">
        <v>1974</v>
      </c>
      <c r="X476" s="76">
        <v>1606</v>
      </c>
      <c r="Y476" s="72">
        <v>368</v>
      </c>
      <c r="Z476" s="78">
        <v>0.81399999999999995</v>
      </c>
      <c r="AA476" s="76">
        <v>5452</v>
      </c>
      <c r="AB476" s="76">
        <v>1883</v>
      </c>
      <c r="AC476" s="76">
        <v>3569</v>
      </c>
      <c r="AD476" s="77">
        <v>0.5</v>
      </c>
    </row>
    <row r="477" spans="1:30" ht="12.75" x14ac:dyDescent="0.2">
      <c r="A477" s="83" t="s">
        <v>703</v>
      </c>
      <c r="B477" s="72">
        <v>8</v>
      </c>
      <c r="C477" s="72">
        <v>0</v>
      </c>
      <c r="D477" s="72">
        <v>0</v>
      </c>
      <c r="E477" s="72">
        <v>0</v>
      </c>
      <c r="F477" s="72">
        <v>8</v>
      </c>
      <c r="G477" s="73">
        <v>0</v>
      </c>
      <c r="H477" s="74">
        <v>8</v>
      </c>
      <c r="I477" s="74">
        <v>0</v>
      </c>
      <c r="J477" s="72">
        <v>4</v>
      </c>
      <c r="K477" s="72">
        <v>0</v>
      </c>
      <c r="L477" s="72">
        <v>0</v>
      </c>
      <c r="M477" s="72">
        <v>0</v>
      </c>
      <c r="N477" s="72">
        <v>4</v>
      </c>
      <c r="O477" s="72">
        <v>0</v>
      </c>
      <c r="P477" s="72">
        <v>4</v>
      </c>
      <c r="Q477" s="75">
        <v>0</v>
      </c>
      <c r="R477" s="75">
        <v>0</v>
      </c>
      <c r="S477" s="72">
        <v>6</v>
      </c>
      <c r="T477" s="72">
        <v>0</v>
      </c>
      <c r="U477" s="72">
        <v>6</v>
      </c>
      <c r="V477" s="75">
        <v>0</v>
      </c>
      <c r="W477" s="72">
        <v>12</v>
      </c>
      <c r="X477" s="72">
        <v>0</v>
      </c>
      <c r="Y477" s="72">
        <v>12</v>
      </c>
      <c r="Z477" s="75">
        <v>0</v>
      </c>
      <c r="AA477" s="72">
        <v>30</v>
      </c>
      <c r="AB477" s="72">
        <v>0</v>
      </c>
      <c r="AC477" s="72">
        <v>30</v>
      </c>
      <c r="AD477" s="77">
        <v>1</v>
      </c>
    </row>
    <row r="478" spans="1:30" ht="12.75" x14ac:dyDescent="0.2">
      <c r="A478" s="83" t="s">
        <v>704</v>
      </c>
      <c r="B478" s="72">
        <v>85</v>
      </c>
      <c r="C478" s="72">
        <v>2</v>
      </c>
      <c r="D478" s="72">
        <v>0</v>
      </c>
      <c r="E478" s="72">
        <v>2</v>
      </c>
      <c r="F478" s="72">
        <v>83</v>
      </c>
      <c r="G478" s="73">
        <v>2.4E-2</v>
      </c>
      <c r="H478" s="74">
        <v>43</v>
      </c>
      <c r="I478" s="74">
        <v>0</v>
      </c>
      <c r="J478" s="72">
        <v>60</v>
      </c>
      <c r="K478" s="72">
        <v>1</v>
      </c>
      <c r="L478" s="72">
        <v>0</v>
      </c>
      <c r="M478" s="72">
        <v>1</v>
      </c>
      <c r="N478" s="72">
        <v>59</v>
      </c>
      <c r="O478" s="72">
        <v>1</v>
      </c>
      <c r="P478" s="72">
        <v>59</v>
      </c>
      <c r="Q478" s="75">
        <v>1.7000000000000001E-2</v>
      </c>
      <c r="R478" s="75">
        <v>1.7000000000000001E-2</v>
      </c>
      <c r="S478" s="72">
        <v>62</v>
      </c>
      <c r="T478" s="72">
        <v>19</v>
      </c>
      <c r="U478" s="72">
        <v>43</v>
      </c>
      <c r="V478" s="75">
        <v>0.30599999999999999</v>
      </c>
      <c r="W478" s="72">
        <v>128</v>
      </c>
      <c r="X478" s="72">
        <v>72</v>
      </c>
      <c r="Y478" s="72">
        <v>56</v>
      </c>
      <c r="Z478" s="78">
        <v>0.56299999999999994</v>
      </c>
      <c r="AA478" s="72">
        <v>335</v>
      </c>
      <c r="AB478" s="72">
        <v>94</v>
      </c>
      <c r="AC478" s="72">
        <v>241</v>
      </c>
      <c r="AD478" s="77">
        <v>0.5</v>
      </c>
    </row>
    <row r="479" spans="1:30" ht="12.75" x14ac:dyDescent="0.2">
      <c r="A479" s="83" t="s">
        <v>225</v>
      </c>
      <c r="B479" s="72">
        <v>2</v>
      </c>
      <c r="C479" s="72">
        <v>0</v>
      </c>
      <c r="D479" s="72">
        <v>0</v>
      </c>
      <c r="E479" s="72">
        <v>0</v>
      </c>
      <c r="F479" s="72">
        <v>2</v>
      </c>
      <c r="G479" s="73">
        <v>0</v>
      </c>
      <c r="H479" s="74">
        <v>2</v>
      </c>
      <c r="I479" s="74">
        <v>0</v>
      </c>
      <c r="J479" s="72">
        <v>2</v>
      </c>
      <c r="K479" s="72">
        <v>0</v>
      </c>
      <c r="L479" s="72">
        <v>0</v>
      </c>
      <c r="M479" s="72">
        <v>0</v>
      </c>
      <c r="N479" s="72">
        <v>2</v>
      </c>
      <c r="O479" s="72">
        <v>0</v>
      </c>
      <c r="P479" s="72">
        <v>2</v>
      </c>
      <c r="Q479" s="75">
        <v>0</v>
      </c>
      <c r="R479" s="75">
        <v>0</v>
      </c>
      <c r="S479" s="72">
        <v>2</v>
      </c>
      <c r="T479" s="72">
        <v>20</v>
      </c>
      <c r="U479" s="72">
        <v>0</v>
      </c>
      <c r="V479" s="78">
        <v>10</v>
      </c>
      <c r="W479" s="72">
        <v>4</v>
      </c>
      <c r="X479" s="72">
        <v>12</v>
      </c>
      <c r="Y479" s="72">
        <v>0</v>
      </c>
      <c r="Z479" s="78">
        <v>3</v>
      </c>
      <c r="AA479" s="72">
        <v>10</v>
      </c>
      <c r="AB479" s="72">
        <v>32</v>
      </c>
      <c r="AC479" s="72">
        <v>4</v>
      </c>
      <c r="AD479" s="77">
        <v>1</v>
      </c>
    </row>
    <row r="480" spans="1:30" ht="12.75" x14ac:dyDescent="0.2">
      <c r="A480" s="83" t="s">
        <v>442</v>
      </c>
      <c r="B480" s="72">
        <v>52</v>
      </c>
      <c r="C480" s="72">
        <v>0</v>
      </c>
      <c r="D480" s="72">
        <v>0</v>
      </c>
      <c r="E480" s="72">
        <v>0</v>
      </c>
      <c r="F480" s="72">
        <v>52</v>
      </c>
      <c r="G480" s="73">
        <v>0</v>
      </c>
      <c r="H480" s="74">
        <v>20</v>
      </c>
      <c r="I480" s="74">
        <v>0</v>
      </c>
      <c r="J480" s="72">
        <v>26</v>
      </c>
      <c r="K480" s="72">
        <v>0</v>
      </c>
      <c r="L480" s="72">
        <v>0</v>
      </c>
      <c r="M480" s="72">
        <v>0</v>
      </c>
      <c r="N480" s="72">
        <v>26</v>
      </c>
      <c r="O480" s="72">
        <v>0</v>
      </c>
      <c r="P480" s="72">
        <v>26</v>
      </c>
      <c r="Q480" s="75">
        <v>0</v>
      </c>
      <c r="R480" s="75">
        <v>0</v>
      </c>
      <c r="S480" s="72">
        <v>30</v>
      </c>
      <c r="T480" s="72">
        <v>5</v>
      </c>
      <c r="U480" s="72">
        <v>25</v>
      </c>
      <c r="V480" s="75">
        <v>0.16700000000000001</v>
      </c>
      <c r="W480" s="72">
        <v>146</v>
      </c>
      <c r="X480" s="72">
        <v>38</v>
      </c>
      <c r="Y480" s="72">
        <v>108</v>
      </c>
      <c r="Z480" s="75">
        <v>0.26</v>
      </c>
      <c r="AA480" s="72">
        <v>254</v>
      </c>
      <c r="AB480" s="72">
        <v>43</v>
      </c>
      <c r="AC480" s="72">
        <v>211</v>
      </c>
      <c r="AD480" s="77">
        <v>0.375</v>
      </c>
    </row>
    <row r="481" spans="1:30" ht="12.75" x14ac:dyDescent="0.2">
      <c r="A481" s="83" t="s">
        <v>448</v>
      </c>
      <c r="B481" s="72">
        <v>127</v>
      </c>
      <c r="C481" s="72">
        <v>0</v>
      </c>
      <c r="D481" s="72">
        <v>0</v>
      </c>
      <c r="E481" s="72">
        <v>0</v>
      </c>
      <c r="F481" s="72">
        <v>127</v>
      </c>
      <c r="G481" s="73">
        <v>0</v>
      </c>
      <c r="H481" s="74">
        <v>48</v>
      </c>
      <c r="I481" s="74">
        <v>0</v>
      </c>
      <c r="J481" s="72">
        <v>64</v>
      </c>
      <c r="K481" s="72">
        <v>0</v>
      </c>
      <c r="L481" s="72">
        <v>0</v>
      </c>
      <c r="M481" s="72">
        <v>0</v>
      </c>
      <c r="N481" s="72">
        <v>64</v>
      </c>
      <c r="O481" s="72">
        <v>0</v>
      </c>
      <c r="P481" s="72">
        <v>64</v>
      </c>
      <c r="Q481" s="75">
        <v>0</v>
      </c>
      <c r="R481" s="75">
        <v>0</v>
      </c>
      <c r="S481" s="72">
        <v>88</v>
      </c>
      <c r="T481" s="72">
        <v>0</v>
      </c>
      <c r="U481" s="72">
        <v>88</v>
      </c>
      <c r="V481" s="75">
        <v>0</v>
      </c>
      <c r="W481" s="72">
        <v>216</v>
      </c>
      <c r="X481" s="72">
        <v>21</v>
      </c>
      <c r="Y481" s="72">
        <v>195</v>
      </c>
      <c r="Z481" s="75">
        <v>9.7000000000000003E-2</v>
      </c>
      <c r="AA481" s="72">
        <v>495</v>
      </c>
      <c r="AB481" s="72">
        <v>21</v>
      </c>
      <c r="AC481" s="72">
        <v>474</v>
      </c>
      <c r="AD481" s="77">
        <v>0.375</v>
      </c>
    </row>
    <row r="482" spans="1:30" ht="12.75" x14ac:dyDescent="0.2">
      <c r="A482" s="83" t="s">
        <v>701</v>
      </c>
      <c r="B482" s="72">
        <v>2</v>
      </c>
      <c r="C482" s="72">
        <v>0</v>
      </c>
      <c r="D482" s="72">
        <v>0</v>
      </c>
      <c r="E482" s="72">
        <v>0</v>
      </c>
      <c r="F482" s="72">
        <v>2</v>
      </c>
      <c r="G482" s="73">
        <v>0</v>
      </c>
      <c r="H482" s="74">
        <v>2</v>
      </c>
      <c r="I482" s="74">
        <v>0</v>
      </c>
      <c r="J482" s="72">
        <v>2</v>
      </c>
      <c r="K482" s="72">
        <v>0</v>
      </c>
      <c r="L482" s="72">
        <v>0</v>
      </c>
      <c r="M482" s="72">
        <v>0</v>
      </c>
      <c r="N482" s="72">
        <v>2</v>
      </c>
      <c r="O482" s="72">
        <v>0</v>
      </c>
      <c r="P482" s="72">
        <v>2</v>
      </c>
      <c r="Q482" s="75">
        <v>0</v>
      </c>
      <c r="R482" s="75">
        <v>0</v>
      </c>
      <c r="S482" s="72">
        <v>2</v>
      </c>
      <c r="T482" s="72">
        <v>0</v>
      </c>
      <c r="U482" s="72">
        <v>2</v>
      </c>
      <c r="V482" s="75">
        <v>0</v>
      </c>
      <c r="W482" s="72">
        <v>4</v>
      </c>
      <c r="X482" s="72">
        <v>0</v>
      </c>
      <c r="Y482" s="72">
        <v>4</v>
      </c>
      <c r="Z482" s="75">
        <v>0</v>
      </c>
      <c r="AA482" s="72">
        <v>10</v>
      </c>
      <c r="AB482" s="72">
        <v>0</v>
      </c>
      <c r="AC482" s="72">
        <v>10</v>
      </c>
      <c r="AD482" s="77">
        <v>1</v>
      </c>
    </row>
    <row r="483" spans="1:30" ht="12.75" x14ac:dyDescent="0.2">
      <c r="A483" s="83" t="s">
        <v>705</v>
      </c>
      <c r="B483" s="72">
        <v>112</v>
      </c>
      <c r="C483" s="72">
        <v>16</v>
      </c>
      <c r="D483" s="72">
        <v>0</v>
      </c>
      <c r="E483" s="72">
        <v>16</v>
      </c>
      <c r="F483" s="72">
        <v>96</v>
      </c>
      <c r="G483" s="73">
        <v>0.14299999999999999</v>
      </c>
      <c r="H483" s="74">
        <v>112</v>
      </c>
      <c r="I483" s="74">
        <v>0</v>
      </c>
      <c r="J483" s="72">
        <v>76</v>
      </c>
      <c r="K483" s="72">
        <v>70</v>
      </c>
      <c r="L483" s="72">
        <v>23</v>
      </c>
      <c r="M483" s="72">
        <v>47</v>
      </c>
      <c r="N483" s="72">
        <v>6</v>
      </c>
      <c r="O483" s="72">
        <v>70</v>
      </c>
      <c r="P483" s="72">
        <v>6</v>
      </c>
      <c r="Q483" s="75">
        <v>0.92100000000000004</v>
      </c>
      <c r="R483" s="75">
        <v>0.92100000000000004</v>
      </c>
      <c r="S483" s="72">
        <v>89</v>
      </c>
      <c r="T483" s="72">
        <v>69</v>
      </c>
      <c r="U483" s="72">
        <v>20</v>
      </c>
      <c r="V483" s="75">
        <v>0.77500000000000002</v>
      </c>
      <c r="W483" s="72">
        <v>209</v>
      </c>
      <c r="X483" s="72">
        <v>52</v>
      </c>
      <c r="Y483" s="72">
        <v>157</v>
      </c>
      <c r="Z483" s="75">
        <v>0.249</v>
      </c>
      <c r="AA483" s="72">
        <v>486</v>
      </c>
      <c r="AB483" s="72">
        <v>207</v>
      </c>
      <c r="AC483" s="72">
        <v>279</v>
      </c>
      <c r="AD483" s="77">
        <v>1</v>
      </c>
    </row>
    <row r="484" spans="1:30" ht="12.75" x14ac:dyDescent="0.2">
      <c r="A484" s="83" t="s">
        <v>706</v>
      </c>
      <c r="B484" s="72">
        <v>375</v>
      </c>
      <c r="C484" s="72">
        <v>15</v>
      </c>
      <c r="D484" s="72">
        <v>15</v>
      </c>
      <c r="E484" s="72">
        <v>0</v>
      </c>
      <c r="F484" s="72">
        <v>360</v>
      </c>
      <c r="G484" s="73">
        <v>0.04</v>
      </c>
      <c r="H484" s="74">
        <v>188</v>
      </c>
      <c r="I484" s="74">
        <v>0</v>
      </c>
      <c r="J484" s="72">
        <v>251</v>
      </c>
      <c r="K484" s="72">
        <v>0</v>
      </c>
      <c r="L484" s="72">
        <v>0</v>
      </c>
      <c r="M484" s="72">
        <v>0</v>
      </c>
      <c r="N484" s="72">
        <v>251</v>
      </c>
      <c r="O484" s="72">
        <v>0</v>
      </c>
      <c r="P484" s="72">
        <v>251</v>
      </c>
      <c r="Q484" s="75">
        <v>0</v>
      </c>
      <c r="R484" s="75">
        <v>0</v>
      </c>
      <c r="S484" s="72">
        <v>271</v>
      </c>
      <c r="T484" s="72">
        <v>15</v>
      </c>
      <c r="U484" s="72">
        <v>256</v>
      </c>
      <c r="V484" s="75">
        <v>5.5E-2</v>
      </c>
      <c r="W484" s="72">
        <v>596</v>
      </c>
      <c r="X484" s="76">
        <v>1079</v>
      </c>
      <c r="Y484" s="72">
        <v>0</v>
      </c>
      <c r="Z484" s="78">
        <v>1.81</v>
      </c>
      <c r="AA484" s="76">
        <v>1493</v>
      </c>
      <c r="AB484" s="76">
        <v>1109</v>
      </c>
      <c r="AC484" s="72">
        <v>867</v>
      </c>
      <c r="AD484" s="77">
        <v>0.5</v>
      </c>
    </row>
    <row r="485" spans="1:30" ht="12.75" x14ac:dyDescent="0.2">
      <c r="A485" s="83" t="s">
        <v>623</v>
      </c>
      <c r="B485" s="72">
        <v>159</v>
      </c>
      <c r="C485" s="72">
        <v>7</v>
      </c>
      <c r="D485" s="72">
        <v>0</v>
      </c>
      <c r="E485" s="72">
        <v>7</v>
      </c>
      <c r="F485" s="72">
        <v>152</v>
      </c>
      <c r="G485" s="73">
        <v>4.3999999999999997E-2</v>
      </c>
      <c r="H485" s="74">
        <v>80</v>
      </c>
      <c r="I485" s="74">
        <v>0</v>
      </c>
      <c r="J485" s="72">
        <v>93</v>
      </c>
      <c r="K485" s="72">
        <v>1</v>
      </c>
      <c r="L485" s="72">
        <v>1</v>
      </c>
      <c r="M485" s="72">
        <v>0</v>
      </c>
      <c r="N485" s="72">
        <v>92</v>
      </c>
      <c r="O485" s="72">
        <v>1</v>
      </c>
      <c r="P485" s="72">
        <v>92</v>
      </c>
      <c r="Q485" s="75">
        <v>1.0999999999999999E-2</v>
      </c>
      <c r="R485" s="75">
        <v>1.0999999999999999E-2</v>
      </c>
      <c r="S485" s="72">
        <v>99</v>
      </c>
      <c r="T485" s="72">
        <v>5</v>
      </c>
      <c r="U485" s="72">
        <v>94</v>
      </c>
      <c r="V485" s="75">
        <v>5.0999999999999997E-2</v>
      </c>
      <c r="W485" s="72">
        <v>252</v>
      </c>
      <c r="X485" s="72">
        <v>96</v>
      </c>
      <c r="Y485" s="72">
        <v>156</v>
      </c>
      <c r="Z485" s="75">
        <v>0.38100000000000001</v>
      </c>
      <c r="AA485" s="72">
        <v>603</v>
      </c>
      <c r="AB485" s="72">
        <v>109</v>
      </c>
      <c r="AC485" s="72">
        <v>494</v>
      </c>
      <c r="AD485" s="77">
        <v>0.5</v>
      </c>
    </row>
    <row r="486" spans="1:30" ht="12.75" x14ac:dyDescent="0.2">
      <c r="A486" s="83" t="s">
        <v>707</v>
      </c>
      <c r="B486" s="72">
        <v>47</v>
      </c>
      <c r="C486" s="72">
        <v>20</v>
      </c>
      <c r="D486" s="72">
        <v>20</v>
      </c>
      <c r="E486" s="72">
        <v>0</v>
      </c>
      <c r="F486" s="72">
        <v>27</v>
      </c>
      <c r="G486" s="73">
        <v>0.42599999999999999</v>
      </c>
      <c r="H486" s="74">
        <v>24</v>
      </c>
      <c r="I486" s="74">
        <v>0</v>
      </c>
      <c r="J486" s="72">
        <v>32</v>
      </c>
      <c r="K486" s="72">
        <v>2</v>
      </c>
      <c r="L486" s="72">
        <v>2</v>
      </c>
      <c r="M486" s="72">
        <v>0</v>
      </c>
      <c r="N486" s="72">
        <v>30</v>
      </c>
      <c r="O486" s="72">
        <v>2</v>
      </c>
      <c r="P486" s="72">
        <v>30</v>
      </c>
      <c r="Q486" s="75">
        <v>6.3E-2</v>
      </c>
      <c r="R486" s="75">
        <v>6.3E-2</v>
      </c>
      <c r="S486" s="72">
        <v>36</v>
      </c>
      <c r="T486" s="72">
        <v>136</v>
      </c>
      <c r="U486" s="72">
        <v>0</v>
      </c>
      <c r="V486" s="78">
        <v>3.778</v>
      </c>
      <c r="W486" s="72">
        <v>77</v>
      </c>
      <c r="X486" s="72">
        <v>252</v>
      </c>
      <c r="Y486" s="72">
        <v>0</v>
      </c>
      <c r="Z486" s="78">
        <v>3.2730000000000001</v>
      </c>
      <c r="AA486" s="72">
        <v>192</v>
      </c>
      <c r="AB486" s="72">
        <v>410</v>
      </c>
      <c r="AC486" s="72">
        <v>57</v>
      </c>
      <c r="AD486" s="77">
        <v>0.5</v>
      </c>
    </row>
    <row r="487" spans="1:30" ht="12.75" x14ac:dyDescent="0.2">
      <c r="A487" s="83" t="s">
        <v>708</v>
      </c>
      <c r="B487" s="72">
        <v>24</v>
      </c>
      <c r="C487" s="72">
        <v>0</v>
      </c>
      <c r="D487" s="72">
        <v>0</v>
      </c>
      <c r="E487" s="72">
        <v>0</v>
      </c>
      <c r="F487" s="72">
        <v>24</v>
      </c>
      <c r="G487" s="73">
        <v>0</v>
      </c>
      <c r="H487" s="74">
        <v>12</v>
      </c>
      <c r="I487" s="74">
        <v>0</v>
      </c>
      <c r="J487" s="72">
        <v>16</v>
      </c>
      <c r="K487" s="72">
        <v>1</v>
      </c>
      <c r="L487" s="72">
        <v>0</v>
      </c>
      <c r="M487" s="72">
        <v>1</v>
      </c>
      <c r="N487" s="72">
        <v>15</v>
      </c>
      <c r="O487" s="72">
        <v>1</v>
      </c>
      <c r="P487" s="72">
        <v>15</v>
      </c>
      <c r="Q487" s="75">
        <v>6.3E-2</v>
      </c>
      <c r="R487" s="75">
        <v>6.3E-2</v>
      </c>
      <c r="S487" s="72">
        <v>19</v>
      </c>
      <c r="T487" s="72">
        <v>0</v>
      </c>
      <c r="U487" s="72">
        <v>19</v>
      </c>
      <c r="V487" s="75">
        <v>0</v>
      </c>
      <c r="W487" s="72">
        <v>19</v>
      </c>
      <c r="X487" s="72">
        <v>15</v>
      </c>
      <c r="Y487" s="72">
        <v>4</v>
      </c>
      <c r="Z487" s="78">
        <v>0.78900000000000003</v>
      </c>
      <c r="AA487" s="72">
        <v>78</v>
      </c>
      <c r="AB487" s="72">
        <v>16</v>
      </c>
      <c r="AC487" s="72">
        <v>62</v>
      </c>
      <c r="AD487" s="77">
        <v>0.5</v>
      </c>
    </row>
    <row r="488" spans="1:30" ht="12.75" x14ac:dyDescent="0.2">
      <c r="A488" s="83" t="s">
        <v>516</v>
      </c>
      <c r="B488" s="72">
        <v>380</v>
      </c>
      <c r="C488" s="72">
        <v>0</v>
      </c>
      <c r="D488" s="72">
        <v>0</v>
      </c>
      <c r="E488" s="72">
        <v>0</v>
      </c>
      <c r="F488" s="72">
        <v>380</v>
      </c>
      <c r="G488" s="73">
        <v>0</v>
      </c>
      <c r="H488" s="74">
        <v>190</v>
      </c>
      <c r="I488" s="74">
        <v>0</v>
      </c>
      <c r="J488" s="72">
        <v>227</v>
      </c>
      <c r="K488" s="72">
        <v>0</v>
      </c>
      <c r="L488" s="72">
        <v>0</v>
      </c>
      <c r="M488" s="72">
        <v>0</v>
      </c>
      <c r="N488" s="72">
        <v>227</v>
      </c>
      <c r="O488" s="72">
        <v>0</v>
      </c>
      <c r="P488" s="72">
        <v>227</v>
      </c>
      <c r="Q488" s="75">
        <v>0</v>
      </c>
      <c r="R488" s="75">
        <v>0</v>
      </c>
      <c r="S488" s="72">
        <v>243</v>
      </c>
      <c r="T488" s="72">
        <v>5</v>
      </c>
      <c r="U488" s="72">
        <v>238</v>
      </c>
      <c r="V488" s="75">
        <v>2.1000000000000001E-2</v>
      </c>
      <c r="W488" s="72">
        <v>600</v>
      </c>
      <c r="X488" s="72">
        <v>114</v>
      </c>
      <c r="Y488" s="72">
        <v>486</v>
      </c>
      <c r="Z488" s="75">
        <v>0.19</v>
      </c>
      <c r="AA488" s="76">
        <v>1450</v>
      </c>
      <c r="AB488" s="72">
        <v>119</v>
      </c>
      <c r="AC488" s="76">
        <v>1331</v>
      </c>
      <c r="AD488" s="77">
        <v>0.5</v>
      </c>
    </row>
    <row r="489" spans="1:30" ht="12.75" x14ac:dyDescent="0.2">
      <c r="A489" s="83" t="s">
        <v>710</v>
      </c>
      <c r="B489" s="72">
        <v>980</v>
      </c>
      <c r="C489" s="72">
        <v>0</v>
      </c>
      <c r="D489" s="72">
        <v>0</v>
      </c>
      <c r="E489" s="72">
        <v>0</v>
      </c>
      <c r="F489" s="72">
        <v>980</v>
      </c>
      <c r="G489" s="73">
        <v>0</v>
      </c>
      <c r="H489" s="74">
        <v>368</v>
      </c>
      <c r="I489" s="74">
        <v>0</v>
      </c>
      <c r="J489" s="72">
        <v>705</v>
      </c>
      <c r="K489" s="72">
        <v>0</v>
      </c>
      <c r="L489" s="72">
        <v>0</v>
      </c>
      <c r="M489" s="72">
        <v>0</v>
      </c>
      <c r="N489" s="72">
        <v>705</v>
      </c>
      <c r="O489" s="72">
        <v>0</v>
      </c>
      <c r="P489" s="72">
        <v>705</v>
      </c>
      <c r="Q489" s="75">
        <v>0</v>
      </c>
      <c r="R489" s="75">
        <v>0</v>
      </c>
      <c r="S489" s="72">
        <v>828</v>
      </c>
      <c r="T489" s="72">
        <v>12</v>
      </c>
      <c r="U489" s="72">
        <v>816</v>
      </c>
      <c r="V489" s="75">
        <v>1.4E-2</v>
      </c>
      <c r="W489" s="76">
        <v>2463</v>
      </c>
      <c r="X489" s="76">
        <v>2450</v>
      </c>
      <c r="Y489" s="72">
        <v>13</v>
      </c>
      <c r="Z489" s="78">
        <v>0.995</v>
      </c>
      <c r="AA489" s="76">
        <v>4976</v>
      </c>
      <c r="AB489" s="76">
        <v>2462</v>
      </c>
      <c r="AC489" s="76">
        <v>2514</v>
      </c>
      <c r="AD489" s="77">
        <v>0.375</v>
      </c>
    </row>
    <row r="490" spans="1:30" ht="12.75" x14ac:dyDescent="0.2">
      <c r="A490" s="83" t="s">
        <v>711</v>
      </c>
      <c r="B490" s="72">
        <v>1</v>
      </c>
      <c r="C490" s="72">
        <v>0</v>
      </c>
      <c r="D490" s="72">
        <v>0</v>
      </c>
      <c r="E490" s="72">
        <v>0</v>
      </c>
      <c r="F490" s="72">
        <v>1</v>
      </c>
      <c r="G490" s="73">
        <v>0</v>
      </c>
      <c r="H490" s="74">
        <v>1</v>
      </c>
      <c r="I490" s="74">
        <v>0</v>
      </c>
      <c r="J490" s="72">
        <v>1</v>
      </c>
      <c r="K490" s="72">
        <v>0</v>
      </c>
      <c r="L490" s="72">
        <v>0</v>
      </c>
      <c r="M490" s="72">
        <v>0</v>
      </c>
      <c r="N490" s="72">
        <v>1</v>
      </c>
      <c r="O490" s="72">
        <v>0</v>
      </c>
      <c r="P490" s="72">
        <v>1</v>
      </c>
      <c r="Q490" s="75">
        <v>0</v>
      </c>
      <c r="R490" s="75">
        <v>0</v>
      </c>
      <c r="S490" s="72">
        <v>1</v>
      </c>
      <c r="T490" s="72">
        <v>0</v>
      </c>
      <c r="U490" s="72">
        <v>1</v>
      </c>
      <c r="V490" s="75">
        <v>0</v>
      </c>
      <c r="W490" s="72">
        <v>2</v>
      </c>
      <c r="X490" s="72">
        <v>0</v>
      </c>
      <c r="Y490" s="72">
        <v>2</v>
      </c>
      <c r="Z490" s="75">
        <v>0</v>
      </c>
      <c r="AA490" s="72">
        <v>5</v>
      </c>
      <c r="AB490" s="72">
        <v>0</v>
      </c>
      <c r="AC490" s="72">
        <v>5</v>
      </c>
      <c r="AD490" s="77">
        <v>1</v>
      </c>
    </row>
    <row r="491" spans="1:30" ht="12.75" x14ac:dyDescent="0.2">
      <c r="A491" s="83" t="s">
        <v>712</v>
      </c>
      <c r="B491" s="72">
        <v>2</v>
      </c>
      <c r="C491" s="72">
        <v>0</v>
      </c>
      <c r="D491" s="72">
        <v>0</v>
      </c>
      <c r="E491" s="72">
        <v>0</v>
      </c>
      <c r="F491" s="72">
        <v>2</v>
      </c>
      <c r="G491" s="73">
        <v>0</v>
      </c>
      <c r="H491" s="74">
        <v>2</v>
      </c>
      <c r="I491" s="74">
        <v>0</v>
      </c>
      <c r="J491" s="72">
        <v>2</v>
      </c>
      <c r="K491" s="72">
        <v>0</v>
      </c>
      <c r="L491" s="72">
        <v>0</v>
      </c>
      <c r="M491" s="72">
        <v>0</v>
      </c>
      <c r="N491" s="72">
        <v>2</v>
      </c>
      <c r="O491" s="72">
        <v>0</v>
      </c>
      <c r="P491" s="72">
        <v>2</v>
      </c>
      <c r="Q491" s="75">
        <v>0</v>
      </c>
      <c r="R491" s="75">
        <v>0</v>
      </c>
      <c r="S491" s="72">
        <v>2</v>
      </c>
      <c r="T491" s="72">
        <v>0</v>
      </c>
      <c r="U491" s="72">
        <v>2</v>
      </c>
      <c r="V491" s="75">
        <v>0</v>
      </c>
      <c r="W491" s="72">
        <v>4</v>
      </c>
      <c r="X491" s="72">
        <v>0</v>
      </c>
      <c r="Y491" s="72">
        <v>4</v>
      </c>
      <c r="Z491" s="75">
        <v>0</v>
      </c>
      <c r="AA491" s="72">
        <v>10</v>
      </c>
      <c r="AB491" s="72">
        <v>0</v>
      </c>
      <c r="AC491" s="72">
        <v>10</v>
      </c>
      <c r="AD491" s="77">
        <v>1</v>
      </c>
    </row>
    <row r="492" spans="1:30" ht="12.75" x14ac:dyDescent="0.2">
      <c r="A492" s="83" t="s">
        <v>713</v>
      </c>
      <c r="B492" s="72">
        <v>108</v>
      </c>
      <c r="C492" s="72">
        <v>0</v>
      </c>
      <c r="D492" s="72">
        <v>0</v>
      </c>
      <c r="E492" s="72">
        <v>0</v>
      </c>
      <c r="F492" s="72">
        <v>108</v>
      </c>
      <c r="G492" s="73">
        <v>0</v>
      </c>
      <c r="H492" s="74">
        <v>108</v>
      </c>
      <c r="I492" s="74">
        <v>0</v>
      </c>
      <c r="J492" s="72">
        <v>75</v>
      </c>
      <c r="K492" s="72">
        <v>33</v>
      </c>
      <c r="L492" s="72">
        <v>6</v>
      </c>
      <c r="M492" s="72">
        <v>27</v>
      </c>
      <c r="N492" s="72">
        <v>42</v>
      </c>
      <c r="O492" s="72">
        <v>33</v>
      </c>
      <c r="P492" s="72">
        <v>42</v>
      </c>
      <c r="Q492" s="75">
        <v>0.44</v>
      </c>
      <c r="R492" s="75">
        <v>0.44</v>
      </c>
      <c r="S492" s="72">
        <v>78</v>
      </c>
      <c r="T492" s="72">
        <v>96</v>
      </c>
      <c r="U492" s="72">
        <v>0</v>
      </c>
      <c r="V492" s="78">
        <v>1.2310000000000001</v>
      </c>
      <c r="W492" s="72">
        <v>199</v>
      </c>
      <c r="X492" s="72">
        <v>513</v>
      </c>
      <c r="Y492" s="72">
        <v>0</v>
      </c>
      <c r="Z492" s="78">
        <v>2.5779999999999998</v>
      </c>
      <c r="AA492" s="72">
        <v>460</v>
      </c>
      <c r="AB492" s="72">
        <v>642</v>
      </c>
      <c r="AC492" s="72">
        <v>150</v>
      </c>
      <c r="AD492" s="77">
        <v>1</v>
      </c>
    </row>
    <row r="493" spans="1:30" ht="12.75" x14ac:dyDescent="0.2">
      <c r="A493" s="83" t="s">
        <v>714</v>
      </c>
      <c r="B493" s="72">
        <v>920</v>
      </c>
      <c r="C493" s="72">
        <v>43</v>
      </c>
      <c r="D493" s="72">
        <v>43</v>
      </c>
      <c r="E493" s="72">
        <v>0</v>
      </c>
      <c r="F493" s="72">
        <v>877</v>
      </c>
      <c r="G493" s="73">
        <v>4.7E-2</v>
      </c>
      <c r="H493" s="74">
        <v>345</v>
      </c>
      <c r="I493" s="74">
        <v>0</v>
      </c>
      <c r="J493" s="72">
        <v>609</v>
      </c>
      <c r="K493" s="72">
        <v>28</v>
      </c>
      <c r="L493" s="72">
        <v>28</v>
      </c>
      <c r="M493" s="72">
        <v>0</v>
      </c>
      <c r="N493" s="72">
        <v>581</v>
      </c>
      <c r="O493" s="72">
        <v>28</v>
      </c>
      <c r="P493" s="72">
        <v>581</v>
      </c>
      <c r="Q493" s="75">
        <v>4.5999999999999999E-2</v>
      </c>
      <c r="R493" s="75">
        <v>4.5999999999999999E-2</v>
      </c>
      <c r="S493" s="72">
        <v>613</v>
      </c>
      <c r="T493" s="72">
        <v>0</v>
      </c>
      <c r="U493" s="72">
        <v>613</v>
      </c>
      <c r="V493" s="75">
        <v>0</v>
      </c>
      <c r="W493" s="76">
        <v>1452</v>
      </c>
      <c r="X493" s="76">
        <v>1707</v>
      </c>
      <c r="Y493" s="72">
        <v>0</v>
      </c>
      <c r="Z493" s="78">
        <v>1.1759999999999999</v>
      </c>
      <c r="AA493" s="76">
        <v>3594</v>
      </c>
      <c r="AB493" s="76">
        <v>1778</v>
      </c>
      <c r="AC493" s="76">
        <v>2071</v>
      </c>
      <c r="AD493" s="77">
        <v>0.375</v>
      </c>
    </row>
    <row r="494" spans="1:30" ht="12.75" x14ac:dyDescent="0.2">
      <c r="A494" s="83" t="s">
        <v>715</v>
      </c>
      <c r="B494" s="76">
        <v>1477</v>
      </c>
      <c r="C494" s="72">
        <v>215</v>
      </c>
      <c r="D494" s="72">
        <v>0</v>
      </c>
      <c r="E494" s="72">
        <v>215</v>
      </c>
      <c r="F494" s="76">
        <v>1262</v>
      </c>
      <c r="G494" s="73">
        <v>0.14599999999999999</v>
      </c>
      <c r="H494" s="74">
        <v>554</v>
      </c>
      <c r="I494" s="74">
        <v>0</v>
      </c>
      <c r="J494" s="76">
        <v>1065</v>
      </c>
      <c r="K494" s="72">
        <v>215</v>
      </c>
      <c r="L494" s="72">
        <v>0</v>
      </c>
      <c r="M494" s="72">
        <v>215</v>
      </c>
      <c r="N494" s="72">
        <v>850</v>
      </c>
      <c r="O494" s="72">
        <v>215</v>
      </c>
      <c r="P494" s="72">
        <v>850</v>
      </c>
      <c r="Q494" s="75">
        <v>0.20200000000000001</v>
      </c>
      <c r="R494" s="75">
        <v>0.20200000000000001</v>
      </c>
      <c r="S494" s="76">
        <v>1169</v>
      </c>
      <c r="T494" s="72">
        <v>119</v>
      </c>
      <c r="U494" s="76">
        <v>1050</v>
      </c>
      <c r="V494" s="75">
        <v>0.10199999999999999</v>
      </c>
      <c r="W494" s="76">
        <v>3370</v>
      </c>
      <c r="X494" s="72">
        <v>117</v>
      </c>
      <c r="Y494" s="76">
        <v>3253</v>
      </c>
      <c r="Z494" s="75">
        <v>3.5000000000000003E-2</v>
      </c>
      <c r="AA494" s="76">
        <v>7081</v>
      </c>
      <c r="AB494" s="72">
        <v>666</v>
      </c>
      <c r="AC494" s="76">
        <v>6415</v>
      </c>
      <c r="AD494" s="77">
        <v>0.375</v>
      </c>
    </row>
    <row r="495" spans="1:30" ht="12.75" x14ac:dyDescent="0.2">
      <c r="A495" s="83" t="s">
        <v>716</v>
      </c>
      <c r="B495" s="72">
        <v>3</v>
      </c>
      <c r="C495" s="72">
        <v>0</v>
      </c>
      <c r="D495" s="72">
        <v>0</v>
      </c>
      <c r="E495" s="72">
        <v>0</v>
      </c>
      <c r="F495" s="72">
        <v>3</v>
      </c>
      <c r="G495" s="73">
        <v>0</v>
      </c>
      <c r="H495" s="74">
        <v>3</v>
      </c>
      <c r="I495" s="74">
        <v>0</v>
      </c>
      <c r="J495" s="72">
        <v>2</v>
      </c>
      <c r="K495" s="72">
        <v>0</v>
      </c>
      <c r="L495" s="72">
        <v>0</v>
      </c>
      <c r="M495" s="72">
        <v>0</v>
      </c>
      <c r="N495" s="72">
        <v>2</v>
      </c>
      <c r="O495" s="72">
        <v>0</v>
      </c>
      <c r="P495" s="72">
        <v>2</v>
      </c>
      <c r="Q495" s="75">
        <v>0</v>
      </c>
      <c r="R495" s="75">
        <v>0</v>
      </c>
      <c r="S495" s="72">
        <v>2</v>
      </c>
      <c r="T495" s="72">
        <v>0</v>
      </c>
      <c r="U495" s="72">
        <v>2</v>
      </c>
      <c r="V495" s="75">
        <v>0</v>
      </c>
      <c r="W495" s="72">
        <v>6</v>
      </c>
      <c r="X495" s="72">
        <v>0</v>
      </c>
      <c r="Y495" s="72">
        <v>6</v>
      </c>
      <c r="Z495" s="75">
        <v>0</v>
      </c>
      <c r="AA495" s="72">
        <v>13</v>
      </c>
      <c r="AB495" s="72">
        <v>0</v>
      </c>
      <c r="AC495" s="72">
        <v>13</v>
      </c>
      <c r="AD495" s="77">
        <v>1</v>
      </c>
    </row>
    <row r="496" spans="1:30" ht="12.75" x14ac:dyDescent="0.2">
      <c r="A496" s="83" t="s">
        <v>718</v>
      </c>
      <c r="B496" s="72">
        <v>102</v>
      </c>
      <c r="C496" s="72">
        <v>0</v>
      </c>
      <c r="D496" s="72">
        <v>0</v>
      </c>
      <c r="E496" s="72">
        <v>0</v>
      </c>
      <c r="F496" s="72">
        <v>102</v>
      </c>
      <c r="G496" s="73">
        <v>0</v>
      </c>
      <c r="H496" s="74">
        <v>102</v>
      </c>
      <c r="I496" s="74">
        <v>0</v>
      </c>
      <c r="J496" s="72">
        <v>74</v>
      </c>
      <c r="K496" s="72">
        <v>6</v>
      </c>
      <c r="L496" s="72">
        <v>6</v>
      </c>
      <c r="M496" s="72">
        <v>0</v>
      </c>
      <c r="N496" s="72">
        <v>68</v>
      </c>
      <c r="O496" s="72">
        <v>6</v>
      </c>
      <c r="P496" s="72">
        <v>68</v>
      </c>
      <c r="Q496" s="75">
        <v>8.1000000000000003E-2</v>
      </c>
      <c r="R496" s="75">
        <v>8.1000000000000003E-2</v>
      </c>
      <c r="S496" s="72">
        <v>81</v>
      </c>
      <c r="T496" s="72">
        <v>0</v>
      </c>
      <c r="U496" s="72">
        <v>81</v>
      </c>
      <c r="V496" s="75">
        <v>0</v>
      </c>
      <c r="W496" s="72">
        <v>193</v>
      </c>
      <c r="X496" s="72">
        <v>113</v>
      </c>
      <c r="Y496" s="72">
        <v>80</v>
      </c>
      <c r="Z496" s="75">
        <v>0.58499999999999996</v>
      </c>
      <c r="AA496" s="72">
        <v>450</v>
      </c>
      <c r="AB496" s="72">
        <v>119</v>
      </c>
      <c r="AC496" s="72">
        <v>331</v>
      </c>
      <c r="AD496" s="77">
        <v>1</v>
      </c>
    </row>
    <row r="497" spans="1:30" ht="12.75" x14ac:dyDescent="0.2">
      <c r="A497" s="83" t="s">
        <v>719</v>
      </c>
      <c r="B497" s="72">
        <v>877</v>
      </c>
      <c r="C497" s="72">
        <v>2</v>
      </c>
      <c r="D497" s="72">
        <v>2</v>
      </c>
      <c r="E497" s="72">
        <v>0</v>
      </c>
      <c r="F497" s="72">
        <v>875</v>
      </c>
      <c r="G497" s="73">
        <v>2E-3</v>
      </c>
      <c r="H497" s="74">
        <v>329</v>
      </c>
      <c r="I497" s="74">
        <v>0</v>
      </c>
      <c r="J497" s="72">
        <v>562</v>
      </c>
      <c r="K497" s="72">
        <v>123</v>
      </c>
      <c r="L497" s="72">
        <v>123</v>
      </c>
      <c r="M497" s="72">
        <v>0</v>
      </c>
      <c r="N497" s="72">
        <v>439</v>
      </c>
      <c r="O497" s="72">
        <v>123</v>
      </c>
      <c r="P497" s="72">
        <v>439</v>
      </c>
      <c r="Q497" s="75">
        <v>0.219</v>
      </c>
      <c r="R497" s="75">
        <v>0.219</v>
      </c>
      <c r="S497" s="72">
        <v>627</v>
      </c>
      <c r="T497" s="72">
        <v>591</v>
      </c>
      <c r="U497" s="72">
        <v>36</v>
      </c>
      <c r="V497" s="78">
        <v>0.94299999999999995</v>
      </c>
      <c r="W497" s="76">
        <v>1552</v>
      </c>
      <c r="X497" s="72">
        <v>46</v>
      </c>
      <c r="Y497" s="76">
        <v>1506</v>
      </c>
      <c r="Z497" s="75">
        <v>0.03</v>
      </c>
      <c r="AA497" s="76">
        <v>3618</v>
      </c>
      <c r="AB497" s="72">
        <v>762</v>
      </c>
      <c r="AC497" s="76">
        <v>2856</v>
      </c>
      <c r="AD497" s="77">
        <v>0.375</v>
      </c>
    </row>
    <row r="498" spans="1:30" ht="12.75" x14ac:dyDescent="0.2">
      <c r="A498" s="83" t="s">
        <v>720</v>
      </c>
      <c r="B498" s="72">
        <v>283</v>
      </c>
      <c r="C498" s="72">
        <v>90</v>
      </c>
      <c r="D498" s="72">
        <v>90</v>
      </c>
      <c r="E498" s="72">
        <v>0</v>
      </c>
      <c r="F498" s="72">
        <v>193</v>
      </c>
      <c r="G498" s="73">
        <v>0.318</v>
      </c>
      <c r="H498" s="74">
        <v>142</v>
      </c>
      <c r="I498" s="74">
        <v>0</v>
      </c>
      <c r="J498" s="72">
        <v>195</v>
      </c>
      <c r="K498" s="72">
        <v>73</v>
      </c>
      <c r="L498" s="72">
        <v>73</v>
      </c>
      <c r="M498" s="72">
        <v>0</v>
      </c>
      <c r="N498" s="72">
        <v>122</v>
      </c>
      <c r="O498" s="72">
        <v>73</v>
      </c>
      <c r="P498" s="72">
        <v>122</v>
      </c>
      <c r="Q498" s="75">
        <v>0.374</v>
      </c>
      <c r="R498" s="75">
        <v>0.374</v>
      </c>
      <c r="S498" s="72">
        <v>224</v>
      </c>
      <c r="T498" s="72">
        <v>101</v>
      </c>
      <c r="U498" s="72">
        <v>123</v>
      </c>
      <c r="V498" s="75">
        <v>0.45100000000000001</v>
      </c>
      <c r="W498" s="72">
        <v>525</v>
      </c>
      <c r="X498" s="72">
        <v>906</v>
      </c>
      <c r="Y498" s="72">
        <v>0</v>
      </c>
      <c r="Z498" s="78">
        <v>1.726</v>
      </c>
      <c r="AA498" s="76">
        <v>1227</v>
      </c>
      <c r="AB498" s="76">
        <v>1170</v>
      </c>
      <c r="AC498" s="72">
        <v>438</v>
      </c>
      <c r="AD498" s="77">
        <v>0.5</v>
      </c>
    </row>
    <row r="499" spans="1:30" ht="12.75" x14ac:dyDescent="0.2">
      <c r="A499" s="83" t="s">
        <v>721</v>
      </c>
      <c r="B499" s="72">
        <v>103</v>
      </c>
      <c r="C499" s="72">
        <v>0</v>
      </c>
      <c r="D499" s="72">
        <v>0</v>
      </c>
      <c r="E499" s="72">
        <v>0</v>
      </c>
      <c r="F499" s="72">
        <v>103</v>
      </c>
      <c r="G499" s="73">
        <v>0</v>
      </c>
      <c r="H499" s="74">
        <v>52</v>
      </c>
      <c r="I499" s="74">
        <v>0</v>
      </c>
      <c r="J499" s="72">
        <v>72</v>
      </c>
      <c r="K499" s="72">
        <v>10</v>
      </c>
      <c r="L499" s="72">
        <v>0</v>
      </c>
      <c r="M499" s="72">
        <v>10</v>
      </c>
      <c r="N499" s="72">
        <v>62</v>
      </c>
      <c r="O499" s="72">
        <v>10</v>
      </c>
      <c r="P499" s="72">
        <v>62</v>
      </c>
      <c r="Q499" s="75">
        <v>0.13900000000000001</v>
      </c>
      <c r="R499" s="75">
        <v>0.13900000000000001</v>
      </c>
      <c r="S499" s="72">
        <v>84</v>
      </c>
      <c r="T499" s="72">
        <v>51</v>
      </c>
      <c r="U499" s="72">
        <v>33</v>
      </c>
      <c r="V499" s="78">
        <v>0.60699999999999998</v>
      </c>
      <c r="W499" s="72">
        <v>195</v>
      </c>
      <c r="X499" s="72">
        <v>0</v>
      </c>
      <c r="Y499" s="72">
        <v>195</v>
      </c>
      <c r="Z499" s="75">
        <v>0</v>
      </c>
      <c r="AA499" s="72">
        <v>454</v>
      </c>
      <c r="AB499" s="72">
        <v>61</v>
      </c>
      <c r="AC499" s="72">
        <v>393</v>
      </c>
      <c r="AD499" s="77">
        <v>0.5</v>
      </c>
    </row>
    <row r="500" spans="1:30" ht="12.75" x14ac:dyDescent="0.2">
      <c r="A500" s="83" t="s">
        <v>722</v>
      </c>
      <c r="B500" s="72">
        <v>11</v>
      </c>
      <c r="C500" s="72">
        <v>68</v>
      </c>
      <c r="D500" s="72">
        <v>68</v>
      </c>
      <c r="E500" s="72">
        <v>0</v>
      </c>
      <c r="F500" s="72">
        <v>0</v>
      </c>
      <c r="G500" s="79">
        <v>6.1820000000000004</v>
      </c>
      <c r="H500" s="74">
        <v>11</v>
      </c>
      <c r="I500" s="74">
        <v>57</v>
      </c>
      <c r="J500" s="72">
        <v>7</v>
      </c>
      <c r="K500" s="72">
        <v>10</v>
      </c>
      <c r="L500" s="72">
        <v>10</v>
      </c>
      <c r="M500" s="72">
        <v>0</v>
      </c>
      <c r="N500" s="72">
        <v>0</v>
      </c>
      <c r="O500" s="72">
        <v>67</v>
      </c>
      <c r="P500" s="72">
        <v>0</v>
      </c>
      <c r="Q500" s="78">
        <v>1.429</v>
      </c>
      <c r="R500" s="78">
        <v>9.5709999999999997</v>
      </c>
      <c r="S500" s="72">
        <v>7</v>
      </c>
      <c r="T500" s="72">
        <v>35</v>
      </c>
      <c r="U500" s="72">
        <v>0</v>
      </c>
      <c r="V500" s="78">
        <v>5</v>
      </c>
      <c r="W500" s="72">
        <v>20</v>
      </c>
      <c r="X500" s="72">
        <v>32</v>
      </c>
      <c r="Y500" s="72">
        <v>0</v>
      </c>
      <c r="Z500" s="78">
        <v>1.6</v>
      </c>
      <c r="AA500" s="72">
        <v>45</v>
      </c>
      <c r="AB500" s="72">
        <v>145</v>
      </c>
      <c r="AC500" s="84">
        <v>0</v>
      </c>
      <c r="AD500" s="77">
        <v>1</v>
      </c>
    </row>
    <row r="501" spans="1:30" ht="12.75" x14ac:dyDescent="0.2">
      <c r="A501" s="83" t="s">
        <v>197</v>
      </c>
      <c r="B501" s="72">
        <v>317</v>
      </c>
      <c r="C501" s="72">
        <v>0</v>
      </c>
      <c r="D501" s="72">
        <v>0</v>
      </c>
      <c r="E501" s="72">
        <v>0</v>
      </c>
      <c r="F501" s="72">
        <v>317</v>
      </c>
      <c r="G501" s="73">
        <v>0</v>
      </c>
      <c r="H501" s="74">
        <v>159</v>
      </c>
      <c r="I501" s="74">
        <v>0</v>
      </c>
      <c r="J501" s="72">
        <v>180</v>
      </c>
      <c r="K501" s="72">
        <v>0</v>
      </c>
      <c r="L501" s="72">
        <v>0</v>
      </c>
      <c r="M501" s="72">
        <v>0</v>
      </c>
      <c r="N501" s="72">
        <v>180</v>
      </c>
      <c r="O501" s="72">
        <v>0</v>
      </c>
      <c r="P501" s="72">
        <v>180</v>
      </c>
      <c r="Q501" s="75">
        <v>0</v>
      </c>
      <c r="R501" s="75">
        <v>0</v>
      </c>
      <c r="S501" s="72">
        <v>192</v>
      </c>
      <c r="T501" s="72">
        <v>26</v>
      </c>
      <c r="U501" s="72">
        <v>166</v>
      </c>
      <c r="V501" s="75">
        <v>0.13500000000000001</v>
      </c>
      <c r="W501" s="72">
        <v>417</v>
      </c>
      <c r="X501" s="72">
        <v>472</v>
      </c>
      <c r="Y501" s="72">
        <v>0</v>
      </c>
      <c r="Z501" s="78">
        <v>1.1319999999999999</v>
      </c>
      <c r="AA501" s="76">
        <v>1106</v>
      </c>
      <c r="AB501" s="72">
        <v>498</v>
      </c>
      <c r="AC501" s="72">
        <v>663</v>
      </c>
      <c r="AD501" s="77">
        <v>0.5</v>
      </c>
    </row>
    <row r="502" spans="1:30" ht="12.75" x14ac:dyDescent="0.2">
      <c r="A502" s="83" t="s">
        <v>723</v>
      </c>
      <c r="B502" s="72">
        <v>382</v>
      </c>
      <c r="C502" s="72">
        <v>0</v>
      </c>
      <c r="D502" s="72">
        <v>0</v>
      </c>
      <c r="E502" s="72">
        <v>0</v>
      </c>
      <c r="F502" s="72">
        <v>382</v>
      </c>
      <c r="G502" s="73">
        <v>0</v>
      </c>
      <c r="H502" s="74">
        <v>191</v>
      </c>
      <c r="I502" s="74">
        <v>0</v>
      </c>
      <c r="J502" s="72">
        <v>260</v>
      </c>
      <c r="K502" s="72">
        <v>0</v>
      </c>
      <c r="L502" s="72">
        <v>0</v>
      </c>
      <c r="M502" s="72">
        <v>0</v>
      </c>
      <c r="N502" s="72">
        <v>260</v>
      </c>
      <c r="O502" s="72">
        <v>0</v>
      </c>
      <c r="P502" s="72">
        <v>260</v>
      </c>
      <c r="Q502" s="75">
        <v>0</v>
      </c>
      <c r="R502" s="75">
        <v>0</v>
      </c>
      <c r="S502" s="72">
        <v>294</v>
      </c>
      <c r="T502" s="72">
        <v>0</v>
      </c>
      <c r="U502" s="72">
        <v>294</v>
      </c>
      <c r="V502" s="75">
        <v>0</v>
      </c>
      <c r="W502" s="72">
        <v>653</v>
      </c>
      <c r="X502" s="72">
        <v>302</v>
      </c>
      <c r="Y502" s="72">
        <v>351</v>
      </c>
      <c r="Z502" s="75">
        <v>0.46200000000000002</v>
      </c>
      <c r="AA502" s="76">
        <v>1589</v>
      </c>
      <c r="AB502" s="72">
        <v>302</v>
      </c>
      <c r="AC502" s="76">
        <v>1287</v>
      </c>
      <c r="AD502" s="77">
        <v>0.5</v>
      </c>
    </row>
    <row r="503" spans="1:30" ht="12.75" x14ac:dyDescent="0.2">
      <c r="A503" s="83" t="s">
        <v>724</v>
      </c>
      <c r="B503" s="72">
        <v>287</v>
      </c>
      <c r="C503" s="72">
        <v>48</v>
      </c>
      <c r="D503" s="72">
        <v>48</v>
      </c>
      <c r="E503" s="72">
        <v>0</v>
      </c>
      <c r="F503" s="72">
        <v>239</v>
      </c>
      <c r="G503" s="73">
        <v>0.16700000000000001</v>
      </c>
      <c r="H503" s="74">
        <v>144</v>
      </c>
      <c r="I503" s="74">
        <v>0</v>
      </c>
      <c r="J503" s="72">
        <v>134</v>
      </c>
      <c r="K503" s="72">
        <v>96</v>
      </c>
      <c r="L503" s="72">
        <v>94</v>
      </c>
      <c r="M503" s="72">
        <v>2</v>
      </c>
      <c r="N503" s="72">
        <v>38</v>
      </c>
      <c r="O503" s="72">
        <v>96</v>
      </c>
      <c r="P503" s="72">
        <v>38</v>
      </c>
      <c r="Q503" s="78">
        <v>0.71599999999999997</v>
      </c>
      <c r="R503" s="78">
        <v>0.71599999999999997</v>
      </c>
      <c r="S503" s="72">
        <v>173</v>
      </c>
      <c r="T503" s="72">
        <v>533</v>
      </c>
      <c r="U503" s="72">
        <v>0</v>
      </c>
      <c r="V503" s="78">
        <v>3.081</v>
      </c>
      <c r="W503" s="72">
        <v>490</v>
      </c>
      <c r="X503" s="72">
        <v>657</v>
      </c>
      <c r="Y503" s="72">
        <v>0</v>
      </c>
      <c r="Z503" s="78">
        <v>1.341</v>
      </c>
      <c r="AA503" s="76">
        <v>1084</v>
      </c>
      <c r="AB503" s="76">
        <v>1334</v>
      </c>
      <c r="AC503" s="72">
        <v>277</v>
      </c>
      <c r="AD503" s="77">
        <v>0.5</v>
      </c>
    </row>
    <row r="504" spans="1:30" ht="12.75" x14ac:dyDescent="0.2">
      <c r="A504" s="83" t="s">
        <v>725</v>
      </c>
      <c r="B504" s="72">
        <v>283</v>
      </c>
      <c r="C504" s="72">
        <v>0</v>
      </c>
      <c r="D504" s="72">
        <v>0</v>
      </c>
      <c r="E504" s="72">
        <v>0</v>
      </c>
      <c r="F504" s="72">
        <v>283</v>
      </c>
      <c r="G504" s="73">
        <v>0</v>
      </c>
      <c r="H504" s="74">
        <v>142</v>
      </c>
      <c r="I504" s="74">
        <v>0</v>
      </c>
      <c r="J504" s="72">
        <v>178</v>
      </c>
      <c r="K504" s="72">
        <v>0</v>
      </c>
      <c r="L504" s="72">
        <v>0</v>
      </c>
      <c r="M504" s="72">
        <v>0</v>
      </c>
      <c r="N504" s="72">
        <v>178</v>
      </c>
      <c r="O504" s="72">
        <v>0</v>
      </c>
      <c r="P504" s="72">
        <v>178</v>
      </c>
      <c r="Q504" s="75">
        <v>0</v>
      </c>
      <c r="R504" s="75">
        <v>0</v>
      </c>
      <c r="S504" s="72">
        <v>211</v>
      </c>
      <c r="T504" s="72">
        <v>0</v>
      </c>
      <c r="U504" s="72">
        <v>211</v>
      </c>
      <c r="V504" s="75">
        <v>0</v>
      </c>
      <c r="W504" s="72">
        <v>690</v>
      </c>
      <c r="X504" s="72">
        <v>146</v>
      </c>
      <c r="Y504" s="72">
        <v>544</v>
      </c>
      <c r="Z504" s="75">
        <v>0.21199999999999999</v>
      </c>
      <c r="AA504" s="76">
        <v>1362</v>
      </c>
      <c r="AB504" s="72">
        <v>146</v>
      </c>
      <c r="AC504" s="76">
        <v>1216</v>
      </c>
      <c r="AD504" s="77">
        <v>0.5</v>
      </c>
    </row>
    <row r="505" spans="1:30" ht="12.75" x14ac:dyDescent="0.2">
      <c r="A505" s="83" t="s">
        <v>726</v>
      </c>
      <c r="B505" s="72">
        <v>246</v>
      </c>
      <c r="C505" s="72">
        <v>74</v>
      </c>
      <c r="D505" s="72">
        <v>0</v>
      </c>
      <c r="E505" s="72">
        <v>74</v>
      </c>
      <c r="F505" s="72">
        <v>172</v>
      </c>
      <c r="G505" s="73">
        <v>0.30099999999999999</v>
      </c>
      <c r="H505" s="74">
        <v>123</v>
      </c>
      <c r="I505" s="74">
        <v>0</v>
      </c>
      <c r="J505" s="72">
        <v>168</v>
      </c>
      <c r="K505" s="72">
        <v>114</v>
      </c>
      <c r="L505" s="72">
        <v>0</v>
      </c>
      <c r="M505" s="72">
        <v>114</v>
      </c>
      <c r="N505" s="72">
        <v>54</v>
      </c>
      <c r="O505" s="72">
        <v>114</v>
      </c>
      <c r="P505" s="72">
        <v>54</v>
      </c>
      <c r="Q505" s="78">
        <v>0.67900000000000005</v>
      </c>
      <c r="R505" s="78">
        <v>0.67900000000000005</v>
      </c>
      <c r="S505" s="72">
        <v>189</v>
      </c>
      <c r="T505" s="72">
        <v>67</v>
      </c>
      <c r="U505" s="72">
        <v>122</v>
      </c>
      <c r="V505" s="75">
        <v>0.35399999999999998</v>
      </c>
      <c r="W505" s="72">
        <v>412</v>
      </c>
      <c r="X505" s="72">
        <v>231</v>
      </c>
      <c r="Y505" s="72">
        <v>181</v>
      </c>
      <c r="Z505" s="78">
        <v>0.56100000000000005</v>
      </c>
      <c r="AA505" s="76">
        <v>1015</v>
      </c>
      <c r="AB505" s="72">
        <v>486</v>
      </c>
      <c r="AC505" s="72">
        <v>529</v>
      </c>
      <c r="AD505" s="77">
        <v>0.5</v>
      </c>
    </row>
    <row r="506" spans="1:30" ht="12.75" x14ac:dyDescent="0.2">
      <c r="A506" s="83" t="s">
        <v>727</v>
      </c>
      <c r="B506" s="72">
        <v>1</v>
      </c>
      <c r="C506" s="72">
        <v>0</v>
      </c>
      <c r="D506" s="72">
        <v>0</v>
      </c>
      <c r="E506" s="72">
        <v>0</v>
      </c>
      <c r="F506" s="72">
        <v>1</v>
      </c>
      <c r="G506" s="73">
        <v>0</v>
      </c>
      <c r="H506" s="74">
        <v>1</v>
      </c>
      <c r="I506" s="74">
        <v>0</v>
      </c>
      <c r="J506" s="72">
        <v>1</v>
      </c>
      <c r="K506" s="72">
        <v>0</v>
      </c>
      <c r="L506" s="72">
        <v>0</v>
      </c>
      <c r="M506" s="72">
        <v>0</v>
      </c>
      <c r="N506" s="72">
        <v>1</v>
      </c>
      <c r="O506" s="72">
        <v>0</v>
      </c>
      <c r="P506" s="72">
        <v>1</v>
      </c>
      <c r="Q506" s="75">
        <v>0</v>
      </c>
      <c r="R506" s="75">
        <v>0</v>
      </c>
      <c r="S506" s="72">
        <v>0</v>
      </c>
      <c r="T506" s="72">
        <v>0</v>
      </c>
      <c r="U506" s="72">
        <v>0</v>
      </c>
      <c r="V506" s="80" t="s">
        <v>196</v>
      </c>
      <c r="W506" s="72">
        <v>0</v>
      </c>
      <c r="X506" s="72">
        <v>0</v>
      </c>
      <c r="Y506" s="72">
        <v>0</v>
      </c>
      <c r="Z506" s="80" t="s">
        <v>196</v>
      </c>
      <c r="AA506" s="72">
        <v>2</v>
      </c>
      <c r="AB506" s="72">
        <v>0</v>
      </c>
      <c r="AC506" s="72">
        <v>2</v>
      </c>
      <c r="AD506" s="77">
        <v>0.5</v>
      </c>
    </row>
    <row r="507" spans="1:30" ht="12.75" x14ac:dyDescent="0.2">
      <c r="A507" s="83" t="s">
        <v>728</v>
      </c>
      <c r="B507" s="76">
        <v>1698</v>
      </c>
      <c r="C507" s="72">
        <v>0</v>
      </c>
      <c r="D507" s="72">
        <v>0</v>
      </c>
      <c r="E507" s="72">
        <v>0</v>
      </c>
      <c r="F507" s="76">
        <v>1698</v>
      </c>
      <c r="G507" s="73">
        <v>0</v>
      </c>
      <c r="H507" s="74">
        <v>849</v>
      </c>
      <c r="I507" s="74">
        <v>0</v>
      </c>
      <c r="J507" s="76">
        <v>1207</v>
      </c>
      <c r="K507" s="72">
        <v>0</v>
      </c>
      <c r="L507" s="72">
        <v>0</v>
      </c>
      <c r="M507" s="72">
        <v>0</v>
      </c>
      <c r="N507" s="76">
        <v>1207</v>
      </c>
      <c r="O507" s="72">
        <v>0</v>
      </c>
      <c r="P507" s="76">
        <v>1207</v>
      </c>
      <c r="Q507" s="75">
        <v>0</v>
      </c>
      <c r="R507" s="75">
        <v>0</v>
      </c>
      <c r="S507" s="76">
        <v>1342</v>
      </c>
      <c r="T507" s="72">
        <v>104</v>
      </c>
      <c r="U507" s="76">
        <v>1238</v>
      </c>
      <c r="V507" s="75">
        <v>7.6999999999999999E-2</v>
      </c>
      <c r="W507" s="76">
        <v>3124</v>
      </c>
      <c r="X507" s="72">
        <v>14</v>
      </c>
      <c r="Y507" s="76">
        <v>3110</v>
      </c>
      <c r="Z507" s="75">
        <v>4.0000000000000001E-3</v>
      </c>
      <c r="AA507" s="76">
        <v>7371</v>
      </c>
      <c r="AB507" s="72">
        <v>118</v>
      </c>
      <c r="AC507" s="76">
        <v>7253</v>
      </c>
      <c r="AD507" s="77">
        <v>0.5</v>
      </c>
    </row>
    <row r="508" spans="1:30" ht="12.75" x14ac:dyDescent="0.2">
      <c r="A508" s="83" t="s">
        <v>729</v>
      </c>
      <c r="B508" s="72">
        <v>3</v>
      </c>
      <c r="C508" s="72">
        <v>0</v>
      </c>
      <c r="D508" s="72">
        <v>0</v>
      </c>
      <c r="E508" s="72">
        <v>0</v>
      </c>
      <c r="F508" s="72">
        <v>3</v>
      </c>
      <c r="G508" s="73">
        <v>0</v>
      </c>
      <c r="H508" s="74">
        <v>2</v>
      </c>
      <c r="I508" s="74">
        <v>0</v>
      </c>
      <c r="J508" s="72">
        <v>2</v>
      </c>
      <c r="K508" s="72">
        <v>0</v>
      </c>
      <c r="L508" s="72">
        <v>0</v>
      </c>
      <c r="M508" s="72">
        <v>0</v>
      </c>
      <c r="N508" s="72">
        <v>2</v>
      </c>
      <c r="O508" s="72">
        <v>0</v>
      </c>
      <c r="P508" s="72">
        <v>2</v>
      </c>
      <c r="Q508" s="75">
        <v>0</v>
      </c>
      <c r="R508" s="75">
        <v>0</v>
      </c>
      <c r="S508" s="72">
        <v>3</v>
      </c>
      <c r="T508" s="72">
        <v>3</v>
      </c>
      <c r="U508" s="72">
        <v>0</v>
      </c>
      <c r="V508" s="78">
        <v>1</v>
      </c>
      <c r="W508" s="72">
        <v>6</v>
      </c>
      <c r="X508" s="72">
        <v>4</v>
      </c>
      <c r="Y508" s="72">
        <v>2</v>
      </c>
      <c r="Z508" s="78">
        <v>0.66700000000000004</v>
      </c>
      <c r="AA508" s="72">
        <v>14</v>
      </c>
      <c r="AB508" s="72">
        <v>7</v>
      </c>
      <c r="AC508" s="72">
        <v>7</v>
      </c>
      <c r="AD508" s="77">
        <v>0.5</v>
      </c>
    </row>
    <row r="509" spans="1:30" ht="12.75" x14ac:dyDescent="0.2">
      <c r="A509" s="83" t="s">
        <v>730</v>
      </c>
      <c r="B509" s="76">
        <v>2616</v>
      </c>
      <c r="C509" s="72">
        <v>89</v>
      </c>
      <c r="D509" s="72">
        <v>47</v>
      </c>
      <c r="E509" s="72">
        <v>42</v>
      </c>
      <c r="F509" s="76">
        <v>2527</v>
      </c>
      <c r="G509" s="73">
        <v>3.4000000000000002E-2</v>
      </c>
      <c r="H509" s="74">
        <v>981</v>
      </c>
      <c r="I509" s="74">
        <v>0</v>
      </c>
      <c r="J509" s="76">
        <v>1931</v>
      </c>
      <c r="K509" s="72">
        <v>382</v>
      </c>
      <c r="L509" s="72">
        <v>178</v>
      </c>
      <c r="M509" s="72">
        <v>204</v>
      </c>
      <c r="N509" s="76">
        <v>1549</v>
      </c>
      <c r="O509" s="72">
        <v>382</v>
      </c>
      <c r="P509" s="76">
        <v>1549</v>
      </c>
      <c r="Q509" s="75">
        <v>0.19800000000000001</v>
      </c>
      <c r="R509" s="75">
        <v>0.19800000000000001</v>
      </c>
      <c r="S509" s="76">
        <v>1802</v>
      </c>
      <c r="T509" s="72">
        <v>542</v>
      </c>
      <c r="U509" s="76">
        <v>1260</v>
      </c>
      <c r="V509" s="75">
        <v>0.30099999999999999</v>
      </c>
      <c r="W509" s="76">
        <v>3672</v>
      </c>
      <c r="X509" s="76">
        <v>1407</v>
      </c>
      <c r="Y509" s="76">
        <v>2265</v>
      </c>
      <c r="Z509" s="78">
        <v>0.38300000000000001</v>
      </c>
      <c r="AA509" s="76">
        <v>10021</v>
      </c>
      <c r="AB509" s="76">
        <v>2420</v>
      </c>
      <c r="AC509" s="76">
        <v>7601</v>
      </c>
      <c r="AD509" s="77">
        <v>0.375</v>
      </c>
    </row>
    <row r="510" spans="1:30" ht="12.75" x14ac:dyDescent="0.2">
      <c r="A510" s="83" t="s">
        <v>731</v>
      </c>
      <c r="B510" s="72">
        <v>343</v>
      </c>
      <c r="C510" s="72">
        <v>96</v>
      </c>
      <c r="D510" s="72">
        <v>96</v>
      </c>
      <c r="E510" s="72">
        <v>0</v>
      </c>
      <c r="F510" s="72">
        <v>247</v>
      </c>
      <c r="G510" s="73">
        <v>0.28000000000000003</v>
      </c>
      <c r="H510" s="74">
        <v>172</v>
      </c>
      <c r="I510" s="74">
        <v>0</v>
      </c>
      <c r="J510" s="72">
        <v>260</v>
      </c>
      <c r="K510" s="72">
        <v>54</v>
      </c>
      <c r="L510" s="72">
        <v>54</v>
      </c>
      <c r="M510" s="72">
        <v>0</v>
      </c>
      <c r="N510" s="72">
        <v>206</v>
      </c>
      <c r="O510" s="72">
        <v>54</v>
      </c>
      <c r="P510" s="72">
        <v>206</v>
      </c>
      <c r="Q510" s="75">
        <v>0.20799999999999999</v>
      </c>
      <c r="R510" s="75">
        <v>0.20799999999999999</v>
      </c>
      <c r="S510" s="72">
        <v>241</v>
      </c>
      <c r="T510" s="72">
        <v>1</v>
      </c>
      <c r="U510" s="72">
        <v>240</v>
      </c>
      <c r="V510" s="75">
        <v>4.0000000000000001E-3</v>
      </c>
      <c r="W510" s="72">
        <v>530</v>
      </c>
      <c r="X510" s="76">
        <v>2022</v>
      </c>
      <c r="Y510" s="72">
        <v>0</v>
      </c>
      <c r="Z510" s="78">
        <v>3.8149999999999999</v>
      </c>
      <c r="AA510" s="76">
        <v>1374</v>
      </c>
      <c r="AB510" s="76">
        <v>2173</v>
      </c>
      <c r="AC510" s="72">
        <v>693</v>
      </c>
      <c r="AD510" s="77">
        <v>0.5</v>
      </c>
    </row>
    <row r="511" spans="1:30" ht="12.75" x14ac:dyDescent="0.2">
      <c r="A511" s="83" t="s">
        <v>517</v>
      </c>
      <c r="B511" s="72">
        <v>246</v>
      </c>
      <c r="C511" s="72">
        <v>0</v>
      </c>
      <c r="D511" s="72">
        <v>0</v>
      </c>
      <c r="E511" s="72">
        <v>0</v>
      </c>
      <c r="F511" s="72">
        <v>246</v>
      </c>
      <c r="G511" s="73">
        <v>0</v>
      </c>
      <c r="H511" s="74">
        <v>123</v>
      </c>
      <c r="I511" s="74">
        <v>0</v>
      </c>
      <c r="J511" s="72">
        <v>144</v>
      </c>
      <c r="K511" s="72">
        <v>0</v>
      </c>
      <c r="L511" s="72">
        <v>0</v>
      </c>
      <c r="M511" s="72">
        <v>0</v>
      </c>
      <c r="N511" s="72">
        <v>144</v>
      </c>
      <c r="O511" s="72">
        <v>0</v>
      </c>
      <c r="P511" s="72">
        <v>144</v>
      </c>
      <c r="Q511" s="75">
        <v>0</v>
      </c>
      <c r="R511" s="75">
        <v>0</v>
      </c>
      <c r="S511" s="72">
        <v>155</v>
      </c>
      <c r="T511" s="72">
        <v>1</v>
      </c>
      <c r="U511" s="72">
        <v>154</v>
      </c>
      <c r="V511" s="75">
        <v>6.0000000000000001E-3</v>
      </c>
      <c r="W511" s="72">
        <v>363</v>
      </c>
      <c r="X511" s="72">
        <v>439</v>
      </c>
      <c r="Y511" s="72">
        <v>0</v>
      </c>
      <c r="Z511" s="78">
        <v>1.2090000000000001</v>
      </c>
      <c r="AA511" s="72">
        <v>908</v>
      </c>
      <c r="AB511" s="72">
        <v>440</v>
      </c>
      <c r="AC511" s="72">
        <v>544</v>
      </c>
      <c r="AD511" s="77">
        <v>0.5</v>
      </c>
    </row>
    <row r="512" spans="1:30" ht="12.75" x14ac:dyDescent="0.2">
      <c r="A512" s="83" t="s">
        <v>319</v>
      </c>
      <c r="B512" s="72">
        <v>604</v>
      </c>
      <c r="C512" s="72">
        <v>42</v>
      </c>
      <c r="D512" s="72">
        <v>42</v>
      </c>
      <c r="E512" s="72">
        <v>0</v>
      </c>
      <c r="F512" s="72">
        <v>562</v>
      </c>
      <c r="G512" s="73">
        <v>7.0000000000000007E-2</v>
      </c>
      <c r="H512" s="74">
        <v>302</v>
      </c>
      <c r="I512" s="74">
        <v>0</v>
      </c>
      <c r="J512" s="72">
        <v>355</v>
      </c>
      <c r="K512" s="72">
        <v>16</v>
      </c>
      <c r="L512" s="72">
        <v>16</v>
      </c>
      <c r="M512" s="72">
        <v>0</v>
      </c>
      <c r="N512" s="72">
        <v>339</v>
      </c>
      <c r="O512" s="72">
        <v>16</v>
      </c>
      <c r="P512" s="72">
        <v>339</v>
      </c>
      <c r="Q512" s="75">
        <v>4.4999999999999998E-2</v>
      </c>
      <c r="R512" s="75">
        <v>4.4999999999999998E-2</v>
      </c>
      <c r="S512" s="72">
        <v>381</v>
      </c>
      <c r="T512" s="72">
        <v>18</v>
      </c>
      <c r="U512" s="72">
        <v>363</v>
      </c>
      <c r="V512" s="75">
        <v>4.7E-2</v>
      </c>
      <c r="W512" s="72">
        <v>895</v>
      </c>
      <c r="X512" s="72">
        <v>511</v>
      </c>
      <c r="Y512" s="72">
        <v>384</v>
      </c>
      <c r="Z512" s="78">
        <v>0.57099999999999995</v>
      </c>
      <c r="AA512" s="76">
        <v>2235</v>
      </c>
      <c r="AB512" s="72">
        <v>587</v>
      </c>
      <c r="AC512" s="76">
        <v>1648</v>
      </c>
      <c r="AD512" s="77">
        <v>0.5</v>
      </c>
    </row>
    <row r="513" spans="1:30" ht="12.75" x14ac:dyDescent="0.2">
      <c r="A513" s="83" t="s">
        <v>444</v>
      </c>
      <c r="B513" s="72">
        <v>350</v>
      </c>
      <c r="C513" s="72">
        <v>0</v>
      </c>
      <c r="D513" s="72">
        <v>0</v>
      </c>
      <c r="E513" s="72">
        <v>0</v>
      </c>
      <c r="F513" s="72">
        <v>350</v>
      </c>
      <c r="G513" s="73">
        <v>0</v>
      </c>
      <c r="H513" s="74">
        <v>131</v>
      </c>
      <c r="I513" s="74">
        <v>0</v>
      </c>
      <c r="J513" s="72">
        <v>275</v>
      </c>
      <c r="K513" s="72">
        <v>61</v>
      </c>
      <c r="L513" s="72">
        <v>0</v>
      </c>
      <c r="M513" s="72">
        <v>61</v>
      </c>
      <c r="N513" s="72">
        <v>214</v>
      </c>
      <c r="O513" s="72">
        <v>61</v>
      </c>
      <c r="P513" s="72">
        <v>214</v>
      </c>
      <c r="Q513" s="75">
        <v>0.222</v>
      </c>
      <c r="R513" s="75">
        <v>0.222</v>
      </c>
      <c r="S513" s="72">
        <v>280</v>
      </c>
      <c r="T513" s="72">
        <v>4</v>
      </c>
      <c r="U513" s="72">
        <v>276</v>
      </c>
      <c r="V513" s="75">
        <v>1.4E-2</v>
      </c>
      <c r="W513" s="72">
        <v>521</v>
      </c>
      <c r="X513" s="72">
        <v>300</v>
      </c>
      <c r="Y513" s="72">
        <v>221</v>
      </c>
      <c r="Z513" s="78">
        <v>0.57599999999999996</v>
      </c>
      <c r="AA513" s="76">
        <v>1426</v>
      </c>
      <c r="AB513" s="72">
        <v>365</v>
      </c>
      <c r="AC513" s="76">
        <v>1061</v>
      </c>
      <c r="AD513" s="77">
        <v>0.375</v>
      </c>
    </row>
    <row r="514" spans="1:30" ht="12.75" x14ac:dyDescent="0.2">
      <c r="A514" s="83" t="s">
        <v>734</v>
      </c>
      <c r="B514" s="72">
        <v>131</v>
      </c>
      <c r="C514" s="72">
        <v>0</v>
      </c>
      <c r="D514" s="72">
        <v>0</v>
      </c>
      <c r="E514" s="72">
        <v>0</v>
      </c>
      <c r="F514" s="72">
        <v>131</v>
      </c>
      <c r="G514" s="73">
        <v>0</v>
      </c>
      <c r="H514" s="74">
        <v>49</v>
      </c>
      <c r="I514" s="74">
        <v>0</v>
      </c>
      <c r="J514" s="72">
        <v>84</v>
      </c>
      <c r="K514" s="72">
        <v>0</v>
      </c>
      <c r="L514" s="72">
        <v>0</v>
      </c>
      <c r="M514" s="72">
        <v>0</v>
      </c>
      <c r="N514" s="72">
        <v>84</v>
      </c>
      <c r="O514" s="72">
        <v>0</v>
      </c>
      <c r="P514" s="72">
        <v>84</v>
      </c>
      <c r="Q514" s="75">
        <v>0</v>
      </c>
      <c r="R514" s="75">
        <v>0</v>
      </c>
      <c r="S514" s="72">
        <v>89</v>
      </c>
      <c r="T514" s="72">
        <v>0</v>
      </c>
      <c r="U514" s="72">
        <v>89</v>
      </c>
      <c r="V514" s="75">
        <v>0</v>
      </c>
      <c r="W514" s="72">
        <v>221</v>
      </c>
      <c r="X514" s="72">
        <v>8</v>
      </c>
      <c r="Y514" s="72">
        <v>213</v>
      </c>
      <c r="Z514" s="75">
        <v>3.5999999999999997E-2</v>
      </c>
      <c r="AA514" s="72">
        <v>525</v>
      </c>
      <c r="AB514" s="72">
        <v>8</v>
      </c>
      <c r="AC514" s="72">
        <v>517</v>
      </c>
      <c r="AD514" s="77">
        <v>0.375</v>
      </c>
    </row>
    <row r="515" spans="1:30" ht="12.75" x14ac:dyDescent="0.2">
      <c r="A515" s="83" t="s">
        <v>735</v>
      </c>
      <c r="B515" s="72">
        <v>169</v>
      </c>
      <c r="C515" s="72">
        <v>21</v>
      </c>
      <c r="D515" s="72">
        <v>21</v>
      </c>
      <c r="E515" s="72">
        <v>0</v>
      </c>
      <c r="F515" s="72">
        <v>148</v>
      </c>
      <c r="G515" s="73">
        <v>0.124</v>
      </c>
      <c r="H515" s="74">
        <v>63</v>
      </c>
      <c r="I515" s="74">
        <v>0</v>
      </c>
      <c r="J515" s="72">
        <v>110</v>
      </c>
      <c r="K515" s="72">
        <v>5</v>
      </c>
      <c r="L515" s="72">
        <v>5</v>
      </c>
      <c r="M515" s="72">
        <v>0</v>
      </c>
      <c r="N515" s="72">
        <v>105</v>
      </c>
      <c r="O515" s="72">
        <v>5</v>
      </c>
      <c r="P515" s="72">
        <v>105</v>
      </c>
      <c r="Q515" s="75">
        <v>4.4999999999999998E-2</v>
      </c>
      <c r="R515" s="75">
        <v>4.4999999999999998E-2</v>
      </c>
      <c r="S515" s="72">
        <v>128</v>
      </c>
      <c r="T515" s="72">
        <v>11</v>
      </c>
      <c r="U515" s="72">
        <v>117</v>
      </c>
      <c r="V515" s="75">
        <v>8.5999999999999993E-2</v>
      </c>
      <c r="W515" s="72">
        <v>293</v>
      </c>
      <c r="X515" s="72">
        <v>134</v>
      </c>
      <c r="Y515" s="72">
        <v>159</v>
      </c>
      <c r="Z515" s="78">
        <v>0.45700000000000002</v>
      </c>
      <c r="AA515" s="72">
        <v>700</v>
      </c>
      <c r="AB515" s="72">
        <v>171</v>
      </c>
      <c r="AC515" s="72">
        <v>529</v>
      </c>
      <c r="AD515" s="77">
        <v>0.375</v>
      </c>
    </row>
    <row r="516" spans="1:30" ht="12.75" x14ac:dyDescent="0.2">
      <c r="A516" s="83" t="s">
        <v>736</v>
      </c>
      <c r="B516" s="72">
        <v>10</v>
      </c>
      <c r="C516" s="72">
        <v>0</v>
      </c>
      <c r="D516" s="72">
        <v>0</v>
      </c>
      <c r="E516" s="72">
        <v>0</v>
      </c>
      <c r="F516" s="72">
        <v>10</v>
      </c>
      <c r="G516" s="73">
        <v>0</v>
      </c>
      <c r="H516" s="74">
        <v>10</v>
      </c>
      <c r="I516" s="74">
        <v>0</v>
      </c>
      <c r="J516" s="72">
        <v>6</v>
      </c>
      <c r="K516" s="72">
        <v>0</v>
      </c>
      <c r="L516" s="72">
        <v>0</v>
      </c>
      <c r="M516" s="72">
        <v>0</v>
      </c>
      <c r="N516" s="72">
        <v>6</v>
      </c>
      <c r="O516" s="72">
        <v>0</v>
      </c>
      <c r="P516" s="72">
        <v>6</v>
      </c>
      <c r="Q516" s="75">
        <v>0</v>
      </c>
      <c r="R516" s="75">
        <v>0</v>
      </c>
      <c r="S516" s="72">
        <v>6</v>
      </c>
      <c r="T516" s="72">
        <v>0</v>
      </c>
      <c r="U516" s="72">
        <v>6</v>
      </c>
      <c r="V516" s="75">
        <v>0</v>
      </c>
      <c r="W516" s="72">
        <v>16</v>
      </c>
      <c r="X516" s="72">
        <v>2</v>
      </c>
      <c r="Y516" s="72">
        <v>14</v>
      </c>
      <c r="Z516" s="75">
        <v>0.125</v>
      </c>
      <c r="AA516" s="72">
        <v>38</v>
      </c>
      <c r="AB516" s="72">
        <v>2</v>
      </c>
      <c r="AC516" s="72">
        <v>36</v>
      </c>
      <c r="AD516" s="77">
        <v>1</v>
      </c>
    </row>
    <row r="517" spans="1:30" ht="12.75" x14ac:dyDescent="0.2">
      <c r="A517" s="83" t="s">
        <v>519</v>
      </c>
      <c r="B517" s="72">
        <v>217</v>
      </c>
      <c r="C517" s="72">
        <v>0</v>
      </c>
      <c r="D517" s="72">
        <v>0</v>
      </c>
      <c r="E517" s="72">
        <v>0</v>
      </c>
      <c r="F517" s="72">
        <v>217</v>
      </c>
      <c r="G517" s="73">
        <v>0</v>
      </c>
      <c r="H517" s="74">
        <v>109</v>
      </c>
      <c r="I517" s="74">
        <v>0</v>
      </c>
      <c r="J517" s="72">
        <v>129</v>
      </c>
      <c r="K517" s="72">
        <v>0</v>
      </c>
      <c r="L517" s="72">
        <v>0</v>
      </c>
      <c r="M517" s="72">
        <v>0</v>
      </c>
      <c r="N517" s="72">
        <v>129</v>
      </c>
      <c r="O517" s="72">
        <v>0</v>
      </c>
      <c r="P517" s="72">
        <v>129</v>
      </c>
      <c r="Q517" s="75">
        <v>0</v>
      </c>
      <c r="R517" s="75">
        <v>0</v>
      </c>
      <c r="S517" s="72">
        <v>138</v>
      </c>
      <c r="T517" s="72">
        <v>0</v>
      </c>
      <c r="U517" s="72">
        <v>138</v>
      </c>
      <c r="V517" s="75">
        <v>0</v>
      </c>
      <c r="W517" s="72">
        <v>347</v>
      </c>
      <c r="X517" s="72">
        <v>660</v>
      </c>
      <c r="Y517" s="72">
        <v>0</v>
      </c>
      <c r="Z517" s="78">
        <v>1.9019999999999999</v>
      </c>
      <c r="AA517" s="72">
        <v>831</v>
      </c>
      <c r="AB517" s="72">
        <v>660</v>
      </c>
      <c r="AC517" s="72">
        <v>484</v>
      </c>
      <c r="AD517" s="77">
        <v>0.5</v>
      </c>
    </row>
    <row r="518" spans="1:30" ht="12.75" x14ac:dyDescent="0.2">
      <c r="A518" s="83" t="s">
        <v>520</v>
      </c>
      <c r="B518" s="72">
        <v>19</v>
      </c>
      <c r="C518" s="72">
        <v>69</v>
      </c>
      <c r="D518" s="72">
        <v>69</v>
      </c>
      <c r="E518" s="72">
        <v>0</v>
      </c>
      <c r="F518" s="72">
        <v>0</v>
      </c>
      <c r="G518" s="79">
        <v>3.6320000000000001</v>
      </c>
      <c r="H518" s="74">
        <v>10</v>
      </c>
      <c r="I518" s="74">
        <v>59</v>
      </c>
      <c r="J518" s="72">
        <v>12</v>
      </c>
      <c r="K518" s="72">
        <v>89</v>
      </c>
      <c r="L518" s="72">
        <v>89</v>
      </c>
      <c r="M518" s="72">
        <v>0</v>
      </c>
      <c r="N518" s="72">
        <v>0</v>
      </c>
      <c r="O518" s="72">
        <v>148</v>
      </c>
      <c r="P518" s="72">
        <v>0</v>
      </c>
      <c r="Q518" s="78">
        <v>7.4169999999999998</v>
      </c>
      <c r="R518" s="78">
        <v>12.333</v>
      </c>
      <c r="S518" s="72">
        <v>13</v>
      </c>
      <c r="T518" s="72">
        <v>47</v>
      </c>
      <c r="U518" s="72">
        <v>0</v>
      </c>
      <c r="V518" s="78">
        <v>3.6150000000000002</v>
      </c>
      <c r="W518" s="72">
        <v>33</v>
      </c>
      <c r="X518" s="76">
        <v>1373</v>
      </c>
      <c r="Y518" s="72">
        <v>0</v>
      </c>
      <c r="Z518" s="78">
        <v>41.606000000000002</v>
      </c>
      <c r="AA518" s="72">
        <v>77</v>
      </c>
      <c r="AB518" s="76">
        <v>1578</v>
      </c>
      <c r="AC518" s="84">
        <v>0</v>
      </c>
      <c r="AD518" s="77">
        <v>0.5</v>
      </c>
    </row>
    <row r="519" spans="1:30" ht="12.75" x14ac:dyDescent="0.2">
      <c r="A519" s="83" t="s">
        <v>737</v>
      </c>
      <c r="B519" s="76">
        <v>1316</v>
      </c>
      <c r="C519" s="72">
        <v>127</v>
      </c>
      <c r="D519" s="72">
        <v>127</v>
      </c>
      <c r="E519" s="72">
        <v>0</v>
      </c>
      <c r="F519" s="76">
        <v>1189</v>
      </c>
      <c r="G519" s="73">
        <v>9.7000000000000003E-2</v>
      </c>
      <c r="H519" s="74">
        <v>658</v>
      </c>
      <c r="I519" s="74">
        <v>0</v>
      </c>
      <c r="J519" s="72">
        <v>923</v>
      </c>
      <c r="K519" s="72">
        <v>22</v>
      </c>
      <c r="L519" s="72">
        <v>18</v>
      </c>
      <c r="M519" s="72">
        <v>4</v>
      </c>
      <c r="N519" s="72">
        <v>901</v>
      </c>
      <c r="O519" s="72">
        <v>22</v>
      </c>
      <c r="P519" s="72">
        <v>901</v>
      </c>
      <c r="Q519" s="75">
        <v>2.4E-2</v>
      </c>
      <c r="R519" s="75">
        <v>2.4E-2</v>
      </c>
      <c r="S519" s="76">
        <v>1111</v>
      </c>
      <c r="T519" s="72">
        <v>835</v>
      </c>
      <c r="U519" s="72">
        <v>276</v>
      </c>
      <c r="V519" s="78">
        <v>0.752</v>
      </c>
      <c r="W519" s="76">
        <v>2627</v>
      </c>
      <c r="X519" s="72">
        <v>191</v>
      </c>
      <c r="Y519" s="76">
        <v>2436</v>
      </c>
      <c r="Z519" s="75">
        <v>7.2999999999999995E-2</v>
      </c>
      <c r="AA519" s="76">
        <v>5977</v>
      </c>
      <c r="AB519" s="76">
        <v>1175</v>
      </c>
      <c r="AC519" s="76">
        <v>4802</v>
      </c>
      <c r="AD519" s="77">
        <v>0.5</v>
      </c>
    </row>
    <row r="520" spans="1:30" ht="12.75" x14ac:dyDescent="0.2">
      <c r="A520" s="83" t="s">
        <v>626</v>
      </c>
      <c r="B520" s="72">
        <v>12</v>
      </c>
      <c r="C520" s="72">
        <v>0</v>
      </c>
      <c r="D520" s="72">
        <v>0</v>
      </c>
      <c r="E520" s="72">
        <v>0</v>
      </c>
      <c r="F520" s="72">
        <v>12</v>
      </c>
      <c r="G520" s="73">
        <v>0</v>
      </c>
      <c r="H520" s="74">
        <v>6</v>
      </c>
      <c r="I520" s="74">
        <v>0</v>
      </c>
      <c r="J520" s="72">
        <v>7</v>
      </c>
      <c r="K520" s="72">
        <v>0</v>
      </c>
      <c r="L520" s="72">
        <v>0</v>
      </c>
      <c r="M520" s="72">
        <v>0</v>
      </c>
      <c r="N520" s="72">
        <v>7</v>
      </c>
      <c r="O520" s="72">
        <v>0</v>
      </c>
      <c r="P520" s="72">
        <v>7</v>
      </c>
      <c r="Q520" s="75">
        <v>0</v>
      </c>
      <c r="R520" s="75">
        <v>0</v>
      </c>
      <c r="S520" s="72">
        <v>8</v>
      </c>
      <c r="T520" s="72">
        <v>0</v>
      </c>
      <c r="U520" s="72">
        <v>8</v>
      </c>
      <c r="V520" s="75">
        <v>0</v>
      </c>
      <c r="W520" s="72">
        <v>18</v>
      </c>
      <c r="X520" s="72">
        <v>2</v>
      </c>
      <c r="Y520" s="72">
        <v>16</v>
      </c>
      <c r="Z520" s="75">
        <v>0.111</v>
      </c>
      <c r="AA520" s="72">
        <v>45</v>
      </c>
      <c r="AB520" s="72">
        <v>2</v>
      </c>
      <c r="AC520" s="72">
        <v>43</v>
      </c>
      <c r="AD520" s="77">
        <v>0.5</v>
      </c>
    </row>
    <row r="521" spans="1:30" ht="12.75" x14ac:dyDescent="0.2">
      <c r="A521" s="83" t="s">
        <v>738</v>
      </c>
      <c r="B521" s="72">
        <v>1</v>
      </c>
      <c r="C521" s="72">
        <v>2</v>
      </c>
      <c r="D521" s="72">
        <v>2</v>
      </c>
      <c r="E521" s="72">
        <v>0</v>
      </c>
      <c r="F521" s="72">
        <v>0</v>
      </c>
      <c r="G521" s="79">
        <v>2</v>
      </c>
      <c r="H521" s="74">
        <v>1</v>
      </c>
      <c r="I521" s="74">
        <v>1</v>
      </c>
      <c r="J521" s="72">
        <v>1</v>
      </c>
      <c r="K521" s="72">
        <v>3</v>
      </c>
      <c r="L521" s="72">
        <v>3</v>
      </c>
      <c r="M521" s="72">
        <v>0</v>
      </c>
      <c r="N521" s="72">
        <v>0</v>
      </c>
      <c r="O521" s="72">
        <v>4</v>
      </c>
      <c r="P521" s="72">
        <v>0</v>
      </c>
      <c r="Q521" s="78">
        <v>3</v>
      </c>
      <c r="R521" s="78">
        <v>4</v>
      </c>
      <c r="S521" s="72">
        <v>0</v>
      </c>
      <c r="T521" s="72">
        <v>0</v>
      </c>
      <c r="U521" s="72">
        <v>0</v>
      </c>
      <c r="V521" s="80" t="s">
        <v>196</v>
      </c>
      <c r="W521" s="72">
        <v>0</v>
      </c>
      <c r="X521" s="72">
        <v>291</v>
      </c>
      <c r="Y521" s="72">
        <v>0</v>
      </c>
      <c r="Z521" s="80" t="s">
        <v>196</v>
      </c>
      <c r="AA521" s="72">
        <v>2</v>
      </c>
      <c r="AB521" s="72">
        <v>296</v>
      </c>
      <c r="AC521" s="84">
        <v>0</v>
      </c>
      <c r="AD521" s="77">
        <v>0.5</v>
      </c>
    </row>
    <row r="522" spans="1:30" ht="12.75" x14ac:dyDescent="0.2">
      <c r="A522" s="83" t="s">
        <v>423</v>
      </c>
      <c r="B522" s="72">
        <v>57</v>
      </c>
      <c r="C522" s="72">
        <v>0</v>
      </c>
      <c r="D522" s="72">
        <v>0</v>
      </c>
      <c r="E522" s="72">
        <v>0</v>
      </c>
      <c r="F522" s="72">
        <v>57</v>
      </c>
      <c r="G522" s="73">
        <v>0</v>
      </c>
      <c r="H522" s="74">
        <v>29</v>
      </c>
      <c r="I522" s="74">
        <v>0</v>
      </c>
      <c r="J522" s="72">
        <v>35</v>
      </c>
      <c r="K522" s="72">
        <v>0</v>
      </c>
      <c r="L522" s="72">
        <v>0</v>
      </c>
      <c r="M522" s="72">
        <v>0</v>
      </c>
      <c r="N522" s="72">
        <v>35</v>
      </c>
      <c r="O522" s="72">
        <v>0</v>
      </c>
      <c r="P522" s="72">
        <v>35</v>
      </c>
      <c r="Q522" s="75">
        <v>0</v>
      </c>
      <c r="R522" s="75">
        <v>0</v>
      </c>
      <c r="S522" s="72">
        <v>36</v>
      </c>
      <c r="T522" s="72">
        <v>0</v>
      </c>
      <c r="U522" s="72">
        <v>36</v>
      </c>
      <c r="V522" s="75">
        <v>0</v>
      </c>
      <c r="W522" s="72">
        <v>105</v>
      </c>
      <c r="X522" s="72">
        <v>0</v>
      </c>
      <c r="Y522" s="72">
        <v>105</v>
      </c>
      <c r="Z522" s="75">
        <v>0</v>
      </c>
      <c r="AA522" s="72">
        <v>233</v>
      </c>
      <c r="AB522" s="72">
        <v>0</v>
      </c>
      <c r="AC522" s="72">
        <v>233</v>
      </c>
      <c r="AD522" s="77">
        <v>0.5</v>
      </c>
    </row>
    <row r="523" spans="1:30" ht="12.75" x14ac:dyDescent="0.2">
      <c r="A523" s="83" t="s">
        <v>739</v>
      </c>
      <c r="B523" s="72">
        <v>109</v>
      </c>
      <c r="C523" s="72">
        <v>0</v>
      </c>
      <c r="D523" s="72">
        <v>0</v>
      </c>
      <c r="E523" s="72">
        <v>0</v>
      </c>
      <c r="F523" s="72">
        <v>109</v>
      </c>
      <c r="G523" s="73">
        <v>0</v>
      </c>
      <c r="H523" s="74">
        <v>55</v>
      </c>
      <c r="I523" s="74">
        <v>0</v>
      </c>
      <c r="J523" s="72">
        <v>76</v>
      </c>
      <c r="K523" s="72">
        <v>0</v>
      </c>
      <c r="L523" s="72">
        <v>0</v>
      </c>
      <c r="M523" s="72">
        <v>0</v>
      </c>
      <c r="N523" s="72">
        <v>76</v>
      </c>
      <c r="O523" s="72">
        <v>0</v>
      </c>
      <c r="P523" s="72">
        <v>76</v>
      </c>
      <c r="Q523" s="75">
        <v>0</v>
      </c>
      <c r="R523" s="75">
        <v>0</v>
      </c>
      <c r="S523" s="72">
        <v>90</v>
      </c>
      <c r="T523" s="72">
        <v>0</v>
      </c>
      <c r="U523" s="72">
        <v>90</v>
      </c>
      <c r="V523" s="75">
        <v>0</v>
      </c>
      <c r="W523" s="72">
        <v>208</v>
      </c>
      <c r="X523" s="72">
        <v>0</v>
      </c>
      <c r="Y523" s="72">
        <v>208</v>
      </c>
      <c r="Z523" s="75">
        <v>0</v>
      </c>
      <c r="AA523" s="72">
        <v>483</v>
      </c>
      <c r="AB523" s="72">
        <v>0</v>
      </c>
      <c r="AC523" s="72">
        <v>483</v>
      </c>
      <c r="AD523" s="77">
        <v>0.5</v>
      </c>
    </row>
    <row r="524" spans="1:30" ht="12.75" x14ac:dyDescent="0.2">
      <c r="A524" s="83" t="s">
        <v>522</v>
      </c>
      <c r="B524" s="72">
        <v>228</v>
      </c>
      <c r="C524" s="72">
        <v>0</v>
      </c>
      <c r="D524" s="72">
        <v>0</v>
      </c>
      <c r="E524" s="72">
        <v>0</v>
      </c>
      <c r="F524" s="72">
        <v>228</v>
      </c>
      <c r="G524" s="73">
        <v>0</v>
      </c>
      <c r="H524" s="74">
        <v>114</v>
      </c>
      <c r="I524" s="74">
        <v>0</v>
      </c>
      <c r="J524" s="72">
        <v>135</v>
      </c>
      <c r="K524" s="72">
        <v>0</v>
      </c>
      <c r="L524" s="72">
        <v>0</v>
      </c>
      <c r="M524" s="72">
        <v>0</v>
      </c>
      <c r="N524" s="72">
        <v>135</v>
      </c>
      <c r="O524" s="72">
        <v>0</v>
      </c>
      <c r="P524" s="72">
        <v>135</v>
      </c>
      <c r="Q524" s="75">
        <v>0</v>
      </c>
      <c r="R524" s="75">
        <v>0</v>
      </c>
      <c r="S524" s="72">
        <v>146</v>
      </c>
      <c r="T524" s="72">
        <v>214</v>
      </c>
      <c r="U524" s="72">
        <v>0</v>
      </c>
      <c r="V524" s="78">
        <v>1.466</v>
      </c>
      <c r="W524" s="72">
        <v>369</v>
      </c>
      <c r="X524" s="72">
        <v>41</v>
      </c>
      <c r="Y524" s="72">
        <v>328</v>
      </c>
      <c r="Z524" s="75">
        <v>0.111</v>
      </c>
      <c r="AA524" s="72">
        <v>878</v>
      </c>
      <c r="AB524" s="72">
        <v>255</v>
      </c>
      <c r="AC524" s="72">
        <v>691</v>
      </c>
      <c r="AD524" s="77">
        <v>0.5</v>
      </c>
    </row>
    <row r="525" spans="1:30" ht="12.75" x14ac:dyDescent="0.2">
      <c r="A525" s="83" t="s">
        <v>740</v>
      </c>
      <c r="B525" s="72">
        <v>621</v>
      </c>
      <c r="C525" s="72">
        <v>0</v>
      </c>
      <c r="D525" s="72">
        <v>0</v>
      </c>
      <c r="E525" s="72">
        <v>0</v>
      </c>
      <c r="F525" s="72">
        <v>621</v>
      </c>
      <c r="G525" s="73">
        <v>0</v>
      </c>
      <c r="H525" s="74">
        <v>311</v>
      </c>
      <c r="I525" s="74">
        <v>0</v>
      </c>
      <c r="J525" s="72">
        <v>415</v>
      </c>
      <c r="K525" s="72">
        <v>14</v>
      </c>
      <c r="L525" s="72">
        <v>0</v>
      </c>
      <c r="M525" s="72">
        <v>14</v>
      </c>
      <c r="N525" s="72">
        <v>401</v>
      </c>
      <c r="O525" s="72">
        <v>14</v>
      </c>
      <c r="P525" s="72">
        <v>401</v>
      </c>
      <c r="Q525" s="75">
        <v>3.4000000000000002E-2</v>
      </c>
      <c r="R525" s="75">
        <v>3.4000000000000002E-2</v>
      </c>
      <c r="S525" s="72">
        <v>461</v>
      </c>
      <c r="T525" s="72">
        <v>28</v>
      </c>
      <c r="U525" s="72">
        <v>433</v>
      </c>
      <c r="V525" s="75">
        <v>6.0999999999999999E-2</v>
      </c>
      <c r="W525" s="76">
        <v>1038</v>
      </c>
      <c r="X525" s="72">
        <v>609</v>
      </c>
      <c r="Y525" s="72">
        <v>429</v>
      </c>
      <c r="Z525" s="78">
        <v>0.58699999999999997</v>
      </c>
      <c r="AA525" s="76">
        <v>2535</v>
      </c>
      <c r="AB525" s="72">
        <v>651</v>
      </c>
      <c r="AC525" s="76">
        <v>1884</v>
      </c>
      <c r="AD525" s="77">
        <v>0.5</v>
      </c>
    </row>
    <row r="526" spans="1:30" ht="12.75" x14ac:dyDescent="0.2">
      <c r="A526" s="83" t="s">
        <v>741</v>
      </c>
      <c r="B526" s="72">
        <v>69</v>
      </c>
      <c r="C526" s="72">
        <v>0</v>
      </c>
      <c r="D526" s="72">
        <v>0</v>
      </c>
      <c r="E526" s="72">
        <v>0</v>
      </c>
      <c r="F526" s="72">
        <v>69</v>
      </c>
      <c r="G526" s="73">
        <v>0</v>
      </c>
      <c r="H526" s="74">
        <v>69</v>
      </c>
      <c r="I526" s="74">
        <v>0</v>
      </c>
      <c r="J526" s="72">
        <v>50</v>
      </c>
      <c r="K526" s="72">
        <v>0</v>
      </c>
      <c r="L526" s="72">
        <v>0</v>
      </c>
      <c r="M526" s="72">
        <v>0</v>
      </c>
      <c r="N526" s="72">
        <v>50</v>
      </c>
      <c r="O526" s="72">
        <v>0</v>
      </c>
      <c r="P526" s="72">
        <v>50</v>
      </c>
      <c r="Q526" s="75">
        <v>0</v>
      </c>
      <c r="R526" s="75">
        <v>0</v>
      </c>
      <c r="S526" s="72">
        <v>58</v>
      </c>
      <c r="T526" s="72">
        <v>0</v>
      </c>
      <c r="U526" s="72">
        <v>58</v>
      </c>
      <c r="V526" s="75">
        <v>0</v>
      </c>
      <c r="W526" s="72">
        <v>130</v>
      </c>
      <c r="X526" s="72">
        <v>0</v>
      </c>
      <c r="Y526" s="72">
        <v>130</v>
      </c>
      <c r="Z526" s="75">
        <v>0</v>
      </c>
      <c r="AA526" s="72">
        <v>307</v>
      </c>
      <c r="AB526" s="72">
        <v>0</v>
      </c>
      <c r="AC526" s="72">
        <v>307</v>
      </c>
      <c r="AD526" s="77">
        <v>1</v>
      </c>
    </row>
    <row r="527" spans="1:30" ht="12.75" x14ac:dyDescent="0.2">
      <c r="A527" s="83" t="s">
        <v>742</v>
      </c>
      <c r="B527" s="72">
        <v>3</v>
      </c>
      <c r="C527" s="72">
        <v>0</v>
      </c>
      <c r="D527" s="72">
        <v>0</v>
      </c>
      <c r="E527" s="72">
        <v>0</v>
      </c>
      <c r="F527" s="72">
        <v>3</v>
      </c>
      <c r="G527" s="73">
        <v>0</v>
      </c>
      <c r="H527" s="74">
        <v>3</v>
      </c>
      <c r="I527" s="74">
        <v>0</v>
      </c>
      <c r="J527" s="72">
        <v>2</v>
      </c>
      <c r="K527" s="72">
        <v>2</v>
      </c>
      <c r="L527" s="72">
        <v>0</v>
      </c>
      <c r="M527" s="72">
        <v>2</v>
      </c>
      <c r="N527" s="72">
        <v>0</v>
      </c>
      <c r="O527" s="72">
        <v>2</v>
      </c>
      <c r="P527" s="72">
        <v>0</v>
      </c>
      <c r="Q527" s="78">
        <v>1</v>
      </c>
      <c r="R527" s="78">
        <v>1</v>
      </c>
      <c r="S527" s="72">
        <v>2</v>
      </c>
      <c r="T527" s="72">
        <v>0</v>
      </c>
      <c r="U527" s="72">
        <v>2</v>
      </c>
      <c r="V527" s="75">
        <v>0</v>
      </c>
      <c r="W527" s="72">
        <v>6</v>
      </c>
      <c r="X527" s="72">
        <v>1</v>
      </c>
      <c r="Y527" s="72">
        <v>5</v>
      </c>
      <c r="Z527" s="75">
        <v>0.16700000000000001</v>
      </c>
      <c r="AA527" s="72">
        <v>13</v>
      </c>
      <c r="AB527" s="72">
        <v>3</v>
      </c>
      <c r="AC527" s="72">
        <v>10</v>
      </c>
      <c r="AD527" s="77">
        <v>1</v>
      </c>
    </row>
    <row r="528" spans="1:30" ht="12.75" x14ac:dyDescent="0.2">
      <c r="A528" s="83" t="s">
        <v>393</v>
      </c>
      <c r="B528" s="72">
        <v>15</v>
      </c>
      <c r="C528" s="72">
        <v>49</v>
      </c>
      <c r="D528" s="72">
        <v>49</v>
      </c>
      <c r="E528" s="72">
        <v>0</v>
      </c>
      <c r="F528" s="72">
        <v>0</v>
      </c>
      <c r="G528" s="79">
        <v>3.2669999999999999</v>
      </c>
      <c r="H528" s="74">
        <v>15</v>
      </c>
      <c r="I528" s="74">
        <v>34</v>
      </c>
      <c r="J528" s="72">
        <v>11</v>
      </c>
      <c r="K528" s="72">
        <v>2</v>
      </c>
      <c r="L528" s="72">
        <v>2</v>
      </c>
      <c r="M528" s="72">
        <v>0</v>
      </c>
      <c r="N528" s="72">
        <v>9</v>
      </c>
      <c r="O528" s="72">
        <v>36</v>
      </c>
      <c r="P528" s="72">
        <v>0</v>
      </c>
      <c r="Q528" s="75">
        <v>0.182</v>
      </c>
      <c r="R528" s="78">
        <v>3.2730000000000001</v>
      </c>
      <c r="S528" s="72">
        <v>11</v>
      </c>
      <c r="T528" s="72">
        <v>1</v>
      </c>
      <c r="U528" s="72">
        <v>10</v>
      </c>
      <c r="V528" s="75">
        <v>9.0999999999999998E-2</v>
      </c>
      <c r="W528" s="72">
        <v>26</v>
      </c>
      <c r="X528" s="72">
        <v>2</v>
      </c>
      <c r="Y528" s="72">
        <v>24</v>
      </c>
      <c r="Z528" s="75">
        <v>7.6999999999999999E-2</v>
      </c>
      <c r="AA528" s="72">
        <v>63</v>
      </c>
      <c r="AB528" s="72">
        <v>54</v>
      </c>
      <c r="AC528" s="72">
        <v>43</v>
      </c>
      <c r="AD528" s="77">
        <v>1</v>
      </c>
    </row>
    <row r="529" spans="1:30" ht="12.75" x14ac:dyDescent="0.2">
      <c r="A529" s="83" t="s">
        <v>744</v>
      </c>
      <c r="B529" s="72">
        <v>120</v>
      </c>
      <c r="C529" s="72">
        <v>0</v>
      </c>
      <c r="D529" s="72">
        <v>0</v>
      </c>
      <c r="E529" s="72">
        <v>0</v>
      </c>
      <c r="F529" s="72">
        <v>120</v>
      </c>
      <c r="G529" s="73">
        <v>0</v>
      </c>
      <c r="H529" s="74">
        <v>60</v>
      </c>
      <c r="I529" s="74">
        <v>0</v>
      </c>
      <c r="J529" s="72">
        <v>65</v>
      </c>
      <c r="K529" s="72">
        <v>0</v>
      </c>
      <c r="L529" s="72">
        <v>0</v>
      </c>
      <c r="M529" s="72">
        <v>0</v>
      </c>
      <c r="N529" s="72">
        <v>65</v>
      </c>
      <c r="O529" s="72">
        <v>0</v>
      </c>
      <c r="P529" s="72">
        <v>65</v>
      </c>
      <c r="Q529" s="75">
        <v>0</v>
      </c>
      <c r="R529" s="75">
        <v>0</v>
      </c>
      <c r="S529" s="72">
        <v>67</v>
      </c>
      <c r="T529" s="72">
        <v>1</v>
      </c>
      <c r="U529" s="72">
        <v>66</v>
      </c>
      <c r="V529" s="75">
        <v>1.4999999999999999E-2</v>
      </c>
      <c r="W529" s="72">
        <v>188</v>
      </c>
      <c r="X529" s="72">
        <v>90</v>
      </c>
      <c r="Y529" s="72">
        <v>98</v>
      </c>
      <c r="Z529" s="75">
        <v>0.47899999999999998</v>
      </c>
      <c r="AA529" s="72">
        <v>440</v>
      </c>
      <c r="AB529" s="72">
        <v>91</v>
      </c>
      <c r="AC529" s="72">
        <v>349</v>
      </c>
      <c r="AD529" s="77">
        <v>0.5</v>
      </c>
    </row>
    <row r="530" spans="1:30" ht="12.75" x14ac:dyDescent="0.2">
      <c r="A530" s="83" t="s">
        <v>745</v>
      </c>
      <c r="B530" s="72">
        <v>76</v>
      </c>
      <c r="C530" s="72">
        <v>0</v>
      </c>
      <c r="D530" s="72">
        <v>0</v>
      </c>
      <c r="E530" s="72">
        <v>0</v>
      </c>
      <c r="F530" s="72">
        <v>76</v>
      </c>
      <c r="G530" s="73">
        <v>0</v>
      </c>
      <c r="H530" s="74">
        <v>38</v>
      </c>
      <c r="I530" s="74">
        <v>0</v>
      </c>
      <c r="J530" s="72">
        <v>54</v>
      </c>
      <c r="K530" s="72">
        <v>0</v>
      </c>
      <c r="L530" s="72">
        <v>0</v>
      </c>
      <c r="M530" s="72">
        <v>0</v>
      </c>
      <c r="N530" s="72">
        <v>54</v>
      </c>
      <c r="O530" s="72">
        <v>0</v>
      </c>
      <c r="P530" s="72">
        <v>54</v>
      </c>
      <c r="Q530" s="75">
        <v>0</v>
      </c>
      <c r="R530" s="75">
        <v>0</v>
      </c>
      <c r="S530" s="72">
        <v>59</v>
      </c>
      <c r="T530" s="72">
        <v>8</v>
      </c>
      <c r="U530" s="72">
        <v>51</v>
      </c>
      <c r="V530" s="75">
        <v>0.13600000000000001</v>
      </c>
      <c r="W530" s="72">
        <v>130</v>
      </c>
      <c r="X530" s="72">
        <v>105</v>
      </c>
      <c r="Y530" s="72">
        <v>25</v>
      </c>
      <c r="Z530" s="78">
        <v>0.80800000000000005</v>
      </c>
      <c r="AA530" s="72">
        <v>319</v>
      </c>
      <c r="AB530" s="72">
        <v>113</v>
      </c>
      <c r="AC530" s="72">
        <v>206</v>
      </c>
      <c r="AD530" s="77">
        <v>0.5</v>
      </c>
    </row>
    <row r="531" spans="1:30" ht="12.75" x14ac:dyDescent="0.2">
      <c r="A531" s="83" t="s">
        <v>746</v>
      </c>
      <c r="B531" s="72">
        <v>71</v>
      </c>
      <c r="C531" s="72">
        <v>5</v>
      </c>
      <c r="D531" s="72">
        <v>0</v>
      </c>
      <c r="E531" s="72">
        <v>5</v>
      </c>
      <c r="F531" s="72">
        <v>66</v>
      </c>
      <c r="G531" s="73">
        <v>7.0000000000000007E-2</v>
      </c>
      <c r="H531" s="74">
        <v>27</v>
      </c>
      <c r="I531" s="74">
        <v>0</v>
      </c>
      <c r="J531" s="72">
        <v>41</v>
      </c>
      <c r="K531" s="72">
        <v>29</v>
      </c>
      <c r="L531" s="72">
        <v>0</v>
      </c>
      <c r="M531" s="72">
        <v>29</v>
      </c>
      <c r="N531" s="72">
        <v>12</v>
      </c>
      <c r="O531" s="72">
        <v>29</v>
      </c>
      <c r="P531" s="72">
        <v>12</v>
      </c>
      <c r="Q531" s="78">
        <v>0.70699999999999996</v>
      </c>
      <c r="R531" s="78">
        <v>0.70699999999999996</v>
      </c>
      <c r="S531" s="72">
        <v>69</v>
      </c>
      <c r="T531" s="72">
        <v>7</v>
      </c>
      <c r="U531" s="72">
        <v>62</v>
      </c>
      <c r="V531" s="75">
        <v>0.10100000000000001</v>
      </c>
      <c r="W531" s="72">
        <v>191</v>
      </c>
      <c r="X531" s="72">
        <v>1</v>
      </c>
      <c r="Y531" s="72">
        <v>190</v>
      </c>
      <c r="Z531" s="75">
        <v>5.0000000000000001E-3</v>
      </c>
      <c r="AA531" s="72">
        <v>372</v>
      </c>
      <c r="AB531" s="72">
        <v>42</v>
      </c>
      <c r="AC531" s="72">
        <v>330</v>
      </c>
      <c r="AD531" s="77">
        <v>0.375</v>
      </c>
    </row>
    <row r="532" spans="1:30" ht="12.75" x14ac:dyDescent="0.2">
      <c r="A532" s="83" t="s">
        <v>747</v>
      </c>
      <c r="B532" s="72">
        <v>390</v>
      </c>
      <c r="C532" s="72">
        <v>125</v>
      </c>
      <c r="D532" s="72">
        <v>125</v>
      </c>
      <c r="E532" s="72">
        <v>0</v>
      </c>
      <c r="F532" s="72">
        <v>265</v>
      </c>
      <c r="G532" s="73">
        <v>0.32100000000000001</v>
      </c>
      <c r="H532" s="74">
        <v>195</v>
      </c>
      <c r="I532" s="74">
        <v>0</v>
      </c>
      <c r="J532" s="72">
        <v>274</v>
      </c>
      <c r="K532" s="72">
        <v>57</v>
      </c>
      <c r="L532" s="72">
        <v>57</v>
      </c>
      <c r="M532" s="72">
        <v>0</v>
      </c>
      <c r="N532" s="72">
        <v>217</v>
      </c>
      <c r="O532" s="72">
        <v>57</v>
      </c>
      <c r="P532" s="72">
        <v>217</v>
      </c>
      <c r="Q532" s="75">
        <v>0.20799999999999999</v>
      </c>
      <c r="R532" s="75">
        <v>0.20799999999999999</v>
      </c>
      <c r="S532" s="72">
        <v>349</v>
      </c>
      <c r="T532" s="72">
        <v>207</v>
      </c>
      <c r="U532" s="72">
        <v>142</v>
      </c>
      <c r="V532" s="78">
        <v>0.59299999999999997</v>
      </c>
      <c r="W532" s="72">
        <v>864</v>
      </c>
      <c r="X532" s="72">
        <v>779</v>
      </c>
      <c r="Y532" s="72">
        <v>85</v>
      </c>
      <c r="Z532" s="78">
        <v>0.90200000000000002</v>
      </c>
      <c r="AA532" s="76">
        <v>1877</v>
      </c>
      <c r="AB532" s="76">
        <v>1168</v>
      </c>
      <c r="AC532" s="72">
        <v>709</v>
      </c>
      <c r="AD532" s="77">
        <v>0.5</v>
      </c>
    </row>
    <row r="533" spans="1:30" ht="12.75" x14ac:dyDescent="0.2">
      <c r="A533" s="83" t="s">
        <v>748</v>
      </c>
      <c r="B533" s="72">
        <v>23</v>
      </c>
      <c r="C533" s="72">
        <v>23</v>
      </c>
      <c r="D533" s="72">
        <v>0</v>
      </c>
      <c r="E533" s="72">
        <v>23</v>
      </c>
      <c r="F533" s="72">
        <v>0</v>
      </c>
      <c r="G533" s="79">
        <v>1</v>
      </c>
      <c r="H533" s="74">
        <v>12</v>
      </c>
      <c r="I533" s="74">
        <v>11</v>
      </c>
      <c r="J533" s="72">
        <v>13</v>
      </c>
      <c r="K533" s="72">
        <v>4</v>
      </c>
      <c r="L533" s="72">
        <v>0</v>
      </c>
      <c r="M533" s="72">
        <v>4</v>
      </c>
      <c r="N533" s="72">
        <v>9</v>
      </c>
      <c r="O533" s="72">
        <v>15</v>
      </c>
      <c r="P533" s="72">
        <v>0</v>
      </c>
      <c r="Q533" s="75">
        <v>0.308</v>
      </c>
      <c r="R533" s="78">
        <v>1.1539999999999999</v>
      </c>
      <c r="S533" s="72">
        <v>15</v>
      </c>
      <c r="T533" s="72">
        <v>3</v>
      </c>
      <c r="U533" s="72">
        <v>12</v>
      </c>
      <c r="V533" s="75">
        <v>0.2</v>
      </c>
      <c r="W533" s="72">
        <v>11</v>
      </c>
      <c r="X533" s="72">
        <v>24</v>
      </c>
      <c r="Y533" s="72">
        <v>0</v>
      </c>
      <c r="Z533" s="78">
        <v>2.1819999999999999</v>
      </c>
      <c r="AA533" s="72">
        <v>62</v>
      </c>
      <c r="AB533" s="72">
        <v>54</v>
      </c>
      <c r="AC533" s="72">
        <v>21</v>
      </c>
      <c r="AD533" s="77">
        <v>0.5</v>
      </c>
    </row>
    <row r="534" spans="1:30" ht="12.75" x14ac:dyDescent="0.2">
      <c r="A534" s="83" t="s">
        <v>749</v>
      </c>
      <c r="B534" s="72">
        <v>427</v>
      </c>
      <c r="C534" s="72">
        <v>51</v>
      </c>
      <c r="D534" s="72">
        <v>46</v>
      </c>
      <c r="E534" s="72">
        <v>5</v>
      </c>
      <c r="F534" s="72">
        <v>376</v>
      </c>
      <c r="G534" s="73">
        <v>0.11899999999999999</v>
      </c>
      <c r="H534" s="74">
        <v>214</v>
      </c>
      <c r="I534" s="74">
        <v>0</v>
      </c>
      <c r="J534" s="72">
        <v>299</v>
      </c>
      <c r="K534" s="72">
        <v>13</v>
      </c>
      <c r="L534" s="72">
        <v>3</v>
      </c>
      <c r="M534" s="72">
        <v>10</v>
      </c>
      <c r="N534" s="72">
        <v>286</v>
      </c>
      <c r="O534" s="72">
        <v>13</v>
      </c>
      <c r="P534" s="72">
        <v>286</v>
      </c>
      <c r="Q534" s="75">
        <v>4.2999999999999997E-2</v>
      </c>
      <c r="R534" s="75">
        <v>4.2999999999999997E-2</v>
      </c>
      <c r="S534" s="72">
        <v>351</v>
      </c>
      <c r="T534" s="72">
        <v>24</v>
      </c>
      <c r="U534" s="72">
        <v>327</v>
      </c>
      <c r="V534" s="75">
        <v>6.8000000000000005E-2</v>
      </c>
      <c r="W534" s="72">
        <v>813</v>
      </c>
      <c r="X534" s="72">
        <v>25</v>
      </c>
      <c r="Y534" s="72">
        <v>788</v>
      </c>
      <c r="Z534" s="75">
        <v>3.1E-2</v>
      </c>
      <c r="AA534" s="76">
        <v>1890</v>
      </c>
      <c r="AB534" s="72">
        <v>113</v>
      </c>
      <c r="AC534" s="76">
        <v>1777</v>
      </c>
      <c r="AD534" s="77">
        <v>0.5</v>
      </c>
    </row>
    <row r="535" spans="1:30" ht="12.75" x14ac:dyDescent="0.2">
      <c r="A535" s="83" t="s">
        <v>750</v>
      </c>
      <c r="B535" s="72">
        <v>160</v>
      </c>
      <c r="C535" s="72">
        <v>113</v>
      </c>
      <c r="D535" s="72">
        <v>99</v>
      </c>
      <c r="E535" s="72">
        <v>14</v>
      </c>
      <c r="F535" s="72">
        <v>47</v>
      </c>
      <c r="G535" s="79">
        <v>0.70599999999999996</v>
      </c>
      <c r="H535" s="74">
        <v>80</v>
      </c>
      <c r="I535" s="74">
        <v>33</v>
      </c>
      <c r="J535" s="72">
        <v>113</v>
      </c>
      <c r="K535" s="72">
        <v>23</v>
      </c>
      <c r="L535" s="72">
        <v>22</v>
      </c>
      <c r="M535" s="72">
        <v>1</v>
      </c>
      <c r="N535" s="72">
        <v>90</v>
      </c>
      <c r="O535" s="72">
        <v>56</v>
      </c>
      <c r="P535" s="72">
        <v>57</v>
      </c>
      <c r="Q535" s="75">
        <v>0.20399999999999999</v>
      </c>
      <c r="R535" s="75">
        <v>0.496</v>
      </c>
      <c r="S535" s="72">
        <v>126</v>
      </c>
      <c r="T535" s="72">
        <v>22</v>
      </c>
      <c r="U535" s="72">
        <v>104</v>
      </c>
      <c r="V535" s="75">
        <v>0.17499999999999999</v>
      </c>
      <c r="W535" s="72">
        <v>270</v>
      </c>
      <c r="X535" s="72">
        <v>685</v>
      </c>
      <c r="Y535" s="72">
        <v>0</v>
      </c>
      <c r="Z535" s="78">
        <v>2.5369999999999999</v>
      </c>
      <c r="AA535" s="72">
        <v>669</v>
      </c>
      <c r="AB535" s="72">
        <v>843</v>
      </c>
      <c r="AC535" s="72">
        <v>241</v>
      </c>
      <c r="AD535" s="77">
        <v>0.5</v>
      </c>
    </row>
    <row r="536" spans="1:30" ht="12.75" x14ac:dyDescent="0.2">
      <c r="A536" s="83" t="s">
        <v>751</v>
      </c>
      <c r="B536" s="72">
        <v>4</v>
      </c>
      <c r="C536" s="72">
        <v>1</v>
      </c>
      <c r="D536" s="72">
        <v>1</v>
      </c>
      <c r="E536" s="72">
        <v>0</v>
      </c>
      <c r="F536" s="72">
        <v>3</v>
      </c>
      <c r="G536" s="73">
        <v>0.25</v>
      </c>
      <c r="H536" s="74">
        <v>2</v>
      </c>
      <c r="I536" s="74">
        <v>0</v>
      </c>
      <c r="J536" s="72">
        <v>2</v>
      </c>
      <c r="K536" s="72">
        <v>1</v>
      </c>
      <c r="L536" s="72">
        <v>1</v>
      </c>
      <c r="M536" s="72">
        <v>0</v>
      </c>
      <c r="N536" s="72">
        <v>1</v>
      </c>
      <c r="O536" s="72">
        <v>1</v>
      </c>
      <c r="P536" s="72">
        <v>1</v>
      </c>
      <c r="Q536" s="78">
        <v>0.5</v>
      </c>
      <c r="R536" s="78">
        <v>0.5</v>
      </c>
      <c r="S536" s="72">
        <v>3</v>
      </c>
      <c r="T536" s="72">
        <v>12</v>
      </c>
      <c r="U536" s="72">
        <v>0</v>
      </c>
      <c r="V536" s="78">
        <v>4</v>
      </c>
      <c r="W536" s="72">
        <v>8</v>
      </c>
      <c r="X536" s="72">
        <v>14</v>
      </c>
      <c r="Y536" s="72">
        <v>0</v>
      </c>
      <c r="Z536" s="78">
        <v>1.75</v>
      </c>
      <c r="AA536" s="72">
        <v>17</v>
      </c>
      <c r="AB536" s="72">
        <v>28</v>
      </c>
      <c r="AC536" s="72">
        <v>4</v>
      </c>
      <c r="AD536" s="77">
        <v>0.5</v>
      </c>
    </row>
    <row r="537" spans="1:30" ht="12.75" x14ac:dyDescent="0.2">
      <c r="A537" s="83" t="s">
        <v>752</v>
      </c>
      <c r="B537" s="72">
        <v>25</v>
      </c>
      <c r="C537" s="72">
        <v>0</v>
      </c>
      <c r="D537" s="72">
        <v>0</v>
      </c>
      <c r="E537" s="72">
        <v>0</v>
      </c>
      <c r="F537" s="72">
        <v>25</v>
      </c>
      <c r="G537" s="73">
        <v>0</v>
      </c>
      <c r="H537" s="74">
        <v>25</v>
      </c>
      <c r="I537" s="74">
        <v>0</v>
      </c>
      <c r="J537" s="72">
        <v>17</v>
      </c>
      <c r="K537" s="72">
        <v>0</v>
      </c>
      <c r="L537" s="72">
        <v>0</v>
      </c>
      <c r="M537" s="72">
        <v>0</v>
      </c>
      <c r="N537" s="72">
        <v>17</v>
      </c>
      <c r="O537" s="72">
        <v>0</v>
      </c>
      <c r="P537" s="72">
        <v>17</v>
      </c>
      <c r="Q537" s="75">
        <v>0</v>
      </c>
      <c r="R537" s="75">
        <v>0</v>
      </c>
      <c r="S537" s="72">
        <v>18</v>
      </c>
      <c r="T537" s="72">
        <v>6</v>
      </c>
      <c r="U537" s="72">
        <v>12</v>
      </c>
      <c r="V537" s="75">
        <v>0.33300000000000002</v>
      </c>
      <c r="W537" s="72">
        <v>43</v>
      </c>
      <c r="X537" s="72">
        <v>0</v>
      </c>
      <c r="Y537" s="72">
        <v>43</v>
      </c>
      <c r="Z537" s="75">
        <v>0</v>
      </c>
      <c r="AA537" s="72">
        <v>103</v>
      </c>
      <c r="AB537" s="72">
        <v>6</v>
      </c>
      <c r="AC537" s="72">
        <v>97</v>
      </c>
      <c r="AD537" s="77">
        <v>1</v>
      </c>
    </row>
    <row r="538" spans="1:30" ht="12.75" x14ac:dyDescent="0.2">
      <c r="A538" s="83" t="s">
        <v>753</v>
      </c>
      <c r="B538" s="72">
        <v>624</v>
      </c>
      <c r="C538" s="72">
        <v>3</v>
      </c>
      <c r="D538" s="72">
        <v>3</v>
      </c>
      <c r="E538" s="72">
        <v>0</v>
      </c>
      <c r="F538" s="72">
        <v>621</v>
      </c>
      <c r="G538" s="73">
        <v>5.0000000000000001E-3</v>
      </c>
      <c r="H538" s="74">
        <v>312</v>
      </c>
      <c r="I538" s="74">
        <v>0</v>
      </c>
      <c r="J538" s="72">
        <v>437</v>
      </c>
      <c r="K538" s="72">
        <v>11</v>
      </c>
      <c r="L538" s="72">
        <v>11</v>
      </c>
      <c r="M538" s="72">
        <v>0</v>
      </c>
      <c r="N538" s="72">
        <v>426</v>
      </c>
      <c r="O538" s="72">
        <v>11</v>
      </c>
      <c r="P538" s="72">
        <v>426</v>
      </c>
      <c r="Q538" s="75">
        <v>2.5000000000000001E-2</v>
      </c>
      <c r="R538" s="75">
        <v>2.5000000000000001E-2</v>
      </c>
      <c r="S538" s="72">
        <v>498</v>
      </c>
      <c r="T538" s="72">
        <v>135</v>
      </c>
      <c r="U538" s="72">
        <v>363</v>
      </c>
      <c r="V538" s="75">
        <v>0.27100000000000002</v>
      </c>
      <c r="W538" s="76">
        <v>1120</v>
      </c>
      <c r="X538" s="72">
        <v>100</v>
      </c>
      <c r="Y538" s="76">
        <v>1020</v>
      </c>
      <c r="Z538" s="75">
        <v>8.8999999999999996E-2</v>
      </c>
      <c r="AA538" s="76">
        <v>2679</v>
      </c>
      <c r="AB538" s="72">
        <v>249</v>
      </c>
      <c r="AC538" s="76">
        <v>2430</v>
      </c>
      <c r="AD538" s="77">
        <v>0.5</v>
      </c>
    </row>
    <row r="539" spans="1:30" ht="12.75" x14ac:dyDescent="0.2">
      <c r="A539" s="83" t="s">
        <v>754</v>
      </c>
      <c r="B539" s="76">
        <v>1036</v>
      </c>
      <c r="C539" s="72">
        <v>0</v>
      </c>
      <c r="D539" s="72">
        <v>0</v>
      </c>
      <c r="E539" s="72">
        <v>0</v>
      </c>
      <c r="F539" s="76">
        <v>1036</v>
      </c>
      <c r="G539" s="73">
        <v>0</v>
      </c>
      <c r="H539" s="74">
        <v>518</v>
      </c>
      <c r="I539" s="74">
        <v>0</v>
      </c>
      <c r="J539" s="72">
        <v>727</v>
      </c>
      <c r="K539" s="72">
        <v>0</v>
      </c>
      <c r="L539" s="72">
        <v>0</v>
      </c>
      <c r="M539" s="72">
        <v>0</v>
      </c>
      <c r="N539" s="72">
        <v>727</v>
      </c>
      <c r="O539" s="72">
        <v>0</v>
      </c>
      <c r="P539" s="72">
        <v>727</v>
      </c>
      <c r="Q539" s="75">
        <v>0</v>
      </c>
      <c r="R539" s="75">
        <v>0</v>
      </c>
      <c r="S539" s="72">
        <v>870</v>
      </c>
      <c r="T539" s="72">
        <v>1</v>
      </c>
      <c r="U539" s="72">
        <v>869</v>
      </c>
      <c r="V539" s="75">
        <v>1E-3</v>
      </c>
      <c r="W539" s="76">
        <v>2043</v>
      </c>
      <c r="X539" s="72">
        <v>85</v>
      </c>
      <c r="Y539" s="76">
        <v>1958</v>
      </c>
      <c r="Z539" s="75">
        <v>4.2000000000000003E-2</v>
      </c>
      <c r="AA539" s="76">
        <v>4676</v>
      </c>
      <c r="AB539" s="72">
        <v>86</v>
      </c>
      <c r="AC539" s="76">
        <v>4590</v>
      </c>
      <c r="AD539" s="77">
        <v>0.5</v>
      </c>
    </row>
    <row r="540" spans="1:30" ht="12.75" x14ac:dyDescent="0.2">
      <c r="A540" s="83" t="s">
        <v>755</v>
      </c>
      <c r="B540" s="72">
        <v>376</v>
      </c>
      <c r="C540" s="72">
        <v>61</v>
      </c>
      <c r="D540" s="72">
        <v>61</v>
      </c>
      <c r="E540" s="72">
        <v>0</v>
      </c>
      <c r="F540" s="72">
        <v>315</v>
      </c>
      <c r="G540" s="73">
        <v>0.16200000000000001</v>
      </c>
      <c r="H540" s="74">
        <v>188</v>
      </c>
      <c r="I540" s="74">
        <v>0</v>
      </c>
      <c r="J540" s="72">
        <v>261</v>
      </c>
      <c r="K540" s="72">
        <v>209</v>
      </c>
      <c r="L540" s="72">
        <v>178</v>
      </c>
      <c r="M540" s="72">
        <v>31</v>
      </c>
      <c r="N540" s="72">
        <v>52</v>
      </c>
      <c r="O540" s="72">
        <v>209</v>
      </c>
      <c r="P540" s="72">
        <v>52</v>
      </c>
      <c r="Q540" s="78">
        <v>0.80100000000000005</v>
      </c>
      <c r="R540" s="78">
        <v>0.80100000000000005</v>
      </c>
      <c r="S540" s="72">
        <v>299</v>
      </c>
      <c r="T540" s="72">
        <v>35</v>
      </c>
      <c r="U540" s="72">
        <v>264</v>
      </c>
      <c r="V540" s="75">
        <v>0.11700000000000001</v>
      </c>
      <c r="W540" s="72">
        <v>669</v>
      </c>
      <c r="X540" s="72">
        <v>267</v>
      </c>
      <c r="Y540" s="72">
        <v>402</v>
      </c>
      <c r="Z540" s="75">
        <v>0.39900000000000002</v>
      </c>
      <c r="AA540" s="76">
        <v>1605</v>
      </c>
      <c r="AB540" s="72">
        <v>572</v>
      </c>
      <c r="AC540" s="76">
        <v>1033</v>
      </c>
      <c r="AD540" s="77">
        <v>0.5</v>
      </c>
    </row>
    <row r="541" spans="1:30" ht="13.5" thickBot="1" x14ac:dyDescent="0.25">
      <c r="A541" s="83" t="s">
        <v>756</v>
      </c>
      <c r="B541" s="92">
        <v>209</v>
      </c>
      <c r="C541" s="92">
        <v>0</v>
      </c>
      <c r="D541" s="92">
        <v>0</v>
      </c>
      <c r="E541" s="92">
        <v>0</v>
      </c>
      <c r="F541" s="92">
        <v>209</v>
      </c>
      <c r="G541" s="73">
        <v>0</v>
      </c>
      <c r="H541" s="93">
        <v>105</v>
      </c>
      <c r="I541" s="93">
        <v>0</v>
      </c>
      <c r="J541" s="92">
        <v>149</v>
      </c>
      <c r="K541" s="92">
        <v>0</v>
      </c>
      <c r="L541" s="92">
        <v>0</v>
      </c>
      <c r="M541" s="92">
        <v>0</v>
      </c>
      <c r="N541" s="92">
        <v>149</v>
      </c>
      <c r="O541" s="92">
        <v>0</v>
      </c>
      <c r="P541" s="92">
        <v>149</v>
      </c>
      <c r="Q541" s="75">
        <v>0</v>
      </c>
      <c r="R541" s="75">
        <v>0</v>
      </c>
      <c r="S541" s="92">
        <v>172</v>
      </c>
      <c r="T541" s="92">
        <v>0</v>
      </c>
      <c r="U541" s="92">
        <v>172</v>
      </c>
      <c r="V541" s="75">
        <v>0</v>
      </c>
      <c r="W541" s="92">
        <v>400</v>
      </c>
      <c r="X541" s="92">
        <v>127</v>
      </c>
      <c r="Y541" s="92">
        <v>273</v>
      </c>
      <c r="Z541" s="75">
        <v>0.318</v>
      </c>
      <c r="AA541" s="92">
        <v>930</v>
      </c>
      <c r="AB541" s="92">
        <v>127</v>
      </c>
      <c r="AC541" s="92">
        <v>803</v>
      </c>
      <c r="AD541" s="77">
        <v>0.5</v>
      </c>
    </row>
    <row r="542" spans="1:30" ht="13.5" thickTop="1" x14ac:dyDescent="0.2">
      <c r="B542" s="39">
        <f t="shared" ref="B542:F542" si="0">SUM(B3:B541)</f>
        <v>278470</v>
      </c>
      <c r="C542" s="39">
        <f t="shared" si="0"/>
        <v>26076</v>
      </c>
      <c r="D542" s="39">
        <f t="shared" si="0"/>
        <v>24313</v>
      </c>
      <c r="E542" s="39">
        <f t="shared" si="0"/>
        <v>1763</v>
      </c>
      <c r="F542" s="39">
        <f t="shared" si="0"/>
        <v>253195</v>
      </c>
      <c r="G542" s="39"/>
      <c r="H542" s="39">
        <f t="shared" ref="H542:P542" si="1">SUM(H3:H541)</f>
        <v>134092</v>
      </c>
      <c r="I542" s="39">
        <f t="shared" si="1"/>
        <v>1629</v>
      </c>
      <c r="J542" s="39">
        <f t="shared" si="1"/>
        <v>185554</v>
      </c>
      <c r="K542" s="39">
        <f t="shared" si="1"/>
        <v>25650</v>
      </c>
      <c r="L542" s="39">
        <f t="shared" si="1"/>
        <v>21972</v>
      </c>
      <c r="M542" s="39">
        <f t="shared" si="1"/>
        <v>3678</v>
      </c>
      <c r="N542" s="39">
        <f t="shared" si="1"/>
        <v>162299</v>
      </c>
      <c r="O542" s="39">
        <f t="shared" si="1"/>
        <v>27279</v>
      </c>
      <c r="P542" s="39">
        <f t="shared" si="1"/>
        <v>161716</v>
      </c>
      <c r="Q542" s="94"/>
      <c r="R542" s="94"/>
      <c r="S542" s="39">
        <f t="shared" ref="S542:U542" si="2">SUM(S3:S541)</f>
        <v>204949</v>
      </c>
      <c r="T542" s="39">
        <f t="shared" si="2"/>
        <v>65835</v>
      </c>
      <c r="U542" s="39">
        <f t="shared" si="2"/>
        <v>158456</v>
      </c>
      <c r="V542" s="94"/>
      <c r="W542" s="39">
        <f t="shared" ref="W542:Y542" si="3">SUM(W3:W541)</f>
        <v>487982</v>
      </c>
      <c r="X542" s="39">
        <f t="shared" si="3"/>
        <v>395116</v>
      </c>
      <c r="Y542" s="39">
        <f t="shared" si="3"/>
        <v>224190</v>
      </c>
      <c r="Z542" s="95"/>
      <c r="AA542" s="39">
        <f t="shared" ref="AA542:AC542" si="4">SUM(AA2:AA541)</f>
        <v>1156955</v>
      </c>
      <c r="AB542" s="39">
        <f t="shared" si="4"/>
        <v>512677</v>
      </c>
      <c r="AC542" s="39">
        <f t="shared" si="4"/>
        <v>798140</v>
      </c>
      <c r="AD542" s="94"/>
    </row>
    <row r="543" spans="1:30" ht="12.75" x14ac:dyDescent="0.2">
      <c r="Q543" s="95"/>
      <c r="R543" s="95"/>
      <c r="V543" s="95"/>
      <c r="Z543" s="95"/>
      <c r="AD543" s="94"/>
    </row>
    <row r="544" spans="1:30" ht="12.75" x14ac:dyDescent="0.2">
      <c r="Q544" s="95"/>
      <c r="R544" s="95"/>
      <c r="V544" s="95"/>
      <c r="Z544" s="95"/>
      <c r="AD544" s="94"/>
    </row>
    <row r="545" spans="17:30" ht="12.75" x14ac:dyDescent="0.2">
      <c r="Q545" s="95"/>
      <c r="R545" s="95"/>
      <c r="V545" s="95"/>
      <c r="Z545" s="95"/>
      <c r="AD545" s="94"/>
    </row>
    <row r="546" spans="17:30" ht="12.75" x14ac:dyDescent="0.2">
      <c r="Q546" s="95"/>
      <c r="R546" s="95"/>
      <c r="V546" s="95"/>
      <c r="Z546" s="95"/>
      <c r="AD546" s="94"/>
    </row>
    <row r="547" spans="17:30" ht="12.75" x14ac:dyDescent="0.2">
      <c r="Q547" s="95"/>
      <c r="R547" s="95"/>
      <c r="V547" s="95"/>
      <c r="Z547" s="95"/>
      <c r="AD547" s="94"/>
    </row>
    <row r="548" spans="17:30" ht="12.75" x14ac:dyDescent="0.2">
      <c r="Q548" s="95"/>
      <c r="R548" s="95"/>
      <c r="V548" s="95"/>
      <c r="Z548" s="95"/>
      <c r="AD548" s="94"/>
    </row>
    <row r="549" spans="17:30" ht="12.75" x14ac:dyDescent="0.2">
      <c r="Q549" s="95"/>
      <c r="R549" s="95"/>
      <c r="V549" s="95"/>
      <c r="Z549" s="95"/>
      <c r="AD549" s="94"/>
    </row>
    <row r="550" spans="17:30" ht="12.75" x14ac:dyDescent="0.2">
      <c r="Q550" s="95"/>
      <c r="R550" s="95"/>
      <c r="V550" s="95"/>
      <c r="Z550" s="95"/>
      <c r="AD550" s="94"/>
    </row>
    <row r="551" spans="17:30" ht="12.75" x14ac:dyDescent="0.2">
      <c r="Q551" s="95"/>
      <c r="R551" s="95"/>
      <c r="V551" s="95"/>
      <c r="Z551" s="95"/>
      <c r="AD551" s="94"/>
    </row>
    <row r="552" spans="17:30" ht="12.75" x14ac:dyDescent="0.2">
      <c r="Q552" s="95"/>
      <c r="R552" s="95"/>
      <c r="V552" s="95"/>
      <c r="Z552" s="95"/>
      <c r="AD552" s="94"/>
    </row>
    <row r="553" spans="17:30" ht="12.75" x14ac:dyDescent="0.2">
      <c r="Q553" s="95"/>
      <c r="R553" s="95"/>
      <c r="V553" s="95"/>
      <c r="Z553" s="95"/>
      <c r="AD553" s="94"/>
    </row>
    <row r="554" spans="17:30" ht="12.75" x14ac:dyDescent="0.2">
      <c r="Q554" s="95"/>
      <c r="R554" s="95"/>
      <c r="V554" s="95"/>
      <c r="Z554" s="95"/>
      <c r="AD554" s="94"/>
    </row>
    <row r="555" spans="17:30" ht="12.75" x14ac:dyDescent="0.2">
      <c r="Q555" s="95"/>
      <c r="R555" s="95"/>
      <c r="V555" s="95"/>
      <c r="Z555" s="95"/>
      <c r="AD555" s="94"/>
    </row>
    <row r="556" spans="17:30" ht="12.75" x14ac:dyDescent="0.2">
      <c r="Q556" s="95"/>
      <c r="R556" s="95"/>
      <c r="V556" s="95"/>
      <c r="Z556" s="95"/>
      <c r="AD556" s="94"/>
    </row>
    <row r="557" spans="17:30" ht="12.75" x14ac:dyDescent="0.2">
      <c r="Q557" s="95"/>
      <c r="R557" s="95"/>
      <c r="V557" s="95"/>
      <c r="Z557" s="95"/>
      <c r="AD557" s="94"/>
    </row>
    <row r="558" spans="17:30" ht="12.75" x14ac:dyDescent="0.2">
      <c r="Q558" s="95"/>
      <c r="R558" s="95"/>
      <c r="V558" s="95"/>
      <c r="Z558" s="95"/>
      <c r="AD558" s="94"/>
    </row>
    <row r="559" spans="17:30" ht="12.75" x14ac:dyDescent="0.2">
      <c r="Q559" s="95"/>
      <c r="R559" s="95"/>
      <c r="V559" s="95"/>
      <c r="Z559" s="95"/>
      <c r="AD559" s="94"/>
    </row>
    <row r="560" spans="17:30" ht="12.75" x14ac:dyDescent="0.2">
      <c r="Q560" s="95"/>
      <c r="R560" s="95"/>
      <c r="V560" s="95"/>
      <c r="Z560" s="95"/>
      <c r="AD560" s="94"/>
    </row>
    <row r="561" spans="17:30" ht="12.75" x14ac:dyDescent="0.2">
      <c r="Q561" s="95"/>
      <c r="R561" s="95"/>
      <c r="V561" s="95"/>
      <c r="Z561" s="95"/>
      <c r="AD561" s="94"/>
    </row>
    <row r="562" spans="17:30" ht="12.75" x14ac:dyDescent="0.2">
      <c r="Q562" s="95"/>
      <c r="R562" s="95"/>
      <c r="V562" s="95"/>
      <c r="Z562" s="95"/>
      <c r="AD562" s="94"/>
    </row>
    <row r="563" spans="17:30" ht="12.75" x14ac:dyDescent="0.2">
      <c r="Q563" s="95"/>
      <c r="R563" s="95"/>
      <c r="V563" s="95"/>
      <c r="Z563" s="95"/>
      <c r="AD563" s="94"/>
    </row>
    <row r="564" spans="17:30" ht="12.75" x14ac:dyDescent="0.2">
      <c r="Q564" s="95"/>
      <c r="R564" s="95"/>
      <c r="V564" s="95"/>
      <c r="Z564" s="95"/>
      <c r="AD564" s="94"/>
    </row>
    <row r="565" spans="17:30" ht="12.75" x14ac:dyDescent="0.2">
      <c r="Q565" s="95"/>
      <c r="R565" s="95"/>
      <c r="V565" s="95"/>
      <c r="Z565" s="95"/>
      <c r="AD565" s="94"/>
    </row>
    <row r="566" spans="17:30" ht="12.75" x14ac:dyDescent="0.2">
      <c r="Q566" s="95"/>
      <c r="R566" s="95"/>
      <c r="V566" s="95"/>
      <c r="Z566" s="95"/>
      <c r="AD566" s="94"/>
    </row>
    <row r="567" spans="17:30" ht="12.75" x14ac:dyDescent="0.2">
      <c r="Q567" s="95"/>
      <c r="R567" s="95"/>
      <c r="V567" s="95"/>
      <c r="Z567" s="95"/>
      <c r="AD567" s="94"/>
    </row>
    <row r="568" spans="17:30" ht="12.75" x14ac:dyDescent="0.2">
      <c r="Q568" s="95"/>
      <c r="R568" s="95"/>
      <c r="V568" s="95"/>
      <c r="Z568" s="95"/>
      <c r="AD568" s="94"/>
    </row>
    <row r="569" spans="17:30" ht="12.75" x14ac:dyDescent="0.2">
      <c r="Q569" s="95"/>
      <c r="R569" s="95"/>
      <c r="V569" s="95"/>
      <c r="Z569" s="95"/>
      <c r="AD569" s="94"/>
    </row>
    <row r="570" spans="17:30" ht="12.75" x14ac:dyDescent="0.2">
      <c r="Q570" s="95"/>
      <c r="R570" s="95"/>
      <c r="V570" s="95"/>
      <c r="Z570" s="95"/>
      <c r="AD570" s="94"/>
    </row>
    <row r="571" spans="17:30" ht="12.75" x14ac:dyDescent="0.2">
      <c r="Q571" s="95"/>
      <c r="R571" s="95"/>
      <c r="V571" s="95"/>
      <c r="Z571" s="95"/>
      <c r="AD571" s="94"/>
    </row>
    <row r="572" spans="17:30" ht="12.75" x14ac:dyDescent="0.2">
      <c r="Q572" s="95"/>
      <c r="R572" s="95"/>
      <c r="V572" s="95"/>
      <c r="Z572" s="95"/>
      <c r="AD572" s="94"/>
    </row>
    <row r="573" spans="17:30" ht="12.75" x14ac:dyDescent="0.2">
      <c r="Q573" s="95"/>
      <c r="R573" s="95"/>
      <c r="V573" s="95"/>
      <c r="Z573" s="95"/>
      <c r="AD573" s="94"/>
    </row>
    <row r="574" spans="17:30" ht="12.75" x14ac:dyDescent="0.2">
      <c r="Q574" s="95"/>
      <c r="R574" s="95"/>
      <c r="V574" s="95"/>
      <c r="Z574" s="95"/>
      <c r="AD574" s="94"/>
    </row>
    <row r="575" spans="17:30" ht="12.75" x14ac:dyDescent="0.2">
      <c r="Q575" s="95"/>
      <c r="R575" s="95"/>
      <c r="V575" s="95"/>
      <c r="Z575" s="95"/>
      <c r="AD575" s="94"/>
    </row>
    <row r="576" spans="17:30" ht="12.75" x14ac:dyDescent="0.2">
      <c r="Q576" s="95"/>
      <c r="R576" s="95"/>
      <c r="V576" s="95"/>
      <c r="Z576" s="95"/>
      <c r="AD576" s="94"/>
    </row>
    <row r="577" spans="17:30" ht="12.75" x14ac:dyDescent="0.2">
      <c r="Q577" s="95"/>
      <c r="R577" s="95"/>
      <c r="V577" s="95"/>
      <c r="Z577" s="95"/>
      <c r="AD577" s="94"/>
    </row>
    <row r="578" spans="17:30" ht="12.75" x14ac:dyDescent="0.2">
      <c r="Q578" s="95"/>
      <c r="R578" s="95"/>
      <c r="V578" s="95"/>
      <c r="Z578" s="95"/>
      <c r="AD578" s="94"/>
    </row>
    <row r="579" spans="17:30" ht="12.75" x14ac:dyDescent="0.2">
      <c r="Q579" s="95"/>
      <c r="R579" s="95"/>
      <c r="V579" s="95"/>
      <c r="Z579" s="95"/>
      <c r="AD579" s="94"/>
    </row>
    <row r="580" spans="17:30" ht="12.75" x14ac:dyDescent="0.2">
      <c r="Q580" s="95"/>
      <c r="R580" s="95"/>
      <c r="V580" s="95"/>
      <c r="Z580" s="95"/>
      <c r="AD580" s="94"/>
    </row>
    <row r="581" spans="17:30" ht="12.75" x14ac:dyDescent="0.2">
      <c r="Q581" s="95"/>
      <c r="R581" s="95"/>
      <c r="V581" s="95"/>
      <c r="Z581" s="95"/>
      <c r="AD581" s="94"/>
    </row>
    <row r="582" spans="17:30" ht="12.75" x14ac:dyDescent="0.2">
      <c r="Q582" s="95"/>
      <c r="R582" s="95"/>
      <c r="V582" s="95"/>
      <c r="Z582" s="95"/>
      <c r="AD582" s="94"/>
    </row>
    <row r="583" spans="17:30" ht="12.75" x14ac:dyDescent="0.2">
      <c r="Q583" s="95"/>
      <c r="R583" s="95"/>
      <c r="V583" s="95"/>
      <c r="Z583" s="95"/>
      <c r="AD583" s="94"/>
    </row>
    <row r="584" spans="17:30" ht="12.75" x14ac:dyDescent="0.2">
      <c r="Q584" s="95"/>
      <c r="R584" s="95"/>
      <c r="V584" s="95"/>
      <c r="Z584" s="95"/>
      <c r="AD584" s="94"/>
    </row>
    <row r="585" spans="17:30" ht="12.75" x14ac:dyDescent="0.2">
      <c r="Q585" s="95"/>
      <c r="R585" s="95"/>
      <c r="V585" s="95"/>
      <c r="Z585" s="95"/>
      <c r="AD585" s="94"/>
    </row>
    <row r="586" spans="17:30" ht="12.75" x14ac:dyDescent="0.2">
      <c r="Q586" s="95"/>
      <c r="R586" s="95"/>
      <c r="V586" s="95"/>
      <c r="Z586" s="95"/>
      <c r="AD586" s="94"/>
    </row>
    <row r="587" spans="17:30" ht="12.75" x14ac:dyDescent="0.2">
      <c r="Q587" s="95"/>
      <c r="R587" s="95"/>
      <c r="V587" s="95"/>
      <c r="Z587" s="95"/>
      <c r="AD587" s="94"/>
    </row>
    <row r="588" spans="17:30" ht="12.75" x14ac:dyDescent="0.2">
      <c r="Q588" s="95"/>
      <c r="R588" s="95"/>
      <c r="V588" s="95"/>
      <c r="Z588" s="95"/>
      <c r="AD588" s="94"/>
    </row>
    <row r="589" spans="17:30" ht="12.75" x14ac:dyDescent="0.2">
      <c r="Q589" s="95"/>
      <c r="R589" s="95"/>
      <c r="V589" s="95"/>
      <c r="Z589" s="95"/>
      <c r="AD589" s="94"/>
    </row>
    <row r="590" spans="17:30" ht="12.75" x14ac:dyDescent="0.2">
      <c r="Q590" s="95"/>
      <c r="R590" s="95"/>
      <c r="V590" s="95"/>
      <c r="Z590" s="95"/>
      <c r="AD590" s="94"/>
    </row>
    <row r="591" spans="17:30" ht="12.75" x14ac:dyDescent="0.2">
      <c r="Q591" s="95"/>
      <c r="R591" s="95"/>
      <c r="V591" s="95"/>
      <c r="Z591" s="95"/>
      <c r="AD591" s="94"/>
    </row>
    <row r="592" spans="17:30" ht="12.75" x14ac:dyDescent="0.2">
      <c r="Q592" s="95"/>
      <c r="R592" s="95"/>
      <c r="V592" s="95"/>
      <c r="Z592" s="95"/>
      <c r="AD592" s="94"/>
    </row>
    <row r="593" spans="17:30" ht="12.75" x14ac:dyDescent="0.2">
      <c r="Q593" s="95"/>
      <c r="R593" s="95"/>
      <c r="V593" s="95"/>
      <c r="Z593" s="95"/>
      <c r="AD593" s="94"/>
    </row>
    <row r="594" spans="17:30" ht="12.75" x14ac:dyDescent="0.2">
      <c r="Q594" s="95"/>
      <c r="R594" s="95"/>
      <c r="V594" s="95"/>
      <c r="Z594" s="95"/>
      <c r="AD594" s="94"/>
    </row>
    <row r="595" spans="17:30" ht="12.75" x14ac:dyDescent="0.2">
      <c r="Q595" s="95"/>
      <c r="R595" s="95"/>
      <c r="V595" s="95"/>
      <c r="Z595" s="95"/>
      <c r="AD595" s="94"/>
    </row>
    <row r="596" spans="17:30" ht="12.75" x14ac:dyDescent="0.2">
      <c r="Q596" s="95"/>
      <c r="R596" s="95"/>
      <c r="V596" s="95"/>
      <c r="Z596" s="95"/>
      <c r="AD596" s="94"/>
    </row>
    <row r="597" spans="17:30" ht="12.75" x14ac:dyDescent="0.2">
      <c r="Q597" s="95"/>
      <c r="R597" s="95"/>
      <c r="V597" s="95"/>
      <c r="Z597" s="95"/>
      <c r="AD597" s="94"/>
    </row>
    <row r="598" spans="17:30" ht="12.75" x14ac:dyDescent="0.2">
      <c r="Q598" s="95"/>
      <c r="R598" s="95"/>
      <c r="V598" s="95"/>
      <c r="Z598" s="95"/>
      <c r="AD598" s="94"/>
    </row>
    <row r="599" spans="17:30" ht="12.75" x14ac:dyDescent="0.2">
      <c r="Q599" s="95"/>
      <c r="R599" s="95"/>
      <c r="V599" s="95"/>
      <c r="Z599" s="95"/>
      <c r="AD599" s="94"/>
    </row>
    <row r="600" spans="17:30" ht="12.75" x14ac:dyDescent="0.2">
      <c r="Q600" s="95"/>
      <c r="R600" s="95"/>
      <c r="V600" s="95"/>
      <c r="Z600" s="95"/>
      <c r="AD600" s="94"/>
    </row>
    <row r="601" spans="17:30" ht="12.75" x14ac:dyDescent="0.2">
      <c r="Q601" s="95"/>
      <c r="R601" s="95"/>
      <c r="V601" s="95"/>
      <c r="Z601" s="95"/>
      <c r="AD601" s="94"/>
    </row>
    <row r="602" spans="17:30" ht="12.75" x14ac:dyDescent="0.2">
      <c r="Q602" s="95"/>
      <c r="R602" s="95"/>
      <c r="V602" s="95"/>
      <c r="Z602" s="95"/>
      <c r="AD602" s="94"/>
    </row>
    <row r="603" spans="17:30" ht="12.75" x14ac:dyDescent="0.2">
      <c r="Q603" s="95"/>
      <c r="R603" s="95"/>
      <c r="V603" s="95"/>
      <c r="Z603" s="95"/>
      <c r="AD603" s="94"/>
    </row>
    <row r="604" spans="17:30" ht="12.75" x14ac:dyDescent="0.2">
      <c r="Q604" s="95"/>
      <c r="R604" s="95"/>
      <c r="V604" s="95"/>
      <c r="Z604" s="95"/>
      <c r="AD604" s="94"/>
    </row>
    <row r="605" spans="17:30" ht="12.75" x14ac:dyDescent="0.2">
      <c r="Q605" s="95"/>
      <c r="R605" s="95"/>
      <c r="V605" s="95"/>
      <c r="Z605" s="95"/>
      <c r="AD605" s="94"/>
    </row>
    <row r="606" spans="17:30" ht="12.75" x14ac:dyDescent="0.2">
      <c r="Q606" s="95"/>
      <c r="R606" s="95"/>
      <c r="V606" s="95"/>
      <c r="Z606" s="95"/>
      <c r="AD606" s="94"/>
    </row>
    <row r="607" spans="17:30" ht="12.75" x14ac:dyDescent="0.2">
      <c r="Q607" s="95"/>
      <c r="R607" s="95"/>
      <c r="V607" s="95"/>
      <c r="Z607" s="95"/>
      <c r="AD607" s="94"/>
    </row>
    <row r="608" spans="17:30" ht="12.75" x14ac:dyDescent="0.2">
      <c r="Q608" s="95"/>
      <c r="R608" s="95"/>
      <c r="V608" s="95"/>
      <c r="Z608" s="95"/>
      <c r="AD608" s="94"/>
    </row>
    <row r="609" spans="17:30" ht="12.75" x14ac:dyDescent="0.2">
      <c r="Q609" s="95"/>
      <c r="R609" s="95"/>
      <c r="V609" s="95"/>
      <c r="Z609" s="95"/>
      <c r="AD609" s="94"/>
    </row>
    <row r="610" spans="17:30" ht="12.75" x14ac:dyDescent="0.2">
      <c r="Q610" s="95"/>
      <c r="R610" s="95"/>
      <c r="V610" s="95"/>
      <c r="Z610" s="95"/>
      <c r="AD610" s="94"/>
    </row>
    <row r="611" spans="17:30" ht="12.75" x14ac:dyDescent="0.2">
      <c r="Q611" s="95"/>
      <c r="R611" s="95"/>
      <c r="V611" s="95"/>
      <c r="Z611" s="95"/>
      <c r="AD611" s="94"/>
    </row>
    <row r="612" spans="17:30" ht="12.75" x14ac:dyDescent="0.2">
      <c r="Q612" s="95"/>
      <c r="R612" s="95"/>
      <c r="V612" s="95"/>
      <c r="Z612" s="95"/>
      <c r="AD612" s="94"/>
    </row>
    <row r="613" spans="17:30" ht="12.75" x14ac:dyDescent="0.2">
      <c r="Q613" s="95"/>
      <c r="R613" s="95"/>
      <c r="V613" s="95"/>
      <c r="Z613" s="95"/>
      <c r="AD613" s="94"/>
    </row>
    <row r="614" spans="17:30" ht="12.75" x14ac:dyDescent="0.2">
      <c r="Q614" s="95"/>
      <c r="R614" s="95"/>
      <c r="V614" s="95"/>
      <c r="Z614" s="95"/>
      <c r="AD614" s="94"/>
    </row>
    <row r="615" spans="17:30" ht="12.75" x14ac:dyDescent="0.2">
      <c r="Q615" s="95"/>
      <c r="R615" s="95"/>
      <c r="V615" s="95"/>
      <c r="Z615" s="95"/>
      <c r="AD615" s="94"/>
    </row>
    <row r="616" spans="17:30" ht="12.75" x14ac:dyDescent="0.2">
      <c r="Q616" s="95"/>
      <c r="R616" s="95"/>
      <c r="V616" s="95"/>
      <c r="Z616" s="95"/>
      <c r="AD616" s="94"/>
    </row>
    <row r="617" spans="17:30" ht="12.75" x14ac:dyDescent="0.2">
      <c r="Q617" s="95"/>
      <c r="R617" s="95"/>
      <c r="V617" s="95"/>
      <c r="Z617" s="95"/>
      <c r="AD617" s="94"/>
    </row>
    <row r="618" spans="17:30" ht="12.75" x14ac:dyDescent="0.2">
      <c r="Q618" s="95"/>
      <c r="R618" s="95"/>
      <c r="V618" s="95"/>
      <c r="Z618" s="95"/>
      <c r="AD618" s="94"/>
    </row>
    <row r="619" spans="17:30" ht="12.75" x14ac:dyDescent="0.2">
      <c r="Q619" s="95"/>
      <c r="R619" s="95"/>
      <c r="V619" s="95"/>
      <c r="Z619" s="95"/>
      <c r="AD619" s="94"/>
    </row>
    <row r="620" spans="17:30" ht="12.75" x14ac:dyDescent="0.2">
      <c r="Q620" s="95"/>
      <c r="R620" s="95"/>
      <c r="V620" s="95"/>
      <c r="Z620" s="95"/>
      <c r="AD620" s="94"/>
    </row>
    <row r="621" spans="17:30" ht="12.75" x14ac:dyDescent="0.2">
      <c r="Q621" s="95"/>
      <c r="R621" s="95"/>
      <c r="V621" s="95"/>
      <c r="Z621" s="95"/>
      <c r="AD621" s="94"/>
    </row>
    <row r="622" spans="17:30" ht="12.75" x14ac:dyDescent="0.2">
      <c r="Q622" s="95"/>
      <c r="R622" s="95"/>
      <c r="V622" s="95"/>
      <c r="Z622" s="95"/>
      <c r="AD622" s="94"/>
    </row>
    <row r="623" spans="17:30" ht="12.75" x14ac:dyDescent="0.2">
      <c r="Q623" s="95"/>
      <c r="R623" s="95"/>
      <c r="V623" s="95"/>
      <c r="Z623" s="95"/>
      <c r="AD623" s="94"/>
    </row>
    <row r="624" spans="17:30" ht="12.75" x14ac:dyDescent="0.2">
      <c r="Q624" s="95"/>
      <c r="R624" s="95"/>
      <c r="V624" s="95"/>
      <c r="Z624" s="95"/>
      <c r="AD624" s="94"/>
    </row>
    <row r="625" spans="17:30" ht="12.75" x14ac:dyDescent="0.2">
      <c r="Q625" s="95"/>
      <c r="R625" s="95"/>
      <c r="V625" s="95"/>
      <c r="Z625" s="95"/>
      <c r="AD625" s="94"/>
    </row>
    <row r="626" spans="17:30" ht="12.75" x14ac:dyDescent="0.2">
      <c r="Q626" s="95"/>
      <c r="R626" s="95"/>
      <c r="V626" s="95"/>
      <c r="Z626" s="95"/>
      <c r="AD626" s="94"/>
    </row>
    <row r="627" spans="17:30" ht="12.75" x14ac:dyDescent="0.2">
      <c r="Q627" s="95"/>
      <c r="R627" s="95"/>
      <c r="V627" s="95"/>
      <c r="Z627" s="95"/>
      <c r="AD627" s="94"/>
    </row>
    <row r="628" spans="17:30" ht="12.75" x14ac:dyDescent="0.2">
      <c r="Q628" s="95"/>
      <c r="R628" s="95"/>
      <c r="V628" s="95"/>
      <c r="Z628" s="95"/>
      <c r="AD628" s="94"/>
    </row>
    <row r="629" spans="17:30" ht="12.75" x14ac:dyDescent="0.2">
      <c r="Q629" s="95"/>
      <c r="R629" s="95"/>
      <c r="V629" s="95"/>
      <c r="Z629" s="95"/>
      <c r="AD629" s="94"/>
    </row>
    <row r="630" spans="17:30" ht="12.75" x14ac:dyDescent="0.2">
      <c r="Q630" s="95"/>
      <c r="R630" s="95"/>
      <c r="V630" s="95"/>
      <c r="Z630" s="95"/>
      <c r="AD630" s="94"/>
    </row>
    <row r="631" spans="17:30" ht="12.75" x14ac:dyDescent="0.2">
      <c r="Q631" s="95"/>
      <c r="R631" s="95"/>
      <c r="V631" s="95"/>
      <c r="Z631" s="95"/>
      <c r="AD631" s="94"/>
    </row>
    <row r="632" spans="17:30" ht="12.75" x14ac:dyDescent="0.2">
      <c r="Q632" s="95"/>
      <c r="R632" s="95"/>
      <c r="V632" s="95"/>
      <c r="Z632" s="95"/>
      <c r="AD632" s="94"/>
    </row>
    <row r="633" spans="17:30" ht="12.75" x14ac:dyDescent="0.2">
      <c r="Q633" s="95"/>
      <c r="R633" s="95"/>
      <c r="V633" s="95"/>
      <c r="Z633" s="95"/>
      <c r="AD633" s="94"/>
    </row>
    <row r="634" spans="17:30" ht="12.75" x14ac:dyDescent="0.2">
      <c r="Q634" s="95"/>
      <c r="R634" s="95"/>
      <c r="V634" s="95"/>
      <c r="Z634" s="95"/>
      <c r="AD634" s="94"/>
    </row>
    <row r="635" spans="17:30" ht="12.75" x14ac:dyDescent="0.2">
      <c r="Q635" s="95"/>
      <c r="R635" s="95"/>
      <c r="V635" s="95"/>
      <c r="Z635" s="95"/>
      <c r="AD635" s="94"/>
    </row>
    <row r="636" spans="17:30" ht="12.75" x14ac:dyDescent="0.2">
      <c r="Q636" s="95"/>
      <c r="R636" s="95"/>
      <c r="V636" s="95"/>
      <c r="Z636" s="95"/>
      <c r="AD636" s="94"/>
    </row>
    <row r="637" spans="17:30" ht="12.75" x14ac:dyDescent="0.2">
      <c r="Q637" s="95"/>
      <c r="R637" s="95"/>
      <c r="V637" s="95"/>
      <c r="Z637" s="95"/>
      <c r="AD637" s="94"/>
    </row>
    <row r="638" spans="17:30" ht="12.75" x14ac:dyDescent="0.2">
      <c r="Q638" s="95"/>
      <c r="R638" s="95"/>
      <c r="V638" s="95"/>
      <c r="Z638" s="95"/>
      <c r="AD638" s="94"/>
    </row>
    <row r="639" spans="17:30" ht="12.75" x14ac:dyDescent="0.2">
      <c r="Q639" s="95"/>
      <c r="R639" s="95"/>
      <c r="V639" s="95"/>
      <c r="Z639" s="95"/>
      <c r="AD639" s="94"/>
    </row>
    <row r="640" spans="17:30" ht="12.75" x14ac:dyDescent="0.2">
      <c r="Q640" s="95"/>
      <c r="R640" s="95"/>
      <c r="V640" s="95"/>
      <c r="Z640" s="95"/>
      <c r="AD640" s="94"/>
    </row>
    <row r="641" spans="17:30" ht="12.75" x14ac:dyDescent="0.2">
      <c r="Q641" s="95"/>
      <c r="R641" s="95"/>
      <c r="V641" s="95"/>
      <c r="Z641" s="95"/>
      <c r="AD641" s="94"/>
    </row>
    <row r="642" spans="17:30" ht="12.75" x14ac:dyDescent="0.2">
      <c r="Q642" s="95"/>
      <c r="R642" s="95"/>
      <c r="V642" s="95"/>
      <c r="Z642" s="95"/>
      <c r="AD642" s="94"/>
    </row>
    <row r="643" spans="17:30" ht="12.75" x14ac:dyDescent="0.2">
      <c r="Q643" s="95"/>
      <c r="R643" s="95"/>
      <c r="V643" s="95"/>
      <c r="Z643" s="95"/>
      <c r="AD643" s="94"/>
    </row>
    <row r="644" spans="17:30" ht="12.75" x14ac:dyDescent="0.2">
      <c r="Q644" s="95"/>
      <c r="R644" s="95"/>
      <c r="V644" s="95"/>
      <c r="Z644" s="95"/>
      <c r="AD644" s="94"/>
    </row>
    <row r="645" spans="17:30" ht="12.75" x14ac:dyDescent="0.2">
      <c r="Q645" s="95"/>
      <c r="R645" s="95"/>
      <c r="V645" s="95"/>
      <c r="Z645" s="95"/>
      <c r="AD645" s="94"/>
    </row>
    <row r="646" spans="17:30" ht="12.75" x14ac:dyDescent="0.2">
      <c r="Q646" s="95"/>
      <c r="R646" s="95"/>
      <c r="V646" s="95"/>
      <c r="Z646" s="95"/>
      <c r="AD646" s="94"/>
    </row>
    <row r="647" spans="17:30" ht="12.75" x14ac:dyDescent="0.2">
      <c r="Q647" s="95"/>
      <c r="R647" s="95"/>
      <c r="V647" s="95"/>
      <c r="Z647" s="95"/>
      <c r="AD647" s="94"/>
    </row>
    <row r="648" spans="17:30" ht="12.75" x14ac:dyDescent="0.2">
      <c r="Q648" s="95"/>
      <c r="R648" s="95"/>
      <c r="V648" s="95"/>
      <c r="Z648" s="95"/>
      <c r="AD648" s="94"/>
    </row>
    <row r="649" spans="17:30" ht="12.75" x14ac:dyDescent="0.2">
      <c r="Q649" s="95"/>
      <c r="R649" s="95"/>
      <c r="V649" s="95"/>
      <c r="Z649" s="95"/>
      <c r="AD649" s="94"/>
    </row>
    <row r="650" spans="17:30" ht="12.75" x14ac:dyDescent="0.2">
      <c r="Q650" s="95"/>
      <c r="R650" s="95"/>
      <c r="V650" s="95"/>
      <c r="Z650" s="95"/>
      <c r="AD650" s="94"/>
    </row>
    <row r="651" spans="17:30" ht="12.75" x14ac:dyDescent="0.2">
      <c r="Q651" s="95"/>
      <c r="R651" s="95"/>
      <c r="V651" s="95"/>
      <c r="Z651" s="95"/>
      <c r="AD651" s="94"/>
    </row>
    <row r="652" spans="17:30" ht="12.75" x14ac:dyDescent="0.2">
      <c r="Q652" s="95"/>
      <c r="R652" s="95"/>
      <c r="V652" s="95"/>
      <c r="Z652" s="95"/>
      <c r="AD652" s="94"/>
    </row>
    <row r="653" spans="17:30" ht="12.75" x14ac:dyDescent="0.2">
      <c r="Q653" s="95"/>
      <c r="R653" s="95"/>
      <c r="V653" s="95"/>
      <c r="Z653" s="95"/>
      <c r="AD653" s="94"/>
    </row>
    <row r="654" spans="17:30" ht="12.75" x14ac:dyDescent="0.2">
      <c r="Q654" s="95"/>
      <c r="R654" s="95"/>
      <c r="V654" s="95"/>
      <c r="Z654" s="95"/>
      <c r="AD654" s="94"/>
    </row>
    <row r="655" spans="17:30" ht="12.75" x14ac:dyDescent="0.2">
      <c r="Q655" s="95"/>
      <c r="R655" s="95"/>
      <c r="V655" s="95"/>
      <c r="Z655" s="95"/>
      <c r="AD655" s="94"/>
    </row>
    <row r="656" spans="17:30" ht="12.75" x14ac:dyDescent="0.2">
      <c r="Q656" s="95"/>
      <c r="R656" s="95"/>
      <c r="V656" s="95"/>
      <c r="Z656" s="95"/>
      <c r="AD656" s="94"/>
    </row>
    <row r="657" spans="17:30" ht="12.75" x14ac:dyDescent="0.2">
      <c r="Q657" s="95"/>
      <c r="R657" s="95"/>
      <c r="V657" s="95"/>
      <c r="Z657" s="95"/>
      <c r="AD657" s="94"/>
    </row>
    <row r="658" spans="17:30" ht="12.75" x14ac:dyDescent="0.2">
      <c r="Q658" s="95"/>
      <c r="R658" s="95"/>
      <c r="V658" s="95"/>
      <c r="Z658" s="95"/>
      <c r="AD658" s="94"/>
    </row>
    <row r="659" spans="17:30" ht="12.75" x14ac:dyDescent="0.2">
      <c r="Q659" s="95"/>
      <c r="R659" s="95"/>
      <c r="V659" s="95"/>
      <c r="Z659" s="95"/>
      <c r="AD659" s="94"/>
    </row>
    <row r="660" spans="17:30" ht="12.75" x14ac:dyDescent="0.2">
      <c r="Q660" s="95"/>
      <c r="R660" s="95"/>
      <c r="V660" s="95"/>
      <c r="Z660" s="95"/>
      <c r="AD660" s="94"/>
    </row>
    <row r="661" spans="17:30" ht="12.75" x14ac:dyDescent="0.2">
      <c r="Q661" s="95"/>
      <c r="R661" s="95"/>
      <c r="V661" s="95"/>
      <c r="Z661" s="95"/>
      <c r="AD661" s="94"/>
    </row>
    <row r="662" spans="17:30" ht="12.75" x14ac:dyDescent="0.2">
      <c r="Q662" s="95"/>
      <c r="R662" s="95"/>
      <c r="V662" s="95"/>
      <c r="Z662" s="95"/>
      <c r="AD662" s="94"/>
    </row>
    <row r="663" spans="17:30" ht="12.75" x14ac:dyDescent="0.2">
      <c r="Q663" s="95"/>
      <c r="R663" s="95"/>
      <c r="V663" s="95"/>
      <c r="Z663" s="95"/>
      <c r="AD663" s="94"/>
    </row>
    <row r="664" spans="17:30" ht="12.75" x14ac:dyDescent="0.2">
      <c r="Q664" s="95"/>
      <c r="R664" s="95"/>
      <c r="V664" s="95"/>
      <c r="Z664" s="95"/>
      <c r="AD664" s="94"/>
    </row>
    <row r="665" spans="17:30" ht="12.75" x14ac:dyDescent="0.2">
      <c r="Q665" s="95"/>
      <c r="R665" s="95"/>
      <c r="V665" s="95"/>
      <c r="Z665" s="95"/>
      <c r="AD665" s="94"/>
    </row>
    <row r="666" spans="17:30" ht="12.75" x14ac:dyDescent="0.2">
      <c r="Q666" s="95"/>
      <c r="R666" s="95"/>
      <c r="V666" s="95"/>
      <c r="Z666" s="95"/>
      <c r="AD666" s="94"/>
    </row>
    <row r="667" spans="17:30" ht="12.75" x14ac:dyDescent="0.2">
      <c r="Q667" s="95"/>
      <c r="R667" s="95"/>
      <c r="V667" s="95"/>
      <c r="Z667" s="95"/>
      <c r="AD667" s="94"/>
    </row>
    <row r="668" spans="17:30" ht="12.75" x14ac:dyDescent="0.2">
      <c r="Q668" s="95"/>
      <c r="R668" s="95"/>
      <c r="V668" s="95"/>
      <c r="Z668" s="95"/>
      <c r="AD668" s="94"/>
    </row>
    <row r="669" spans="17:30" ht="12.75" x14ac:dyDescent="0.2">
      <c r="Q669" s="95"/>
      <c r="R669" s="95"/>
      <c r="V669" s="95"/>
      <c r="Z669" s="95"/>
      <c r="AD669" s="94"/>
    </row>
    <row r="670" spans="17:30" ht="12.75" x14ac:dyDescent="0.2">
      <c r="Q670" s="95"/>
      <c r="R670" s="95"/>
      <c r="V670" s="95"/>
      <c r="Z670" s="95"/>
      <c r="AD670" s="94"/>
    </row>
    <row r="671" spans="17:30" ht="12.75" x14ac:dyDescent="0.2">
      <c r="Q671" s="95"/>
      <c r="R671" s="95"/>
      <c r="V671" s="95"/>
      <c r="Z671" s="95"/>
      <c r="AD671" s="94"/>
    </row>
    <row r="672" spans="17:30" ht="12.75" x14ac:dyDescent="0.2">
      <c r="Q672" s="95"/>
      <c r="R672" s="95"/>
      <c r="V672" s="95"/>
      <c r="Z672" s="95"/>
      <c r="AD672" s="94"/>
    </row>
    <row r="673" spans="17:30" ht="12.75" x14ac:dyDescent="0.2">
      <c r="Q673" s="95"/>
      <c r="R673" s="95"/>
      <c r="V673" s="95"/>
      <c r="Z673" s="95"/>
      <c r="AD673" s="94"/>
    </row>
    <row r="674" spans="17:30" ht="12.75" x14ac:dyDescent="0.2">
      <c r="Q674" s="95"/>
      <c r="R674" s="95"/>
      <c r="V674" s="95"/>
      <c r="Z674" s="95"/>
      <c r="AD674" s="94"/>
    </row>
    <row r="675" spans="17:30" ht="12.75" x14ac:dyDescent="0.2">
      <c r="Q675" s="95"/>
      <c r="R675" s="95"/>
      <c r="V675" s="95"/>
      <c r="Z675" s="95"/>
      <c r="AD675" s="94"/>
    </row>
    <row r="676" spans="17:30" ht="12.75" x14ac:dyDescent="0.2">
      <c r="Q676" s="95"/>
      <c r="R676" s="95"/>
      <c r="V676" s="95"/>
      <c r="Z676" s="95"/>
      <c r="AD676" s="94"/>
    </row>
    <row r="677" spans="17:30" ht="12.75" x14ac:dyDescent="0.2">
      <c r="Q677" s="95"/>
      <c r="R677" s="95"/>
      <c r="V677" s="95"/>
      <c r="Z677" s="95"/>
      <c r="AD677" s="94"/>
    </row>
    <row r="678" spans="17:30" ht="12.75" x14ac:dyDescent="0.2">
      <c r="Q678" s="95"/>
      <c r="R678" s="95"/>
      <c r="V678" s="95"/>
      <c r="Z678" s="95"/>
      <c r="AD678" s="94"/>
    </row>
    <row r="679" spans="17:30" ht="12.75" x14ac:dyDescent="0.2">
      <c r="Q679" s="95"/>
      <c r="R679" s="95"/>
      <c r="V679" s="95"/>
      <c r="Z679" s="95"/>
      <c r="AD679" s="94"/>
    </row>
    <row r="680" spans="17:30" ht="12.75" x14ac:dyDescent="0.2">
      <c r="Q680" s="95"/>
      <c r="R680" s="95"/>
      <c r="V680" s="95"/>
      <c r="Z680" s="95"/>
      <c r="AD680" s="94"/>
    </row>
    <row r="681" spans="17:30" ht="12.75" x14ac:dyDescent="0.2">
      <c r="Q681" s="95"/>
      <c r="R681" s="95"/>
      <c r="V681" s="95"/>
      <c r="Z681" s="95"/>
      <c r="AD681" s="94"/>
    </row>
    <row r="682" spans="17:30" ht="12.75" x14ac:dyDescent="0.2">
      <c r="Q682" s="95"/>
      <c r="R682" s="95"/>
      <c r="V682" s="95"/>
      <c r="Z682" s="95"/>
      <c r="AD682" s="94"/>
    </row>
    <row r="683" spans="17:30" ht="12.75" x14ac:dyDescent="0.2">
      <c r="Q683" s="95"/>
      <c r="R683" s="95"/>
      <c r="V683" s="95"/>
      <c r="Z683" s="95"/>
      <c r="AD683" s="94"/>
    </row>
    <row r="684" spans="17:30" ht="12.75" x14ac:dyDescent="0.2">
      <c r="Q684" s="95"/>
      <c r="R684" s="95"/>
      <c r="V684" s="95"/>
      <c r="Z684" s="95"/>
      <c r="AD684" s="94"/>
    </row>
    <row r="685" spans="17:30" ht="12.75" x14ac:dyDescent="0.2">
      <c r="Q685" s="95"/>
      <c r="R685" s="95"/>
      <c r="V685" s="95"/>
      <c r="Z685" s="95"/>
      <c r="AD685" s="94"/>
    </row>
    <row r="686" spans="17:30" ht="12.75" x14ac:dyDescent="0.2">
      <c r="Q686" s="95"/>
      <c r="R686" s="95"/>
      <c r="V686" s="95"/>
      <c r="Z686" s="95"/>
      <c r="AD686" s="94"/>
    </row>
    <row r="687" spans="17:30" ht="12.75" x14ac:dyDescent="0.2">
      <c r="Q687" s="95"/>
      <c r="R687" s="95"/>
      <c r="V687" s="95"/>
      <c r="Z687" s="95"/>
      <c r="AD687" s="94"/>
    </row>
    <row r="688" spans="17:30" ht="12.75" x14ac:dyDescent="0.2">
      <c r="Q688" s="95"/>
      <c r="R688" s="95"/>
      <c r="V688" s="95"/>
      <c r="Z688" s="95"/>
      <c r="AD688" s="94"/>
    </row>
    <row r="689" spans="17:30" ht="12.75" x14ac:dyDescent="0.2">
      <c r="Q689" s="95"/>
      <c r="R689" s="95"/>
      <c r="V689" s="95"/>
      <c r="Z689" s="95"/>
      <c r="AD689" s="94"/>
    </row>
    <row r="690" spans="17:30" ht="12.75" x14ac:dyDescent="0.2">
      <c r="Q690" s="95"/>
      <c r="R690" s="95"/>
      <c r="V690" s="95"/>
      <c r="Z690" s="95"/>
      <c r="AD690" s="94"/>
    </row>
    <row r="691" spans="17:30" ht="12.75" x14ac:dyDescent="0.2">
      <c r="Q691" s="95"/>
      <c r="R691" s="95"/>
      <c r="V691" s="95"/>
      <c r="Z691" s="95"/>
      <c r="AD691" s="94"/>
    </row>
    <row r="692" spans="17:30" ht="12.75" x14ac:dyDescent="0.2">
      <c r="Q692" s="95"/>
      <c r="R692" s="95"/>
      <c r="V692" s="95"/>
      <c r="Z692" s="95"/>
      <c r="AD692" s="94"/>
    </row>
    <row r="693" spans="17:30" ht="12.75" x14ac:dyDescent="0.2">
      <c r="Q693" s="95"/>
      <c r="R693" s="95"/>
      <c r="V693" s="95"/>
      <c r="Z693" s="95"/>
      <c r="AD693" s="94"/>
    </row>
    <row r="694" spans="17:30" ht="12.75" x14ac:dyDescent="0.2">
      <c r="Q694" s="95"/>
      <c r="R694" s="95"/>
      <c r="V694" s="95"/>
      <c r="Z694" s="95"/>
      <c r="AD694" s="94"/>
    </row>
    <row r="695" spans="17:30" ht="12.75" x14ac:dyDescent="0.2">
      <c r="Q695" s="95"/>
      <c r="R695" s="95"/>
      <c r="V695" s="95"/>
      <c r="Z695" s="95"/>
      <c r="AD695" s="94"/>
    </row>
    <row r="696" spans="17:30" ht="12.75" x14ac:dyDescent="0.2">
      <c r="Q696" s="95"/>
      <c r="R696" s="95"/>
      <c r="V696" s="95"/>
      <c r="Z696" s="95"/>
      <c r="AD696" s="94"/>
    </row>
    <row r="697" spans="17:30" ht="12.75" x14ac:dyDescent="0.2">
      <c r="Q697" s="95"/>
      <c r="R697" s="95"/>
      <c r="V697" s="95"/>
      <c r="Z697" s="95"/>
      <c r="AD697" s="94"/>
    </row>
    <row r="698" spans="17:30" ht="12.75" x14ac:dyDescent="0.2">
      <c r="Q698" s="95"/>
      <c r="R698" s="95"/>
      <c r="V698" s="95"/>
      <c r="Z698" s="95"/>
      <c r="AD698" s="94"/>
    </row>
    <row r="699" spans="17:30" ht="12.75" x14ac:dyDescent="0.2">
      <c r="Q699" s="95"/>
      <c r="R699" s="95"/>
      <c r="V699" s="95"/>
      <c r="Z699" s="95"/>
      <c r="AD699" s="94"/>
    </row>
    <row r="700" spans="17:30" ht="12.75" x14ac:dyDescent="0.2">
      <c r="Q700" s="95"/>
      <c r="R700" s="95"/>
      <c r="V700" s="95"/>
      <c r="Z700" s="95"/>
      <c r="AD700" s="94"/>
    </row>
    <row r="701" spans="17:30" ht="12.75" x14ac:dyDescent="0.2">
      <c r="Q701" s="95"/>
      <c r="R701" s="95"/>
      <c r="V701" s="95"/>
      <c r="Z701" s="95"/>
      <c r="AD701" s="94"/>
    </row>
    <row r="702" spans="17:30" ht="12.75" x14ac:dyDescent="0.2">
      <c r="Q702" s="95"/>
      <c r="R702" s="95"/>
      <c r="V702" s="95"/>
      <c r="Z702" s="95"/>
      <c r="AD702" s="94"/>
    </row>
    <row r="703" spans="17:30" ht="12.75" x14ac:dyDescent="0.2">
      <c r="Q703" s="95"/>
      <c r="R703" s="95"/>
      <c r="V703" s="95"/>
      <c r="Z703" s="95"/>
      <c r="AD703" s="94"/>
    </row>
    <row r="704" spans="17:30" ht="12.75" x14ac:dyDescent="0.2">
      <c r="Q704" s="95"/>
      <c r="R704" s="95"/>
      <c r="V704" s="95"/>
      <c r="Z704" s="95"/>
      <c r="AD704" s="94"/>
    </row>
    <row r="705" spans="17:30" ht="12.75" x14ac:dyDescent="0.2">
      <c r="Q705" s="95"/>
      <c r="R705" s="95"/>
      <c r="V705" s="95"/>
      <c r="Z705" s="95"/>
      <c r="AD705" s="94"/>
    </row>
    <row r="706" spans="17:30" ht="12.75" x14ac:dyDescent="0.2">
      <c r="Q706" s="95"/>
      <c r="R706" s="95"/>
      <c r="V706" s="95"/>
      <c r="Z706" s="95"/>
      <c r="AD706" s="94"/>
    </row>
    <row r="707" spans="17:30" ht="12.75" x14ac:dyDescent="0.2">
      <c r="Q707" s="95"/>
      <c r="R707" s="95"/>
      <c r="V707" s="95"/>
      <c r="Z707" s="95"/>
      <c r="AD707" s="94"/>
    </row>
    <row r="708" spans="17:30" ht="12.75" x14ac:dyDescent="0.2">
      <c r="Q708" s="95"/>
      <c r="R708" s="95"/>
      <c r="V708" s="95"/>
      <c r="Z708" s="95"/>
      <c r="AD708" s="94"/>
    </row>
    <row r="709" spans="17:30" ht="12.75" x14ac:dyDescent="0.2">
      <c r="Q709" s="95"/>
      <c r="R709" s="95"/>
      <c r="V709" s="95"/>
      <c r="Z709" s="95"/>
      <c r="AD709" s="94"/>
    </row>
    <row r="710" spans="17:30" ht="12.75" x14ac:dyDescent="0.2">
      <c r="Q710" s="95"/>
      <c r="R710" s="95"/>
      <c r="V710" s="95"/>
      <c r="Z710" s="95"/>
      <c r="AD710" s="94"/>
    </row>
    <row r="711" spans="17:30" ht="12.75" x14ac:dyDescent="0.2">
      <c r="Q711" s="95"/>
      <c r="R711" s="95"/>
      <c r="V711" s="95"/>
      <c r="Z711" s="95"/>
      <c r="AD711" s="94"/>
    </row>
    <row r="712" spans="17:30" ht="12.75" x14ac:dyDescent="0.2">
      <c r="Q712" s="95"/>
      <c r="R712" s="95"/>
      <c r="V712" s="95"/>
      <c r="Z712" s="95"/>
      <c r="AD712" s="94"/>
    </row>
    <row r="713" spans="17:30" ht="12.75" x14ac:dyDescent="0.2">
      <c r="Q713" s="95"/>
      <c r="R713" s="95"/>
      <c r="V713" s="95"/>
      <c r="Z713" s="95"/>
      <c r="AD713" s="94"/>
    </row>
    <row r="714" spans="17:30" ht="12.75" x14ac:dyDescent="0.2">
      <c r="Q714" s="95"/>
      <c r="R714" s="95"/>
      <c r="V714" s="95"/>
      <c r="Z714" s="95"/>
      <c r="AD714" s="94"/>
    </row>
    <row r="715" spans="17:30" ht="12.75" x14ac:dyDescent="0.2">
      <c r="Q715" s="95"/>
      <c r="R715" s="95"/>
      <c r="V715" s="95"/>
      <c r="Z715" s="95"/>
      <c r="AD715" s="94"/>
    </row>
    <row r="716" spans="17:30" ht="12.75" x14ac:dyDescent="0.2">
      <c r="Q716" s="95"/>
      <c r="R716" s="95"/>
      <c r="V716" s="95"/>
      <c r="Z716" s="95"/>
      <c r="AD716" s="94"/>
    </row>
    <row r="717" spans="17:30" ht="12.75" x14ac:dyDescent="0.2">
      <c r="Q717" s="95"/>
      <c r="R717" s="95"/>
      <c r="V717" s="95"/>
      <c r="Z717" s="95"/>
      <c r="AD717" s="94"/>
    </row>
    <row r="718" spans="17:30" ht="12.75" x14ac:dyDescent="0.2">
      <c r="Q718" s="95"/>
      <c r="R718" s="95"/>
      <c r="V718" s="95"/>
      <c r="Z718" s="95"/>
      <c r="AD718" s="94"/>
    </row>
    <row r="719" spans="17:30" ht="12.75" x14ac:dyDescent="0.2">
      <c r="Q719" s="95"/>
      <c r="R719" s="95"/>
      <c r="V719" s="95"/>
      <c r="Z719" s="95"/>
      <c r="AD719" s="94"/>
    </row>
    <row r="720" spans="17:30" ht="12.75" x14ac:dyDescent="0.2">
      <c r="Q720" s="95"/>
      <c r="R720" s="95"/>
      <c r="V720" s="95"/>
      <c r="Z720" s="95"/>
      <c r="AD720" s="94"/>
    </row>
    <row r="721" spans="17:30" ht="12.75" x14ac:dyDescent="0.2">
      <c r="Q721" s="95"/>
      <c r="R721" s="95"/>
      <c r="V721" s="95"/>
      <c r="Z721" s="95"/>
      <c r="AD721" s="94"/>
    </row>
    <row r="722" spans="17:30" ht="12.75" x14ac:dyDescent="0.2">
      <c r="Q722" s="95"/>
      <c r="R722" s="95"/>
      <c r="V722" s="95"/>
      <c r="Z722" s="95"/>
      <c r="AD722" s="94"/>
    </row>
    <row r="723" spans="17:30" ht="12.75" x14ac:dyDescent="0.2">
      <c r="Q723" s="95"/>
      <c r="R723" s="95"/>
      <c r="V723" s="95"/>
      <c r="Z723" s="95"/>
      <c r="AD723" s="94"/>
    </row>
    <row r="724" spans="17:30" ht="12.75" x14ac:dyDescent="0.2">
      <c r="Q724" s="95"/>
      <c r="R724" s="95"/>
      <c r="V724" s="95"/>
      <c r="Z724" s="95"/>
      <c r="AD724" s="94"/>
    </row>
    <row r="725" spans="17:30" ht="12.75" x14ac:dyDescent="0.2">
      <c r="Q725" s="95"/>
      <c r="R725" s="95"/>
      <c r="V725" s="95"/>
      <c r="Z725" s="95"/>
      <c r="AD725" s="94"/>
    </row>
    <row r="726" spans="17:30" ht="12.75" x14ac:dyDescent="0.2">
      <c r="Q726" s="95"/>
      <c r="R726" s="95"/>
      <c r="V726" s="95"/>
      <c r="Z726" s="95"/>
      <c r="AD726" s="94"/>
    </row>
    <row r="727" spans="17:30" ht="12.75" x14ac:dyDescent="0.2">
      <c r="Q727" s="95"/>
      <c r="R727" s="95"/>
      <c r="V727" s="95"/>
      <c r="Z727" s="95"/>
      <c r="AD727" s="94"/>
    </row>
    <row r="728" spans="17:30" ht="12.75" x14ac:dyDescent="0.2">
      <c r="Q728" s="95"/>
      <c r="R728" s="95"/>
      <c r="V728" s="95"/>
      <c r="Z728" s="95"/>
      <c r="AD728" s="94"/>
    </row>
    <row r="729" spans="17:30" ht="12.75" x14ac:dyDescent="0.2">
      <c r="Q729" s="95"/>
      <c r="R729" s="95"/>
      <c r="V729" s="95"/>
      <c r="Z729" s="95"/>
      <c r="AD729" s="94"/>
    </row>
    <row r="730" spans="17:30" ht="12.75" x14ac:dyDescent="0.2">
      <c r="Q730" s="95"/>
      <c r="R730" s="95"/>
      <c r="V730" s="95"/>
      <c r="Z730" s="95"/>
      <c r="AD730" s="94"/>
    </row>
    <row r="731" spans="17:30" ht="12.75" x14ac:dyDescent="0.2">
      <c r="Q731" s="95"/>
      <c r="R731" s="95"/>
      <c r="V731" s="95"/>
      <c r="Z731" s="95"/>
      <c r="AD731" s="94"/>
    </row>
    <row r="732" spans="17:30" ht="12.75" x14ac:dyDescent="0.2">
      <c r="Q732" s="95"/>
      <c r="R732" s="95"/>
      <c r="V732" s="95"/>
      <c r="Z732" s="95"/>
      <c r="AD732" s="94"/>
    </row>
    <row r="733" spans="17:30" ht="12.75" x14ac:dyDescent="0.2">
      <c r="Q733" s="95"/>
      <c r="R733" s="95"/>
      <c r="V733" s="95"/>
      <c r="Z733" s="95"/>
      <c r="AD733" s="94"/>
    </row>
    <row r="734" spans="17:30" ht="12.75" x14ac:dyDescent="0.2">
      <c r="Q734" s="95"/>
      <c r="R734" s="95"/>
      <c r="V734" s="95"/>
      <c r="Z734" s="95"/>
      <c r="AD734" s="94"/>
    </row>
    <row r="735" spans="17:30" ht="12.75" x14ac:dyDescent="0.2">
      <c r="Q735" s="95"/>
      <c r="R735" s="95"/>
      <c r="V735" s="95"/>
      <c r="Z735" s="95"/>
      <c r="AD735" s="94"/>
    </row>
    <row r="736" spans="17:30" ht="12.75" x14ac:dyDescent="0.2">
      <c r="Q736" s="95"/>
      <c r="R736" s="95"/>
      <c r="V736" s="95"/>
      <c r="Z736" s="95"/>
      <c r="AD736" s="94"/>
    </row>
    <row r="737" spans="17:30" ht="12.75" x14ac:dyDescent="0.2">
      <c r="Q737" s="95"/>
      <c r="R737" s="95"/>
      <c r="V737" s="95"/>
      <c r="Z737" s="95"/>
      <c r="AD737" s="94"/>
    </row>
    <row r="738" spans="17:30" ht="12.75" x14ac:dyDescent="0.2">
      <c r="Q738" s="95"/>
      <c r="R738" s="95"/>
      <c r="V738" s="95"/>
      <c r="Z738" s="95"/>
      <c r="AD738" s="94"/>
    </row>
    <row r="739" spans="17:30" ht="12.75" x14ac:dyDescent="0.2">
      <c r="Q739" s="95"/>
      <c r="R739" s="95"/>
      <c r="V739" s="95"/>
      <c r="Z739" s="95"/>
      <c r="AD739" s="94"/>
    </row>
    <row r="740" spans="17:30" ht="12.75" x14ac:dyDescent="0.2">
      <c r="Q740" s="95"/>
      <c r="R740" s="95"/>
      <c r="V740" s="95"/>
      <c r="Z740" s="95"/>
      <c r="AD740" s="94"/>
    </row>
    <row r="741" spans="17:30" ht="12.75" x14ac:dyDescent="0.2">
      <c r="Q741" s="95"/>
      <c r="R741" s="95"/>
      <c r="V741" s="95"/>
      <c r="Z741" s="95"/>
      <c r="AD741" s="94"/>
    </row>
    <row r="742" spans="17:30" ht="12.75" x14ac:dyDescent="0.2">
      <c r="Q742" s="95"/>
      <c r="R742" s="95"/>
      <c r="V742" s="95"/>
      <c r="Z742" s="95"/>
      <c r="AD742" s="94"/>
    </row>
    <row r="743" spans="17:30" ht="12.75" x14ac:dyDescent="0.2">
      <c r="Q743" s="95"/>
      <c r="R743" s="95"/>
      <c r="V743" s="95"/>
      <c r="Z743" s="95"/>
      <c r="AD743" s="94"/>
    </row>
    <row r="744" spans="17:30" ht="12.75" x14ac:dyDescent="0.2">
      <c r="Q744" s="95"/>
      <c r="R744" s="95"/>
      <c r="V744" s="95"/>
      <c r="Z744" s="95"/>
      <c r="AD744" s="94"/>
    </row>
    <row r="745" spans="17:30" ht="12.75" x14ac:dyDescent="0.2">
      <c r="Q745" s="95"/>
      <c r="R745" s="95"/>
      <c r="V745" s="95"/>
      <c r="Z745" s="95"/>
      <c r="AD745" s="94"/>
    </row>
    <row r="746" spans="17:30" ht="12.75" x14ac:dyDescent="0.2">
      <c r="Q746" s="95"/>
      <c r="R746" s="95"/>
      <c r="V746" s="95"/>
      <c r="Z746" s="95"/>
      <c r="AD746" s="94"/>
    </row>
    <row r="747" spans="17:30" ht="12.75" x14ac:dyDescent="0.2">
      <c r="Q747" s="95"/>
      <c r="R747" s="95"/>
      <c r="V747" s="95"/>
      <c r="Z747" s="95"/>
      <c r="AD747" s="94"/>
    </row>
    <row r="748" spans="17:30" ht="12.75" x14ac:dyDescent="0.2">
      <c r="Q748" s="95"/>
      <c r="R748" s="95"/>
      <c r="V748" s="95"/>
      <c r="Z748" s="95"/>
      <c r="AD748" s="94"/>
    </row>
    <row r="749" spans="17:30" ht="12.75" x14ac:dyDescent="0.2">
      <c r="Q749" s="95"/>
      <c r="R749" s="95"/>
      <c r="V749" s="95"/>
      <c r="Z749" s="95"/>
      <c r="AD749" s="94"/>
    </row>
    <row r="750" spans="17:30" ht="12.75" x14ac:dyDescent="0.2">
      <c r="Q750" s="95"/>
      <c r="R750" s="95"/>
      <c r="V750" s="95"/>
      <c r="Z750" s="95"/>
      <c r="AD750" s="94"/>
    </row>
    <row r="751" spans="17:30" ht="12.75" x14ac:dyDescent="0.2">
      <c r="Q751" s="95"/>
      <c r="R751" s="95"/>
      <c r="V751" s="95"/>
      <c r="Z751" s="95"/>
      <c r="AD751" s="94"/>
    </row>
    <row r="752" spans="17:30" ht="12.75" x14ac:dyDescent="0.2">
      <c r="Q752" s="95"/>
      <c r="R752" s="95"/>
      <c r="V752" s="95"/>
      <c r="Z752" s="95"/>
      <c r="AD752" s="94"/>
    </row>
    <row r="753" spans="17:30" ht="12.75" x14ac:dyDescent="0.2">
      <c r="Q753" s="95"/>
      <c r="R753" s="95"/>
      <c r="V753" s="95"/>
      <c r="Z753" s="95"/>
      <c r="AD753" s="94"/>
    </row>
    <row r="754" spans="17:30" ht="12.75" x14ac:dyDescent="0.2">
      <c r="Q754" s="95"/>
      <c r="R754" s="95"/>
      <c r="V754" s="95"/>
      <c r="Z754" s="95"/>
      <c r="AD754" s="94"/>
    </row>
    <row r="755" spans="17:30" ht="12.75" x14ac:dyDescent="0.2">
      <c r="Q755" s="95"/>
      <c r="R755" s="95"/>
      <c r="V755" s="95"/>
      <c r="Z755" s="95"/>
      <c r="AD755" s="94"/>
    </row>
    <row r="756" spans="17:30" ht="12.75" x14ac:dyDescent="0.2">
      <c r="Q756" s="95"/>
      <c r="R756" s="95"/>
      <c r="V756" s="95"/>
      <c r="Z756" s="95"/>
      <c r="AD756" s="94"/>
    </row>
    <row r="757" spans="17:30" ht="12.75" x14ac:dyDescent="0.2">
      <c r="Q757" s="95"/>
      <c r="R757" s="95"/>
      <c r="V757" s="95"/>
      <c r="Z757" s="95"/>
      <c r="AD757" s="94"/>
    </row>
    <row r="758" spans="17:30" ht="12.75" x14ac:dyDescent="0.2">
      <c r="Q758" s="95"/>
      <c r="R758" s="95"/>
      <c r="V758" s="95"/>
      <c r="Z758" s="95"/>
      <c r="AD758" s="94"/>
    </row>
    <row r="759" spans="17:30" ht="12.75" x14ac:dyDescent="0.2">
      <c r="Q759" s="95"/>
      <c r="R759" s="95"/>
      <c r="V759" s="95"/>
      <c r="Z759" s="95"/>
      <c r="AD759" s="94"/>
    </row>
    <row r="760" spans="17:30" ht="12.75" x14ac:dyDescent="0.2">
      <c r="Q760" s="95"/>
      <c r="R760" s="95"/>
      <c r="V760" s="95"/>
      <c r="Z760" s="95"/>
      <c r="AD760" s="94"/>
    </row>
    <row r="761" spans="17:30" ht="12.75" x14ac:dyDescent="0.2">
      <c r="Q761" s="95"/>
      <c r="R761" s="95"/>
      <c r="V761" s="95"/>
      <c r="Z761" s="95"/>
      <c r="AD761" s="94"/>
    </row>
    <row r="762" spans="17:30" ht="12.75" x14ac:dyDescent="0.2">
      <c r="Q762" s="95"/>
      <c r="R762" s="95"/>
      <c r="V762" s="95"/>
      <c r="Z762" s="95"/>
      <c r="AD762" s="94"/>
    </row>
    <row r="763" spans="17:30" ht="12.75" x14ac:dyDescent="0.2">
      <c r="Q763" s="95"/>
      <c r="R763" s="95"/>
      <c r="V763" s="95"/>
      <c r="Z763" s="95"/>
      <c r="AD763" s="94"/>
    </row>
    <row r="764" spans="17:30" ht="12.75" x14ac:dyDescent="0.2">
      <c r="Q764" s="95"/>
      <c r="R764" s="95"/>
      <c r="V764" s="95"/>
      <c r="Z764" s="95"/>
      <c r="AD764" s="94"/>
    </row>
    <row r="765" spans="17:30" ht="12.75" x14ac:dyDescent="0.2">
      <c r="Q765" s="95"/>
      <c r="R765" s="95"/>
      <c r="V765" s="95"/>
      <c r="Z765" s="95"/>
      <c r="AD765" s="94"/>
    </row>
    <row r="766" spans="17:30" ht="12.75" x14ac:dyDescent="0.2">
      <c r="Q766" s="95"/>
      <c r="R766" s="95"/>
      <c r="V766" s="95"/>
      <c r="Z766" s="95"/>
      <c r="AD766" s="94"/>
    </row>
    <row r="767" spans="17:30" ht="12.75" x14ac:dyDescent="0.2">
      <c r="Q767" s="95"/>
      <c r="R767" s="95"/>
      <c r="V767" s="95"/>
      <c r="Z767" s="95"/>
      <c r="AD767" s="94"/>
    </row>
    <row r="768" spans="17:30" ht="12.75" x14ac:dyDescent="0.2">
      <c r="Q768" s="95"/>
      <c r="R768" s="95"/>
      <c r="V768" s="95"/>
      <c r="Z768" s="95"/>
      <c r="AD768" s="94"/>
    </row>
    <row r="769" spans="17:30" ht="12.75" x14ac:dyDescent="0.2">
      <c r="Q769" s="95"/>
      <c r="R769" s="95"/>
      <c r="V769" s="95"/>
      <c r="Z769" s="95"/>
      <c r="AD769" s="94"/>
    </row>
    <row r="770" spans="17:30" ht="12.75" x14ac:dyDescent="0.2">
      <c r="Q770" s="95"/>
      <c r="R770" s="95"/>
      <c r="V770" s="95"/>
      <c r="Z770" s="95"/>
      <c r="AD770" s="94"/>
    </row>
    <row r="771" spans="17:30" ht="12.75" x14ac:dyDescent="0.2">
      <c r="Q771" s="95"/>
      <c r="R771" s="95"/>
      <c r="V771" s="95"/>
      <c r="Z771" s="95"/>
      <c r="AD771" s="94"/>
    </row>
    <row r="772" spans="17:30" ht="12.75" x14ac:dyDescent="0.2">
      <c r="Q772" s="95"/>
      <c r="R772" s="95"/>
      <c r="V772" s="95"/>
      <c r="Z772" s="95"/>
      <c r="AD772" s="94"/>
    </row>
    <row r="773" spans="17:30" ht="12.75" x14ac:dyDescent="0.2">
      <c r="Q773" s="95"/>
      <c r="R773" s="95"/>
      <c r="V773" s="95"/>
      <c r="Z773" s="95"/>
      <c r="AD773" s="94"/>
    </row>
    <row r="774" spans="17:30" ht="12.75" x14ac:dyDescent="0.2">
      <c r="Q774" s="95"/>
      <c r="R774" s="95"/>
      <c r="V774" s="95"/>
      <c r="Z774" s="95"/>
      <c r="AD774" s="94"/>
    </row>
    <row r="775" spans="17:30" ht="12.75" x14ac:dyDescent="0.2">
      <c r="Q775" s="95"/>
      <c r="R775" s="95"/>
      <c r="V775" s="95"/>
      <c r="Z775" s="95"/>
      <c r="AD775" s="94"/>
    </row>
    <row r="776" spans="17:30" ht="12.75" x14ac:dyDescent="0.2">
      <c r="Q776" s="95"/>
      <c r="R776" s="95"/>
      <c r="V776" s="95"/>
      <c r="Z776" s="95"/>
      <c r="AD776" s="94"/>
    </row>
    <row r="777" spans="17:30" ht="12.75" x14ac:dyDescent="0.2">
      <c r="Q777" s="95"/>
      <c r="R777" s="95"/>
      <c r="V777" s="95"/>
      <c r="Z777" s="95"/>
      <c r="AD777" s="94"/>
    </row>
    <row r="778" spans="17:30" ht="12.75" x14ac:dyDescent="0.2">
      <c r="Q778" s="95"/>
      <c r="R778" s="95"/>
      <c r="V778" s="95"/>
      <c r="Z778" s="95"/>
      <c r="AD778" s="94"/>
    </row>
    <row r="779" spans="17:30" ht="12.75" x14ac:dyDescent="0.2">
      <c r="Q779" s="95"/>
      <c r="R779" s="95"/>
      <c r="V779" s="95"/>
      <c r="Z779" s="95"/>
      <c r="AD779" s="94"/>
    </row>
    <row r="780" spans="17:30" ht="12.75" x14ac:dyDescent="0.2">
      <c r="Q780" s="95"/>
      <c r="R780" s="95"/>
      <c r="V780" s="95"/>
      <c r="Z780" s="95"/>
      <c r="AD780" s="94"/>
    </row>
    <row r="781" spans="17:30" ht="12.75" x14ac:dyDescent="0.2">
      <c r="Q781" s="95"/>
      <c r="R781" s="95"/>
      <c r="V781" s="95"/>
      <c r="Z781" s="95"/>
      <c r="AD781" s="94"/>
    </row>
    <row r="782" spans="17:30" ht="12.75" x14ac:dyDescent="0.2">
      <c r="Q782" s="95"/>
      <c r="R782" s="95"/>
      <c r="V782" s="95"/>
      <c r="Z782" s="95"/>
      <c r="AD782" s="94"/>
    </row>
    <row r="783" spans="17:30" ht="12.75" x14ac:dyDescent="0.2">
      <c r="Q783" s="95"/>
      <c r="R783" s="95"/>
      <c r="V783" s="95"/>
      <c r="Z783" s="95"/>
      <c r="AD783" s="94"/>
    </row>
    <row r="784" spans="17:30" ht="12.75" x14ac:dyDescent="0.2">
      <c r="Q784" s="95"/>
      <c r="R784" s="95"/>
      <c r="V784" s="95"/>
      <c r="Z784" s="95"/>
      <c r="AD784" s="94"/>
    </row>
    <row r="785" spans="17:30" ht="12.75" x14ac:dyDescent="0.2">
      <c r="Q785" s="95"/>
      <c r="R785" s="95"/>
      <c r="V785" s="95"/>
      <c r="Z785" s="95"/>
      <c r="AD785" s="94"/>
    </row>
    <row r="786" spans="17:30" ht="12.75" x14ac:dyDescent="0.2">
      <c r="Q786" s="95"/>
      <c r="R786" s="95"/>
      <c r="V786" s="95"/>
      <c r="Z786" s="95"/>
      <c r="AD786" s="94"/>
    </row>
    <row r="787" spans="17:30" ht="12.75" x14ac:dyDescent="0.2">
      <c r="Q787" s="95"/>
      <c r="R787" s="95"/>
      <c r="V787" s="95"/>
      <c r="Z787" s="95"/>
      <c r="AD787" s="94"/>
    </row>
    <row r="788" spans="17:30" ht="12.75" x14ac:dyDescent="0.2">
      <c r="Q788" s="95"/>
      <c r="R788" s="95"/>
      <c r="V788" s="95"/>
      <c r="Z788" s="95"/>
      <c r="AD788" s="94"/>
    </row>
    <row r="789" spans="17:30" ht="12.75" x14ac:dyDescent="0.2">
      <c r="Q789" s="95"/>
      <c r="R789" s="95"/>
      <c r="V789" s="95"/>
      <c r="Z789" s="95"/>
      <c r="AD789" s="94"/>
    </row>
    <row r="790" spans="17:30" ht="12.75" x14ac:dyDescent="0.2">
      <c r="Q790" s="95"/>
      <c r="R790" s="95"/>
      <c r="V790" s="95"/>
      <c r="Z790" s="95"/>
      <c r="AD790" s="94"/>
    </row>
    <row r="791" spans="17:30" ht="12.75" x14ac:dyDescent="0.2">
      <c r="Q791" s="95"/>
      <c r="R791" s="95"/>
      <c r="V791" s="95"/>
      <c r="Z791" s="95"/>
      <c r="AD791" s="94"/>
    </row>
    <row r="792" spans="17:30" ht="12.75" x14ac:dyDescent="0.2">
      <c r="Q792" s="95"/>
      <c r="R792" s="95"/>
      <c r="V792" s="95"/>
      <c r="Z792" s="95"/>
      <c r="AD792" s="94"/>
    </row>
    <row r="793" spans="17:30" ht="12.75" x14ac:dyDescent="0.2">
      <c r="Q793" s="95"/>
      <c r="R793" s="95"/>
      <c r="V793" s="95"/>
      <c r="Z793" s="95"/>
      <c r="AD793" s="94"/>
    </row>
    <row r="794" spans="17:30" ht="12.75" x14ac:dyDescent="0.2">
      <c r="Q794" s="95"/>
      <c r="R794" s="95"/>
      <c r="V794" s="95"/>
      <c r="Z794" s="95"/>
      <c r="AD794" s="94"/>
    </row>
    <row r="795" spans="17:30" ht="12.75" x14ac:dyDescent="0.2">
      <c r="Q795" s="95"/>
      <c r="R795" s="95"/>
      <c r="V795" s="95"/>
      <c r="Z795" s="95"/>
      <c r="AD795" s="94"/>
    </row>
    <row r="796" spans="17:30" ht="12.75" x14ac:dyDescent="0.2">
      <c r="Q796" s="95"/>
      <c r="R796" s="95"/>
      <c r="V796" s="95"/>
      <c r="Z796" s="95"/>
      <c r="AD796" s="94"/>
    </row>
    <row r="797" spans="17:30" ht="12.75" x14ac:dyDescent="0.2">
      <c r="Q797" s="95"/>
      <c r="R797" s="95"/>
      <c r="V797" s="95"/>
      <c r="Z797" s="95"/>
      <c r="AD797" s="94"/>
    </row>
    <row r="798" spans="17:30" ht="12.75" x14ac:dyDescent="0.2">
      <c r="Q798" s="95"/>
      <c r="R798" s="95"/>
      <c r="V798" s="95"/>
      <c r="Z798" s="95"/>
      <c r="AD798" s="94"/>
    </row>
    <row r="799" spans="17:30" ht="12.75" x14ac:dyDescent="0.2">
      <c r="Q799" s="95"/>
      <c r="R799" s="95"/>
      <c r="V799" s="95"/>
      <c r="Z799" s="95"/>
      <c r="AD799" s="94"/>
    </row>
    <row r="800" spans="17:30" ht="12.75" x14ac:dyDescent="0.2">
      <c r="Q800" s="95"/>
      <c r="R800" s="95"/>
      <c r="V800" s="95"/>
      <c r="Z800" s="95"/>
      <c r="AD800" s="94"/>
    </row>
    <row r="801" spans="17:30" ht="12.75" x14ac:dyDescent="0.2">
      <c r="Q801" s="95"/>
      <c r="R801" s="95"/>
      <c r="V801" s="95"/>
      <c r="Z801" s="95"/>
      <c r="AD801" s="94"/>
    </row>
    <row r="802" spans="17:30" ht="12.75" x14ac:dyDescent="0.2">
      <c r="Q802" s="95"/>
      <c r="R802" s="95"/>
      <c r="V802" s="95"/>
      <c r="Z802" s="95"/>
      <c r="AD802" s="94"/>
    </row>
    <row r="803" spans="17:30" ht="12.75" x14ac:dyDescent="0.2">
      <c r="Q803" s="95"/>
      <c r="R803" s="95"/>
      <c r="V803" s="95"/>
      <c r="Z803" s="95"/>
      <c r="AD803" s="94"/>
    </row>
    <row r="804" spans="17:30" ht="12.75" x14ac:dyDescent="0.2">
      <c r="Q804" s="95"/>
      <c r="R804" s="95"/>
      <c r="V804" s="95"/>
      <c r="Z804" s="95"/>
      <c r="AD804" s="94"/>
    </row>
    <row r="805" spans="17:30" ht="12.75" x14ac:dyDescent="0.2">
      <c r="Q805" s="95"/>
      <c r="R805" s="95"/>
      <c r="V805" s="95"/>
      <c r="Z805" s="95"/>
      <c r="AD805" s="94"/>
    </row>
    <row r="806" spans="17:30" ht="12.75" x14ac:dyDescent="0.2">
      <c r="Q806" s="95"/>
      <c r="R806" s="95"/>
      <c r="V806" s="95"/>
      <c r="Z806" s="95"/>
      <c r="AD806" s="94"/>
    </row>
    <row r="807" spans="17:30" ht="12.75" x14ac:dyDescent="0.2">
      <c r="Q807" s="95"/>
      <c r="R807" s="95"/>
      <c r="V807" s="95"/>
      <c r="Z807" s="95"/>
      <c r="AD807" s="94"/>
    </row>
    <row r="808" spans="17:30" ht="12.75" x14ac:dyDescent="0.2">
      <c r="Q808" s="95"/>
      <c r="R808" s="95"/>
      <c r="V808" s="95"/>
      <c r="Z808" s="95"/>
      <c r="AD808" s="94"/>
    </row>
    <row r="809" spans="17:30" ht="12.75" x14ac:dyDescent="0.2">
      <c r="Q809" s="95"/>
      <c r="R809" s="95"/>
      <c r="V809" s="95"/>
      <c r="Z809" s="95"/>
      <c r="AD809" s="94"/>
    </row>
    <row r="810" spans="17:30" ht="12.75" x14ac:dyDescent="0.2">
      <c r="Q810" s="95"/>
      <c r="R810" s="95"/>
      <c r="V810" s="95"/>
      <c r="Z810" s="95"/>
      <c r="AD810" s="94"/>
    </row>
    <row r="811" spans="17:30" ht="12.75" x14ac:dyDescent="0.2">
      <c r="Q811" s="95"/>
      <c r="R811" s="95"/>
      <c r="V811" s="95"/>
      <c r="Z811" s="95"/>
      <c r="AD811" s="94"/>
    </row>
    <row r="812" spans="17:30" ht="12.75" x14ac:dyDescent="0.2">
      <c r="Q812" s="95"/>
      <c r="R812" s="95"/>
      <c r="V812" s="95"/>
      <c r="Z812" s="95"/>
      <c r="AD812" s="94"/>
    </row>
    <row r="813" spans="17:30" ht="12.75" x14ac:dyDescent="0.2">
      <c r="Q813" s="95"/>
      <c r="R813" s="95"/>
      <c r="V813" s="95"/>
      <c r="Z813" s="95"/>
      <c r="AD813" s="94"/>
    </row>
    <row r="814" spans="17:30" ht="12.75" x14ac:dyDescent="0.2">
      <c r="Q814" s="95"/>
      <c r="R814" s="95"/>
      <c r="V814" s="95"/>
      <c r="Z814" s="95"/>
      <c r="AD814" s="94"/>
    </row>
    <row r="815" spans="17:30" ht="12.75" x14ac:dyDescent="0.2">
      <c r="Q815" s="95"/>
      <c r="R815" s="95"/>
      <c r="V815" s="95"/>
      <c r="Z815" s="95"/>
      <c r="AD815" s="94"/>
    </row>
    <row r="816" spans="17:30" ht="12.75" x14ac:dyDescent="0.2">
      <c r="Q816" s="95"/>
      <c r="R816" s="95"/>
      <c r="V816" s="95"/>
      <c r="Z816" s="95"/>
      <c r="AD816" s="94"/>
    </row>
    <row r="817" spans="17:30" ht="12.75" x14ac:dyDescent="0.2">
      <c r="Q817" s="95"/>
      <c r="R817" s="95"/>
      <c r="V817" s="95"/>
      <c r="Z817" s="95"/>
      <c r="AD817" s="94"/>
    </row>
    <row r="818" spans="17:30" ht="12.75" x14ac:dyDescent="0.2">
      <c r="Q818" s="95"/>
      <c r="R818" s="95"/>
      <c r="V818" s="95"/>
      <c r="Z818" s="95"/>
      <c r="AD818" s="94"/>
    </row>
    <row r="819" spans="17:30" ht="12.75" x14ac:dyDescent="0.2">
      <c r="Q819" s="95"/>
      <c r="R819" s="95"/>
      <c r="V819" s="95"/>
      <c r="Z819" s="95"/>
      <c r="AD819" s="94"/>
    </row>
    <row r="820" spans="17:30" ht="12.75" x14ac:dyDescent="0.2">
      <c r="Q820" s="95"/>
      <c r="R820" s="95"/>
      <c r="V820" s="95"/>
      <c r="Z820" s="95"/>
      <c r="AD820" s="94"/>
    </row>
    <row r="821" spans="17:30" ht="12.75" x14ac:dyDescent="0.2">
      <c r="Q821" s="95"/>
      <c r="R821" s="95"/>
      <c r="V821" s="95"/>
      <c r="Z821" s="95"/>
      <c r="AD821" s="94"/>
    </row>
    <row r="822" spans="17:30" ht="12.75" x14ac:dyDescent="0.2">
      <c r="Q822" s="95"/>
      <c r="R822" s="95"/>
      <c r="V822" s="95"/>
      <c r="Z822" s="95"/>
      <c r="AD822" s="94"/>
    </row>
    <row r="823" spans="17:30" ht="12.75" x14ac:dyDescent="0.2">
      <c r="Q823" s="95"/>
      <c r="R823" s="95"/>
      <c r="V823" s="95"/>
      <c r="Z823" s="95"/>
      <c r="AD823" s="94"/>
    </row>
    <row r="824" spans="17:30" ht="12.75" x14ac:dyDescent="0.2">
      <c r="Q824" s="95"/>
      <c r="R824" s="95"/>
      <c r="V824" s="95"/>
      <c r="Z824" s="95"/>
      <c r="AD824" s="94"/>
    </row>
    <row r="825" spans="17:30" ht="12.75" x14ac:dyDescent="0.2">
      <c r="Q825" s="95"/>
      <c r="R825" s="95"/>
      <c r="V825" s="95"/>
      <c r="Z825" s="95"/>
      <c r="AD825" s="94"/>
    </row>
    <row r="826" spans="17:30" ht="12.75" x14ac:dyDescent="0.2">
      <c r="Q826" s="95"/>
      <c r="R826" s="95"/>
      <c r="V826" s="95"/>
      <c r="Z826" s="95"/>
      <c r="AD826" s="94"/>
    </row>
    <row r="827" spans="17:30" ht="12.75" x14ac:dyDescent="0.2">
      <c r="Q827" s="95"/>
      <c r="R827" s="95"/>
      <c r="V827" s="95"/>
      <c r="Z827" s="95"/>
      <c r="AD827" s="94"/>
    </row>
    <row r="828" spans="17:30" ht="12.75" x14ac:dyDescent="0.2">
      <c r="Q828" s="95"/>
      <c r="R828" s="95"/>
      <c r="V828" s="95"/>
      <c r="Z828" s="95"/>
      <c r="AD828" s="94"/>
    </row>
    <row r="829" spans="17:30" ht="12.75" x14ac:dyDescent="0.2">
      <c r="Q829" s="95"/>
      <c r="R829" s="95"/>
      <c r="V829" s="95"/>
      <c r="Z829" s="95"/>
      <c r="AD829" s="94"/>
    </row>
    <row r="830" spans="17:30" ht="12.75" x14ac:dyDescent="0.2">
      <c r="Q830" s="95"/>
      <c r="R830" s="95"/>
      <c r="V830" s="95"/>
      <c r="Z830" s="95"/>
      <c r="AD830" s="94"/>
    </row>
    <row r="831" spans="17:30" ht="12.75" x14ac:dyDescent="0.2">
      <c r="Q831" s="95"/>
      <c r="R831" s="95"/>
      <c r="V831" s="95"/>
      <c r="Z831" s="95"/>
      <c r="AD831" s="94"/>
    </row>
    <row r="832" spans="17:30" ht="12.75" x14ac:dyDescent="0.2">
      <c r="Q832" s="95"/>
      <c r="R832" s="95"/>
      <c r="V832" s="95"/>
      <c r="Z832" s="95"/>
      <c r="AD832" s="94"/>
    </row>
    <row r="833" spans="17:30" ht="12.75" x14ac:dyDescent="0.2">
      <c r="Q833" s="95"/>
      <c r="R833" s="95"/>
      <c r="V833" s="95"/>
      <c r="Z833" s="95"/>
      <c r="AD833" s="94"/>
    </row>
    <row r="834" spans="17:30" ht="12.75" x14ac:dyDescent="0.2">
      <c r="Q834" s="95"/>
      <c r="R834" s="95"/>
      <c r="V834" s="95"/>
      <c r="Z834" s="95"/>
      <c r="AD834" s="94"/>
    </row>
    <row r="835" spans="17:30" ht="12.75" x14ac:dyDescent="0.2">
      <c r="Q835" s="95"/>
      <c r="R835" s="95"/>
      <c r="V835" s="95"/>
      <c r="Z835" s="95"/>
      <c r="AD835" s="94"/>
    </row>
    <row r="836" spans="17:30" ht="12.75" x14ac:dyDescent="0.2">
      <c r="Q836" s="95"/>
      <c r="R836" s="95"/>
      <c r="V836" s="95"/>
      <c r="Z836" s="95"/>
      <c r="AD836" s="94"/>
    </row>
    <row r="837" spans="17:30" ht="12.75" x14ac:dyDescent="0.2">
      <c r="Q837" s="95"/>
      <c r="R837" s="95"/>
      <c r="V837" s="95"/>
      <c r="Z837" s="95"/>
      <c r="AD837" s="94"/>
    </row>
    <row r="838" spans="17:30" ht="12.75" x14ac:dyDescent="0.2">
      <c r="Q838" s="95"/>
      <c r="R838" s="95"/>
      <c r="V838" s="95"/>
      <c r="Z838" s="95"/>
      <c r="AD838" s="94"/>
    </row>
    <row r="839" spans="17:30" ht="12.75" x14ac:dyDescent="0.2">
      <c r="Q839" s="95"/>
      <c r="R839" s="95"/>
      <c r="V839" s="95"/>
      <c r="Z839" s="95"/>
      <c r="AD839" s="94"/>
    </row>
    <row r="840" spans="17:30" ht="12.75" x14ac:dyDescent="0.2">
      <c r="Q840" s="95"/>
      <c r="R840" s="95"/>
      <c r="V840" s="95"/>
      <c r="Z840" s="95"/>
      <c r="AD840" s="94"/>
    </row>
    <row r="841" spans="17:30" ht="12.75" x14ac:dyDescent="0.2">
      <c r="Q841" s="95"/>
      <c r="R841" s="95"/>
      <c r="V841" s="95"/>
      <c r="Z841" s="95"/>
      <c r="AD841" s="94"/>
    </row>
    <row r="842" spans="17:30" ht="12.75" x14ac:dyDescent="0.2">
      <c r="Q842" s="95"/>
      <c r="R842" s="95"/>
      <c r="V842" s="95"/>
      <c r="Z842" s="95"/>
      <c r="AD842" s="94"/>
    </row>
    <row r="843" spans="17:30" ht="12.75" x14ac:dyDescent="0.2">
      <c r="Q843" s="95"/>
      <c r="R843" s="95"/>
      <c r="V843" s="95"/>
      <c r="Z843" s="95"/>
      <c r="AD843" s="94"/>
    </row>
    <row r="844" spans="17:30" ht="12.75" x14ac:dyDescent="0.2">
      <c r="Q844" s="95"/>
      <c r="R844" s="95"/>
      <c r="V844" s="95"/>
      <c r="Z844" s="95"/>
      <c r="AD844" s="94"/>
    </row>
    <row r="845" spans="17:30" ht="12.75" x14ac:dyDescent="0.2">
      <c r="Q845" s="95"/>
      <c r="R845" s="95"/>
      <c r="V845" s="95"/>
      <c r="Z845" s="95"/>
      <c r="AD845" s="94"/>
    </row>
    <row r="846" spans="17:30" ht="12.75" x14ac:dyDescent="0.2">
      <c r="Q846" s="95"/>
      <c r="R846" s="95"/>
      <c r="V846" s="95"/>
      <c r="Z846" s="95"/>
      <c r="AD846" s="94"/>
    </row>
    <row r="847" spans="17:30" ht="12.75" x14ac:dyDescent="0.2">
      <c r="Q847" s="95"/>
      <c r="R847" s="95"/>
      <c r="V847" s="95"/>
      <c r="Z847" s="95"/>
      <c r="AD847" s="94"/>
    </row>
    <row r="848" spans="17:30" ht="12.75" x14ac:dyDescent="0.2">
      <c r="Q848" s="95"/>
      <c r="R848" s="95"/>
      <c r="V848" s="95"/>
      <c r="Z848" s="95"/>
      <c r="AD848" s="94"/>
    </row>
    <row r="849" spans="17:30" ht="12.75" x14ac:dyDescent="0.2">
      <c r="Q849" s="95"/>
      <c r="R849" s="95"/>
      <c r="V849" s="95"/>
      <c r="Z849" s="95"/>
      <c r="AD849" s="94"/>
    </row>
    <row r="850" spans="17:30" ht="12.75" x14ac:dyDescent="0.2">
      <c r="Q850" s="95"/>
      <c r="R850" s="95"/>
      <c r="V850" s="95"/>
      <c r="Z850" s="95"/>
      <c r="AD850" s="94"/>
    </row>
    <row r="851" spans="17:30" ht="12.75" x14ac:dyDescent="0.2">
      <c r="Q851" s="95"/>
      <c r="R851" s="95"/>
      <c r="V851" s="95"/>
      <c r="Z851" s="95"/>
      <c r="AD851" s="94"/>
    </row>
    <row r="852" spans="17:30" ht="12.75" x14ac:dyDescent="0.2">
      <c r="Q852" s="95"/>
      <c r="R852" s="95"/>
      <c r="V852" s="95"/>
      <c r="Z852" s="95"/>
      <c r="AD852" s="94"/>
    </row>
    <row r="853" spans="17:30" ht="12.75" x14ac:dyDescent="0.2">
      <c r="Q853" s="95"/>
      <c r="R853" s="95"/>
      <c r="V853" s="95"/>
      <c r="Z853" s="95"/>
      <c r="AD853" s="94"/>
    </row>
    <row r="854" spans="17:30" ht="12.75" x14ac:dyDescent="0.2">
      <c r="Q854" s="95"/>
      <c r="R854" s="95"/>
      <c r="V854" s="95"/>
      <c r="Z854" s="95"/>
      <c r="AD854" s="94"/>
    </row>
    <row r="855" spans="17:30" ht="12.75" x14ac:dyDescent="0.2">
      <c r="Q855" s="95"/>
      <c r="R855" s="95"/>
      <c r="V855" s="95"/>
      <c r="Z855" s="95"/>
      <c r="AD855" s="94"/>
    </row>
    <row r="856" spans="17:30" ht="12.75" x14ac:dyDescent="0.2">
      <c r="Q856" s="95"/>
      <c r="R856" s="95"/>
      <c r="V856" s="95"/>
      <c r="Z856" s="95"/>
      <c r="AD856" s="94"/>
    </row>
    <row r="857" spans="17:30" ht="12.75" x14ac:dyDescent="0.2">
      <c r="Q857" s="95"/>
      <c r="R857" s="95"/>
      <c r="V857" s="95"/>
      <c r="Z857" s="95"/>
      <c r="AD857" s="94"/>
    </row>
    <row r="858" spans="17:30" ht="12.75" x14ac:dyDescent="0.2">
      <c r="Q858" s="95"/>
      <c r="R858" s="95"/>
      <c r="V858" s="95"/>
      <c r="Z858" s="95"/>
      <c r="AD858" s="94"/>
    </row>
    <row r="859" spans="17:30" ht="12.75" x14ac:dyDescent="0.2">
      <c r="Q859" s="95"/>
      <c r="R859" s="95"/>
      <c r="V859" s="95"/>
      <c r="Z859" s="95"/>
      <c r="AD859" s="94"/>
    </row>
    <row r="860" spans="17:30" ht="12.75" x14ac:dyDescent="0.2">
      <c r="Q860" s="95"/>
      <c r="R860" s="95"/>
      <c r="V860" s="95"/>
      <c r="Z860" s="95"/>
      <c r="AD860" s="94"/>
    </row>
    <row r="861" spans="17:30" ht="12.75" x14ac:dyDescent="0.2">
      <c r="Q861" s="95"/>
      <c r="R861" s="95"/>
      <c r="V861" s="95"/>
      <c r="Z861" s="95"/>
      <c r="AD861" s="94"/>
    </row>
    <row r="862" spans="17:30" ht="12.75" x14ac:dyDescent="0.2">
      <c r="Q862" s="95"/>
      <c r="R862" s="95"/>
      <c r="V862" s="95"/>
      <c r="Z862" s="95"/>
      <c r="AD862" s="94"/>
    </row>
    <row r="863" spans="17:30" ht="12.75" x14ac:dyDescent="0.2">
      <c r="Q863" s="95"/>
      <c r="R863" s="95"/>
      <c r="V863" s="95"/>
      <c r="Z863" s="95"/>
      <c r="AD863" s="94"/>
    </row>
    <row r="864" spans="17:30" ht="12.75" x14ac:dyDescent="0.2">
      <c r="Q864" s="95"/>
      <c r="R864" s="95"/>
      <c r="V864" s="95"/>
      <c r="Z864" s="95"/>
      <c r="AD864" s="94"/>
    </row>
    <row r="865" spans="17:30" ht="12.75" x14ac:dyDescent="0.2">
      <c r="Q865" s="95"/>
      <c r="R865" s="95"/>
      <c r="V865" s="95"/>
      <c r="Z865" s="95"/>
      <c r="AD865" s="94"/>
    </row>
    <row r="866" spans="17:30" ht="12.75" x14ac:dyDescent="0.2">
      <c r="Q866" s="95"/>
      <c r="R866" s="95"/>
      <c r="V866" s="95"/>
      <c r="Z866" s="95"/>
      <c r="AD866" s="94"/>
    </row>
    <row r="867" spans="17:30" ht="12.75" x14ac:dyDescent="0.2">
      <c r="Q867" s="95"/>
      <c r="R867" s="95"/>
      <c r="V867" s="95"/>
      <c r="Z867" s="95"/>
      <c r="AD867" s="94"/>
    </row>
    <row r="868" spans="17:30" ht="12.75" x14ac:dyDescent="0.2">
      <c r="Q868" s="95"/>
      <c r="R868" s="95"/>
      <c r="V868" s="95"/>
      <c r="Z868" s="95"/>
      <c r="AD868" s="94"/>
    </row>
    <row r="869" spans="17:30" ht="12.75" x14ac:dyDescent="0.2">
      <c r="Q869" s="95"/>
      <c r="R869" s="95"/>
      <c r="V869" s="95"/>
      <c r="Z869" s="95"/>
      <c r="AD869" s="94"/>
    </row>
    <row r="870" spans="17:30" ht="12.75" x14ac:dyDescent="0.2">
      <c r="Q870" s="95"/>
      <c r="R870" s="95"/>
      <c r="V870" s="95"/>
      <c r="Z870" s="95"/>
      <c r="AD870" s="94"/>
    </row>
    <row r="871" spans="17:30" ht="12.75" x14ac:dyDescent="0.2">
      <c r="Q871" s="95"/>
      <c r="R871" s="95"/>
      <c r="V871" s="95"/>
      <c r="Z871" s="95"/>
      <c r="AD871" s="94"/>
    </row>
    <row r="872" spans="17:30" ht="12.75" x14ac:dyDescent="0.2">
      <c r="Q872" s="95"/>
      <c r="R872" s="95"/>
      <c r="V872" s="95"/>
      <c r="Z872" s="95"/>
      <c r="AD872" s="94"/>
    </row>
    <row r="873" spans="17:30" ht="12.75" x14ac:dyDescent="0.2">
      <c r="Q873" s="95"/>
      <c r="R873" s="95"/>
      <c r="V873" s="95"/>
      <c r="Z873" s="95"/>
      <c r="AD873" s="94"/>
    </row>
    <row r="874" spans="17:30" ht="12.75" x14ac:dyDescent="0.2">
      <c r="Q874" s="95"/>
      <c r="R874" s="95"/>
      <c r="V874" s="95"/>
      <c r="Z874" s="95"/>
      <c r="AD874" s="94"/>
    </row>
    <row r="875" spans="17:30" ht="12.75" x14ac:dyDescent="0.2">
      <c r="Q875" s="95"/>
      <c r="R875" s="95"/>
      <c r="V875" s="95"/>
      <c r="Z875" s="95"/>
      <c r="AD875" s="94"/>
    </row>
    <row r="876" spans="17:30" ht="12.75" x14ac:dyDescent="0.2">
      <c r="Q876" s="95"/>
      <c r="R876" s="95"/>
      <c r="V876" s="95"/>
      <c r="Z876" s="95"/>
      <c r="AD876" s="94"/>
    </row>
    <row r="877" spans="17:30" ht="12.75" x14ac:dyDescent="0.2">
      <c r="Q877" s="95"/>
      <c r="R877" s="95"/>
      <c r="V877" s="95"/>
      <c r="Z877" s="95"/>
      <c r="AD877" s="94"/>
    </row>
    <row r="878" spans="17:30" ht="12.75" x14ac:dyDescent="0.2">
      <c r="Q878" s="95"/>
      <c r="R878" s="95"/>
      <c r="V878" s="95"/>
      <c r="Z878" s="95"/>
      <c r="AD878" s="94"/>
    </row>
    <row r="879" spans="17:30" ht="12.75" x14ac:dyDescent="0.2">
      <c r="Q879" s="95"/>
      <c r="R879" s="95"/>
      <c r="V879" s="95"/>
      <c r="Z879" s="95"/>
      <c r="AD879" s="94"/>
    </row>
    <row r="880" spans="17:30" ht="12.75" x14ac:dyDescent="0.2">
      <c r="Q880" s="95"/>
      <c r="R880" s="95"/>
      <c r="V880" s="95"/>
      <c r="Z880" s="95"/>
      <c r="AD880" s="94"/>
    </row>
    <row r="881" spans="17:30" ht="12.75" x14ac:dyDescent="0.2">
      <c r="Q881" s="95"/>
      <c r="R881" s="95"/>
      <c r="V881" s="95"/>
      <c r="Z881" s="95"/>
      <c r="AD881" s="94"/>
    </row>
    <row r="882" spans="17:30" ht="12.75" x14ac:dyDescent="0.2">
      <c r="Q882" s="95"/>
      <c r="R882" s="95"/>
      <c r="V882" s="95"/>
      <c r="Z882" s="95"/>
      <c r="AD882" s="94"/>
    </row>
    <row r="883" spans="17:30" ht="12.75" x14ac:dyDescent="0.2">
      <c r="Q883" s="95"/>
      <c r="R883" s="95"/>
      <c r="V883" s="95"/>
      <c r="Z883" s="95"/>
      <c r="AD883" s="94"/>
    </row>
    <row r="884" spans="17:30" ht="12.75" x14ac:dyDescent="0.2">
      <c r="Q884" s="95"/>
      <c r="R884" s="95"/>
      <c r="V884" s="95"/>
      <c r="Z884" s="95"/>
      <c r="AD884" s="94"/>
    </row>
    <row r="885" spans="17:30" ht="12.75" x14ac:dyDescent="0.2">
      <c r="Q885" s="95"/>
      <c r="R885" s="95"/>
      <c r="V885" s="95"/>
      <c r="Z885" s="95"/>
      <c r="AD885" s="94"/>
    </row>
    <row r="886" spans="17:30" ht="12.75" x14ac:dyDescent="0.2">
      <c r="Q886" s="95"/>
      <c r="R886" s="95"/>
      <c r="V886" s="95"/>
      <c r="Z886" s="95"/>
      <c r="AD886" s="94"/>
    </row>
    <row r="887" spans="17:30" ht="12.75" x14ac:dyDescent="0.2">
      <c r="Q887" s="95"/>
      <c r="R887" s="95"/>
      <c r="V887" s="95"/>
      <c r="Z887" s="95"/>
      <c r="AD887" s="94"/>
    </row>
    <row r="888" spans="17:30" ht="12.75" x14ac:dyDescent="0.2">
      <c r="Q888" s="95"/>
      <c r="R888" s="95"/>
      <c r="V888" s="95"/>
      <c r="Z888" s="95"/>
      <c r="AD888" s="94"/>
    </row>
    <row r="889" spans="17:30" ht="12.75" x14ac:dyDescent="0.2">
      <c r="Q889" s="95"/>
      <c r="R889" s="95"/>
      <c r="V889" s="95"/>
      <c r="Z889" s="95"/>
      <c r="AD889" s="94"/>
    </row>
    <row r="890" spans="17:30" ht="12.75" x14ac:dyDescent="0.2">
      <c r="Q890" s="95"/>
      <c r="R890" s="95"/>
      <c r="V890" s="95"/>
      <c r="Z890" s="95"/>
      <c r="AD890" s="94"/>
    </row>
    <row r="891" spans="17:30" ht="12.75" x14ac:dyDescent="0.2">
      <c r="Q891" s="95"/>
      <c r="R891" s="95"/>
      <c r="V891" s="95"/>
      <c r="Z891" s="95"/>
      <c r="AD891" s="94"/>
    </row>
    <row r="892" spans="17:30" ht="12.75" x14ac:dyDescent="0.2">
      <c r="Q892" s="95"/>
      <c r="R892" s="95"/>
      <c r="V892" s="95"/>
      <c r="Z892" s="95"/>
      <c r="AD892" s="94"/>
    </row>
    <row r="893" spans="17:30" ht="12.75" x14ac:dyDescent="0.2">
      <c r="Q893" s="95"/>
      <c r="R893" s="95"/>
      <c r="V893" s="95"/>
      <c r="Z893" s="95"/>
      <c r="AD893" s="94"/>
    </row>
    <row r="894" spans="17:30" ht="12.75" x14ac:dyDescent="0.2">
      <c r="Q894" s="95"/>
      <c r="R894" s="95"/>
      <c r="V894" s="95"/>
      <c r="Z894" s="95"/>
      <c r="AD894" s="94"/>
    </row>
    <row r="895" spans="17:30" ht="12.75" x14ac:dyDescent="0.2">
      <c r="Q895" s="95"/>
      <c r="R895" s="95"/>
      <c r="V895" s="95"/>
      <c r="Z895" s="95"/>
      <c r="AD895" s="94"/>
    </row>
    <row r="896" spans="17:30" ht="12.75" x14ac:dyDescent="0.2">
      <c r="Q896" s="95"/>
      <c r="R896" s="95"/>
      <c r="V896" s="95"/>
      <c r="Z896" s="95"/>
      <c r="AD896" s="94"/>
    </row>
    <row r="897" spans="17:30" ht="12.75" x14ac:dyDescent="0.2">
      <c r="Q897" s="95"/>
      <c r="R897" s="95"/>
      <c r="V897" s="95"/>
      <c r="Z897" s="95"/>
      <c r="AD897" s="94"/>
    </row>
    <row r="898" spans="17:30" ht="12.75" x14ac:dyDescent="0.2">
      <c r="Q898" s="95"/>
      <c r="R898" s="95"/>
      <c r="V898" s="95"/>
      <c r="Z898" s="95"/>
      <c r="AD898" s="94"/>
    </row>
    <row r="899" spans="17:30" ht="12.75" x14ac:dyDescent="0.2">
      <c r="Q899" s="95"/>
      <c r="R899" s="95"/>
      <c r="V899" s="95"/>
      <c r="Z899" s="95"/>
      <c r="AD899" s="94"/>
    </row>
    <row r="900" spans="17:30" ht="12.75" x14ac:dyDescent="0.2">
      <c r="Q900" s="95"/>
      <c r="R900" s="95"/>
      <c r="V900" s="95"/>
      <c r="Z900" s="95"/>
      <c r="AD900" s="94"/>
    </row>
    <row r="901" spans="17:30" ht="12.75" x14ac:dyDescent="0.2">
      <c r="Q901" s="95"/>
      <c r="R901" s="95"/>
      <c r="V901" s="95"/>
      <c r="Z901" s="95"/>
      <c r="AD901" s="94"/>
    </row>
    <row r="902" spans="17:30" ht="12.75" x14ac:dyDescent="0.2">
      <c r="Q902" s="95"/>
      <c r="R902" s="95"/>
      <c r="V902" s="95"/>
      <c r="Z902" s="95"/>
      <c r="AD902" s="94"/>
    </row>
    <row r="903" spans="17:30" ht="12.75" x14ac:dyDescent="0.2">
      <c r="Q903" s="95"/>
      <c r="R903" s="95"/>
      <c r="V903" s="95"/>
      <c r="Z903" s="95"/>
      <c r="AD903" s="94"/>
    </row>
    <row r="904" spans="17:30" ht="12.75" x14ac:dyDescent="0.2">
      <c r="Q904" s="95"/>
      <c r="R904" s="95"/>
      <c r="V904" s="95"/>
      <c r="Z904" s="95"/>
      <c r="AD904" s="94"/>
    </row>
    <row r="905" spans="17:30" ht="12.75" x14ac:dyDescent="0.2">
      <c r="Q905" s="95"/>
      <c r="R905" s="95"/>
      <c r="V905" s="95"/>
      <c r="Z905" s="95"/>
      <c r="AD905" s="94"/>
    </row>
    <row r="906" spans="17:30" ht="12.75" x14ac:dyDescent="0.2">
      <c r="Q906" s="95"/>
      <c r="R906" s="95"/>
      <c r="V906" s="95"/>
      <c r="Z906" s="95"/>
      <c r="AD906" s="94"/>
    </row>
    <row r="907" spans="17:30" ht="12.75" x14ac:dyDescent="0.2">
      <c r="Q907" s="95"/>
      <c r="R907" s="95"/>
      <c r="V907" s="95"/>
      <c r="Z907" s="95"/>
      <c r="AD907" s="94"/>
    </row>
    <row r="908" spans="17:30" ht="12.75" x14ac:dyDescent="0.2">
      <c r="Q908" s="95"/>
      <c r="R908" s="95"/>
      <c r="V908" s="95"/>
      <c r="Z908" s="95"/>
      <c r="AD908" s="94"/>
    </row>
    <row r="909" spans="17:30" ht="12.75" x14ac:dyDescent="0.2">
      <c r="Q909" s="95"/>
      <c r="R909" s="95"/>
      <c r="V909" s="95"/>
      <c r="Z909" s="95"/>
      <c r="AD909" s="94"/>
    </row>
    <row r="910" spans="17:30" ht="12.75" x14ac:dyDescent="0.2">
      <c r="Q910" s="95"/>
      <c r="R910" s="95"/>
      <c r="V910" s="95"/>
      <c r="Z910" s="95"/>
      <c r="AD910" s="94"/>
    </row>
    <row r="911" spans="17:30" ht="12.75" x14ac:dyDescent="0.2">
      <c r="Q911" s="95"/>
      <c r="R911" s="95"/>
      <c r="V911" s="95"/>
      <c r="Z911" s="95"/>
      <c r="AD911" s="94"/>
    </row>
    <row r="912" spans="17:30" ht="12.75" x14ac:dyDescent="0.2">
      <c r="Q912" s="95"/>
      <c r="R912" s="95"/>
      <c r="V912" s="95"/>
      <c r="Z912" s="95"/>
      <c r="AD912" s="94"/>
    </row>
    <row r="913" spans="17:30" ht="12.75" x14ac:dyDescent="0.2">
      <c r="Q913" s="95"/>
      <c r="R913" s="95"/>
      <c r="V913" s="95"/>
      <c r="Z913" s="95"/>
      <c r="AD913" s="94"/>
    </row>
    <row r="914" spans="17:30" ht="12.75" x14ac:dyDescent="0.2">
      <c r="Q914" s="95"/>
      <c r="R914" s="95"/>
      <c r="V914" s="95"/>
      <c r="Z914" s="95"/>
      <c r="AD914" s="94"/>
    </row>
    <row r="915" spans="17:30" ht="12.75" x14ac:dyDescent="0.2">
      <c r="Q915" s="95"/>
      <c r="R915" s="95"/>
      <c r="V915" s="95"/>
      <c r="Z915" s="95"/>
      <c r="AD915" s="94"/>
    </row>
    <row r="916" spans="17:30" ht="12.75" x14ac:dyDescent="0.2">
      <c r="Q916" s="95"/>
      <c r="R916" s="95"/>
      <c r="V916" s="95"/>
      <c r="Z916" s="95"/>
      <c r="AD916" s="94"/>
    </row>
    <row r="917" spans="17:30" ht="12.75" x14ac:dyDescent="0.2">
      <c r="Q917" s="95"/>
      <c r="R917" s="95"/>
      <c r="V917" s="95"/>
      <c r="Z917" s="95"/>
      <c r="AD917" s="94"/>
    </row>
    <row r="918" spans="17:30" ht="12.75" x14ac:dyDescent="0.2">
      <c r="Q918" s="95"/>
      <c r="R918" s="95"/>
      <c r="V918" s="95"/>
      <c r="Z918" s="95"/>
      <c r="AD918" s="94"/>
    </row>
    <row r="919" spans="17:30" ht="12.75" x14ac:dyDescent="0.2">
      <c r="Q919" s="95"/>
      <c r="R919" s="95"/>
      <c r="V919" s="95"/>
      <c r="Z919" s="95"/>
      <c r="AD919" s="94"/>
    </row>
    <row r="920" spans="17:30" ht="12.75" x14ac:dyDescent="0.2">
      <c r="Q920" s="95"/>
      <c r="R920" s="95"/>
      <c r="V920" s="95"/>
      <c r="Z920" s="95"/>
      <c r="AD920" s="94"/>
    </row>
    <row r="921" spans="17:30" ht="12.75" x14ac:dyDescent="0.2">
      <c r="Q921" s="95"/>
      <c r="R921" s="95"/>
      <c r="V921" s="95"/>
      <c r="Z921" s="95"/>
      <c r="AD921" s="94"/>
    </row>
    <row r="922" spans="17:30" ht="12.75" x14ac:dyDescent="0.2">
      <c r="Q922" s="95"/>
      <c r="R922" s="95"/>
      <c r="V922" s="95"/>
      <c r="Z922" s="95"/>
      <c r="AD922" s="94"/>
    </row>
    <row r="923" spans="17:30" ht="12.75" x14ac:dyDescent="0.2">
      <c r="Q923" s="95"/>
      <c r="R923" s="95"/>
      <c r="V923" s="95"/>
      <c r="Z923" s="95"/>
      <c r="AD923" s="94"/>
    </row>
    <row r="924" spans="17:30" ht="12.75" x14ac:dyDescent="0.2">
      <c r="Q924" s="95"/>
      <c r="R924" s="95"/>
      <c r="V924" s="95"/>
      <c r="Z924" s="95"/>
      <c r="AD924" s="94"/>
    </row>
    <row r="925" spans="17:30" ht="12.75" x14ac:dyDescent="0.2">
      <c r="Q925" s="95"/>
      <c r="R925" s="95"/>
      <c r="V925" s="95"/>
      <c r="Z925" s="95"/>
      <c r="AD925" s="94"/>
    </row>
    <row r="926" spans="17:30" ht="12.75" x14ac:dyDescent="0.2">
      <c r="Q926" s="95"/>
      <c r="R926" s="95"/>
      <c r="V926" s="95"/>
      <c r="Z926" s="95"/>
      <c r="AD926" s="94"/>
    </row>
    <row r="927" spans="17:30" ht="12.75" x14ac:dyDescent="0.2">
      <c r="Q927" s="95"/>
      <c r="R927" s="95"/>
      <c r="V927" s="95"/>
      <c r="Z927" s="95"/>
      <c r="AD927" s="94"/>
    </row>
    <row r="928" spans="17:30" ht="12.75" x14ac:dyDescent="0.2">
      <c r="Q928" s="95"/>
      <c r="R928" s="95"/>
      <c r="V928" s="95"/>
      <c r="Z928" s="95"/>
      <c r="AD928" s="94"/>
    </row>
    <row r="929" spans="17:30" ht="12.75" x14ac:dyDescent="0.2">
      <c r="Q929" s="95"/>
      <c r="R929" s="95"/>
      <c r="V929" s="95"/>
      <c r="Z929" s="95"/>
      <c r="AD929" s="94"/>
    </row>
    <row r="930" spans="17:30" ht="12.75" x14ac:dyDescent="0.2">
      <c r="Q930" s="95"/>
      <c r="R930" s="95"/>
      <c r="V930" s="95"/>
      <c r="Z930" s="95"/>
      <c r="AD930" s="94"/>
    </row>
    <row r="931" spans="17:30" ht="12.75" x14ac:dyDescent="0.2">
      <c r="Q931" s="95"/>
      <c r="R931" s="95"/>
      <c r="V931" s="95"/>
      <c r="Z931" s="95"/>
      <c r="AD931" s="94"/>
    </row>
    <row r="932" spans="17:30" ht="12.75" x14ac:dyDescent="0.2">
      <c r="Q932" s="95"/>
      <c r="R932" s="95"/>
      <c r="V932" s="95"/>
      <c r="Z932" s="95"/>
      <c r="AD932" s="94"/>
    </row>
    <row r="933" spans="17:30" ht="12.75" x14ac:dyDescent="0.2">
      <c r="Q933" s="95"/>
      <c r="R933" s="95"/>
      <c r="V933" s="95"/>
      <c r="Z933" s="95"/>
      <c r="AD933" s="94"/>
    </row>
    <row r="934" spans="17:30" ht="12.75" x14ac:dyDescent="0.2">
      <c r="Q934" s="95"/>
      <c r="R934" s="95"/>
      <c r="V934" s="95"/>
      <c r="Z934" s="95"/>
      <c r="AD934" s="94"/>
    </row>
    <row r="935" spans="17:30" ht="12.75" x14ac:dyDescent="0.2">
      <c r="Q935" s="95"/>
      <c r="R935" s="95"/>
      <c r="V935" s="95"/>
      <c r="Z935" s="95"/>
      <c r="AD935" s="94"/>
    </row>
    <row r="936" spans="17:30" ht="12.75" x14ac:dyDescent="0.2">
      <c r="Q936" s="95"/>
      <c r="R936" s="95"/>
      <c r="V936" s="95"/>
      <c r="Z936" s="95"/>
      <c r="AD936" s="94"/>
    </row>
    <row r="937" spans="17:30" ht="12.75" x14ac:dyDescent="0.2">
      <c r="Q937" s="95"/>
      <c r="R937" s="95"/>
      <c r="V937" s="95"/>
      <c r="Z937" s="95"/>
      <c r="AD937" s="94"/>
    </row>
    <row r="938" spans="17:30" ht="12.75" x14ac:dyDescent="0.2">
      <c r="Q938" s="95"/>
      <c r="R938" s="95"/>
      <c r="V938" s="95"/>
      <c r="Z938" s="95"/>
      <c r="AD938" s="94"/>
    </row>
    <row r="939" spans="17:30" ht="12.75" x14ac:dyDescent="0.2">
      <c r="Q939" s="95"/>
      <c r="R939" s="95"/>
      <c r="V939" s="95"/>
      <c r="Z939" s="95"/>
      <c r="AD939" s="94"/>
    </row>
    <row r="940" spans="17:30" ht="12.75" x14ac:dyDescent="0.2">
      <c r="Q940" s="95"/>
      <c r="R940" s="95"/>
      <c r="V940" s="95"/>
      <c r="Z940" s="95"/>
      <c r="AD940" s="94"/>
    </row>
    <row r="941" spans="17:30" ht="12.75" x14ac:dyDescent="0.2">
      <c r="Q941" s="95"/>
      <c r="R941" s="95"/>
      <c r="V941" s="95"/>
      <c r="Z941" s="95"/>
      <c r="AD941" s="94"/>
    </row>
    <row r="942" spans="17:30" ht="12.75" x14ac:dyDescent="0.2">
      <c r="Q942" s="95"/>
      <c r="R942" s="95"/>
      <c r="V942" s="95"/>
      <c r="Z942" s="95"/>
      <c r="AD942" s="94"/>
    </row>
    <row r="943" spans="17:30" ht="12.75" x14ac:dyDescent="0.2">
      <c r="Q943" s="95"/>
      <c r="R943" s="95"/>
      <c r="V943" s="95"/>
      <c r="Z943" s="95"/>
      <c r="AD943" s="94"/>
    </row>
    <row r="944" spans="17:30" ht="12.75" x14ac:dyDescent="0.2">
      <c r="Q944" s="95"/>
      <c r="R944" s="95"/>
      <c r="V944" s="95"/>
      <c r="Z944" s="95"/>
      <c r="AD944" s="94"/>
    </row>
    <row r="945" spans="17:30" ht="12.75" x14ac:dyDescent="0.2">
      <c r="Q945" s="95"/>
      <c r="R945" s="95"/>
      <c r="V945" s="95"/>
      <c r="Z945" s="95"/>
      <c r="AD945" s="94"/>
    </row>
    <row r="946" spans="17:30" ht="12.75" x14ac:dyDescent="0.2">
      <c r="Q946" s="95"/>
      <c r="R946" s="95"/>
      <c r="V946" s="95"/>
      <c r="Z946" s="95"/>
      <c r="AD946" s="94"/>
    </row>
    <row r="947" spans="17:30" ht="12.75" x14ac:dyDescent="0.2">
      <c r="Q947" s="95"/>
      <c r="R947" s="95"/>
      <c r="V947" s="95"/>
      <c r="Z947" s="95"/>
      <c r="AD947" s="94"/>
    </row>
    <row r="948" spans="17:30" ht="12.75" x14ac:dyDescent="0.2">
      <c r="Q948" s="95"/>
      <c r="R948" s="95"/>
      <c r="V948" s="95"/>
      <c r="Z948" s="95"/>
      <c r="AD948" s="94"/>
    </row>
    <row r="949" spans="17:30" ht="12.75" x14ac:dyDescent="0.2">
      <c r="Q949" s="95"/>
      <c r="R949" s="95"/>
      <c r="V949" s="95"/>
      <c r="Z949" s="95"/>
      <c r="AD949" s="94"/>
    </row>
    <row r="950" spans="17:30" ht="12.75" x14ac:dyDescent="0.2">
      <c r="Q950" s="95"/>
      <c r="R950" s="95"/>
      <c r="V950" s="95"/>
      <c r="Z950" s="95"/>
      <c r="AD950" s="94"/>
    </row>
    <row r="951" spans="17:30" ht="12.75" x14ac:dyDescent="0.2">
      <c r="Q951" s="95"/>
      <c r="R951" s="95"/>
      <c r="V951" s="95"/>
      <c r="Z951" s="95"/>
      <c r="AD951" s="94"/>
    </row>
    <row r="952" spans="17:30" ht="12.75" x14ac:dyDescent="0.2">
      <c r="Q952" s="95"/>
      <c r="R952" s="95"/>
      <c r="V952" s="95"/>
      <c r="Z952" s="95"/>
      <c r="AD952" s="94"/>
    </row>
    <row r="953" spans="17:30" ht="12.75" x14ac:dyDescent="0.2">
      <c r="Q953" s="95"/>
      <c r="R953" s="95"/>
      <c r="V953" s="95"/>
      <c r="Z953" s="95"/>
      <c r="AD953" s="94"/>
    </row>
    <row r="954" spans="17:30" ht="12.75" x14ac:dyDescent="0.2">
      <c r="Q954" s="95"/>
      <c r="R954" s="95"/>
      <c r="V954" s="95"/>
      <c r="Z954" s="95"/>
      <c r="AD954" s="94"/>
    </row>
    <row r="955" spans="17:30" ht="12.75" x14ac:dyDescent="0.2">
      <c r="Q955" s="95"/>
      <c r="R955" s="95"/>
      <c r="V955" s="95"/>
      <c r="Z955" s="95"/>
      <c r="AD955" s="94"/>
    </row>
    <row r="956" spans="17:30" ht="12.75" x14ac:dyDescent="0.2">
      <c r="Q956" s="95"/>
      <c r="R956" s="95"/>
      <c r="V956" s="95"/>
      <c r="Z956" s="95"/>
      <c r="AD956" s="94"/>
    </row>
    <row r="957" spans="17:30" ht="12.75" x14ac:dyDescent="0.2">
      <c r="Q957" s="95"/>
      <c r="R957" s="95"/>
      <c r="V957" s="95"/>
      <c r="Z957" s="95"/>
      <c r="AD957" s="94"/>
    </row>
    <row r="958" spans="17:30" ht="12.75" x14ac:dyDescent="0.2">
      <c r="Q958" s="95"/>
      <c r="R958" s="95"/>
      <c r="V958" s="95"/>
      <c r="Z958" s="95"/>
      <c r="AD958" s="94"/>
    </row>
    <row r="959" spans="17:30" ht="12.75" x14ac:dyDescent="0.2">
      <c r="Q959" s="95"/>
      <c r="R959" s="95"/>
      <c r="V959" s="95"/>
      <c r="Z959" s="95"/>
      <c r="AD959" s="94"/>
    </row>
    <row r="960" spans="17:30" ht="12.75" x14ac:dyDescent="0.2">
      <c r="Q960" s="95"/>
      <c r="R960" s="95"/>
      <c r="V960" s="95"/>
      <c r="Z960" s="95"/>
      <c r="AD960" s="94"/>
    </row>
    <row r="961" spans="17:30" ht="12.75" x14ac:dyDescent="0.2">
      <c r="Q961" s="95"/>
      <c r="R961" s="95"/>
      <c r="V961" s="95"/>
      <c r="Z961" s="95"/>
      <c r="AD961" s="94"/>
    </row>
    <row r="962" spans="17:30" ht="12.75" x14ac:dyDescent="0.2">
      <c r="Q962" s="95"/>
      <c r="R962" s="95"/>
      <c r="V962" s="95"/>
      <c r="Z962" s="95"/>
      <c r="AD962" s="94"/>
    </row>
    <row r="963" spans="17:30" ht="12.75" x14ac:dyDescent="0.2">
      <c r="Q963" s="95"/>
      <c r="R963" s="95"/>
      <c r="V963" s="95"/>
      <c r="Z963" s="95"/>
      <c r="AD963" s="94"/>
    </row>
    <row r="964" spans="17:30" ht="12.75" x14ac:dyDescent="0.2">
      <c r="Q964" s="95"/>
      <c r="R964" s="95"/>
      <c r="V964" s="95"/>
      <c r="Z964" s="95"/>
      <c r="AD964" s="94"/>
    </row>
    <row r="965" spans="17:30" ht="12.75" x14ac:dyDescent="0.2">
      <c r="Q965" s="95"/>
      <c r="R965" s="95"/>
      <c r="V965" s="95"/>
      <c r="Z965" s="95"/>
      <c r="AD965" s="94"/>
    </row>
    <row r="966" spans="17:30" ht="12.75" x14ac:dyDescent="0.2">
      <c r="Q966" s="95"/>
      <c r="R966" s="95"/>
      <c r="V966" s="95"/>
      <c r="Z966" s="95"/>
      <c r="AD966" s="94"/>
    </row>
    <row r="967" spans="17:30" ht="12.75" x14ac:dyDescent="0.2">
      <c r="Q967" s="95"/>
      <c r="R967" s="95"/>
      <c r="V967" s="95"/>
      <c r="Z967" s="95"/>
      <c r="AD967" s="94"/>
    </row>
    <row r="968" spans="17:30" ht="12.75" x14ac:dyDescent="0.2">
      <c r="Q968" s="95"/>
      <c r="R968" s="95"/>
      <c r="V968" s="95"/>
      <c r="Z968" s="95"/>
      <c r="AD968" s="94"/>
    </row>
    <row r="969" spans="17:30" ht="12.75" x14ac:dyDescent="0.2">
      <c r="Q969" s="95"/>
      <c r="R969" s="95"/>
      <c r="V969" s="95"/>
      <c r="Z969" s="95"/>
      <c r="AD969" s="94"/>
    </row>
    <row r="970" spans="17:30" ht="12.75" x14ac:dyDescent="0.2">
      <c r="Q970" s="95"/>
      <c r="R970" s="95"/>
      <c r="V970" s="95"/>
      <c r="Z970" s="95"/>
      <c r="AD970" s="94"/>
    </row>
    <row r="971" spans="17:30" ht="12.75" x14ac:dyDescent="0.2">
      <c r="Q971" s="95"/>
      <c r="R971" s="95"/>
      <c r="V971" s="95"/>
      <c r="Z971" s="95"/>
      <c r="AD971" s="94"/>
    </row>
    <row r="972" spans="17:30" ht="12.75" x14ac:dyDescent="0.2">
      <c r="Q972" s="95"/>
      <c r="R972" s="95"/>
      <c r="V972" s="95"/>
      <c r="Z972" s="95"/>
      <c r="AD972" s="94"/>
    </row>
    <row r="973" spans="17:30" ht="12.75" x14ac:dyDescent="0.2">
      <c r="Q973" s="95"/>
      <c r="R973" s="95"/>
      <c r="V973" s="95"/>
      <c r="Z973" s="95"/>
      <c r="AD973" s="94"/>
    </row>
    <row r="974" spans="17:30" ht="12.75" x14ac:dyDescent="0.2">
      <c r="Q974" s="95"/>
      <c r="R974" s="95"/>
      <c r="V974" s="95"/>
      <c r="Z974" s="95"/>
      <c r="AD974" s="94"/>
    </row>
    <row r="975" spans="17:30" ht="12.75" x14ac:dyDescent="0.2">
      <c r="Q975" s="95"/>
      <c r="R975" s="95"/>
      <c r="V975" s="95"/>
      <c r="Z975" s="95"/>
      <c r="AD975" s="94"/>
    </row>
    <row r="976" spans="17:30" ht="12.75" x14ac:dyDescent="0.2">
      <c r="Q976" s="95"/>
      <c r="R976" s="95"/>
      <c r="V976" s="95"/>
      <c r="Z976" s="95"/>
      <c r="AD976" s="94"/>
    </row>
    <row r="977" spans="17:30" ht="12.75" x14ac:dyDescent="0.2">
      <c r="Q977" s="95"/>
      <c r="R977" s="95"/>
      <c r="V977" s="95"/>
      <c r="Z977" s="95"/>
      <c r="AD977" s="94"/>
    </row>
    <row r="978" spans="17:30" ht="12.75" x14ac:dyDescent="0.2">
      <c r="Q978" s="95"/>
      <c r="R978" s="95"/>
      <c r="V978" s="95"/>
      <c r="Z978" s="95"/>
      <c r="AD978" s="94"/>
    </row>
    <row r="979" spans="17:30" ht="12.75" x14ac:dyDescent="0.2">
      <c r="Q979" s="95"/>
      <c r="R979" s="95"/>
      <c r="V979" s="95"/>
      <c r="Z979" s="95"/>
      <c r="AD979" s="94"/>
    </row>
    <row r="980" spans="17:30" ht="12.75" x14ac:dyDescent="0.2">
      <c r="Q980" s="95"/>
      <c r="R980" s="95"/>
      <c r="V980" s="95"/>
      <c r="Z980" s="95"/>
      <c r="AD980" s="94"/>
    </row>
    <row r="981" spans="17:30" ht="12.75" x14ac:dyDescent="0.2">
      <c r="Q981" s="95"/>
      <c r="R981" s="95"/>
      <c r="V981" s="95"/>
      <c r="Z981" s="95"/>
      <c r="AD981" s="94"/>
    </row>
    <row r="982" spans="17:30" ht="12.75" x14ac:dyDescent="0.2">
      <c r="Q982" s="95"/>
      <c r="R982" s="95"/>
      <c r="V982" s="95"/>
      <c r="Z982" s="95"/>
      <c r="AD982" s="94"/>
    </row>
    <row r="983" spans="17:30" ht="12.75" x14ac:dyDescent="0.2">
      <c r="Q983" s="95"/>
      <c r="R983" s="95"/>
      <c r="V983" s="95"/>
      <c r="Z983" s="95"/>
      <c r="AD983" s="94"/>
    </row>
    <row r="984" spans="17:30" ht="12.75" x14ac:dyDescent="0.2">
      <c r="Q984" s="95"/>
      <c r="R984" s="95"/>
      <c r="V984" s="95"/>
      <c r="Z984" s="95"/>
      <c r="AD984" s="94"/>
    </row>
    <row r="985" spans="17:30" ht="12.75" x14ac:dyDescent="0.2">
      <c r="Q985" s="95"/>
      <c r="R985" s="95"/>
      <c r="V985" s="95"/>
      <c r="Z985" s="95"/>
      <c r="AD985" s="94"/>
    </row>
    <row r="986" spans="17:30" ht="12.75" x14ac:dyDescent="0.2">
      <c r="Q986" s="95"/>
      <c r="R986" s="95"/>
      <c r="V986" s="95"/>
      <c r="Z986" s="95"/>
      <c r="AD986" s="94"/>
    </row>
    <row r="987" spans="17:30" ht="12.75" x14ac:dyDescent="0.2">
      <c r="Q987" s="95"/>
      <c r="R987" s="95"/>
      <c r="V987" s="95"/>
      <c r="Z987" s="95"/>
      <c r="AD987" s="94"/>
    </row>
    <row r="988" spans="17:30" ht="12.75" x14ac:dyDescent="0.2">
      <c r="Q988" s="95"/>
      <c r="R988" s="95"/>
      <c r="V988" s="95"/>
      <c r="Z988" s="95"/>
      <c r="AD988" s="94"/>
    </row>
    <row r="989" spans="17:30" ht="12.75" x14ac:dyDescent="0.2">
      <c r="Q989" s="95"/>
      <c r="R989" s="95"/>
      <c r="V989" s="95"/>
      <c r="Z989" s="95"/>
      <c r="AD989" s="94"/>
    </row>
    <row r="990" spans="17:30" ht="12.75" x14ac:dyDescent="0.2">
      <c r="Q990" s="95"/>
      <c r="R990" s="95"/>
      <c r="V990" s="95"/>
      <c r="Z990" s="95"/>
      <c r="AD990" s="94"/>
    </row>
    <row r="991" spans="17:30" ht="12.75" x14ac:dyDescent="0.2">
      <c r="Q991" s="95"/>
      <c r="R991" s="95"/>
      <c r="V991" s="95"/>
      <c r="Z991" s="95"/>
      <c r="AD991" s="94"/>
    </row>
    <row r="992" spans="17:30" ht="12.75" x14ac:dyDescent="0.2">
      <c r="Q992" s="95"/>
      <c r="R992" s="95"/>
      <c r="V992" s="95"/>
      <c r="Z992" s="95"/>
      <c r="AD992" s="94"/>
    </row>
    <row r="993" spans="17:30" ht="12.75" x14ac:dyDescent="0.2">
      <c r="Q993" s="95"/>
      <c r="R993" s="95"/>
      <c r="V993" s="95"/>
      <c r="Z993" s="95"/>
      <c r="AD993" s="94"/>
    </row>
    <row r="994" spans="17:30" ht="12.75" x14ac:dyDescent="0.2">
      <c r="Q994" s="95"/>
      <c r="R994" s="95"/>
      <c r="V994" s="95"/>
      <c r="Z994" s="95"/>
      <c r="AD994" s="94"/>
    </row>
    <row r="995" spans="17:30" ht="12.75" x14ac:dyDescent="0.2">
      <c r="Q995" s="95"/>
      <c r="R995" s="95"/>
      <c r="V995" s="95"/>
      <c r="Z995" s="95"/>
      <c r="AD995" s="94"/>
    </row>
    <row r="996" spans="17:30" ht="12.75" x14ac:dyDescent="0.2">
      <c r="Q996" s="95"/>
      <c r="R996" s="95"/>
      <c r="V996" s="95"/>
      <c r="Z996" s="95"/>
      <c r="AD996" s="94"/>
    </row>
    <row r="997" spans="17:30" ht="12.75" x14ac:dyDescent="0.2">
      <c r="Q997" s="95"/>
      <c r="R997" s="95"/>
      <c r="V997" s="95"/>
      <c r="Z997" s="95"/>
      <c r="AD997" s="94"/>
    </row>
    <row r="998" spans="17:30" ht="12.75" x14ac:dyDescent="0.2">
      <c r="Q998" s="95"/>
      <c r="R998" s="95"/>
      <c r="V998" s="95"/>
      <c r="Z998" s="95"/>
      <c r="AD998" s="94"/>
    </row>
    <row r="999" spans="17:30" ht="12.75" x14ac:dyDescent="0.2">
      <c r="Q999" s="95"/>
      <c r="R999" s="95"/>
      <c r="V999" s="95"/>
      <c r="Z999" s="95"/>
      <c r="AD999" s="94"/>
    </row>
  </sheetData>
  <sheetProtection algorithmName="SHA-512" hashValue="tAMerE02DdAlzMFokibet9uXIFoJ8d4yzLVpy+p1aNAaKblshRfqQEyeKFB7q57FuD89ZoStm0TfgQcgmqWY4w==" saltValue="MapTxTK/cW/1nOiyaMWVLQ==" spinCount="100000" sheet="1" objects="1" scenarios="1"/>
  <mergeCells count="1">
    <mergeCell ref="A1:A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outlinePr summaryBelow="0" summaryRight="0"/>
  </sheetPr>
  <dimension ref="A1:R1001"/>
  <sheetViews>
    <sheetView workbookViewId="0">
      <selection activeCell="E21" sqref="E21"/>
    </sheetView>
  </sheetViews>
  <sheetFormatPr defaultColWidth="14.42578125" defaultRowHeight="15.75" customHeight="1" x14ac:dyDescent="0.2"/>
  <cols>
    <col min="1" max="1" width="20.140625" customWidth="1"/>
    <col min="2" max="2" width="21.140625" customWidth="1"/>
    <col min="3" max="3" width="28.140625" customWidth="1"/>
    <col min="4" max="4" width="24.28515625" customWidth="1"/>
    <col min="5" max="6" width="27.42578125" customWidth="1"/>
    <col min="7" max="7" width="26.140625" customWidth="1"/>
    <col min="8" max="8" width="24.140625" customWidth="1"/>
    <col min="13" max="13" width="20.42578125" customWidth="1"/>
    <col min="15" max="15" width="19.140625" customWidth="1"/>
  </cols>
  <sheetData>
    <row r="1" spans="1:18" ht="8.1" customHeight="1" x14ac:dyDescent="0.2"/>
    <row r="2" spans="1:18" ht="45" customHeight="1" x14ac:dyDescent="0.35">
      <c r="A2" s="344" t="s">
        <v>760</v>
      </c>
      <c r="B2" s="345"/>
      <c r="C2" s="345"/>
      <c r="D2" s="345"/>
      <c r="E2" s="345"/>
      <c r="F2" s="345"/>
      <c r="G2" s="345"/>
      <c r="H2" s="345"/>
      <c r="I2" s="345"/>
      <c r="J2" s="345"/>
      <c r="K2" s="345"/>
      <c r="L2" s="98"/>
      <c r="M2" s="98"/>
      <c r="O2" s="10"/>
      <c r="P2" s="10"/>
    </row>
    <row r="3" spans="1:18" ht="15.75" customHeight="1" x14ac:dyDescent="0.2">
      <c r="A3" s="99"/>
      <c r="B3" s="100"/>
      <c r="C3" s="100"/>
      <c r="D3" s="101"/>
      <c r="E3" s="101"/>
      <c r="F3" s="101"/>
      <c r="G3" s="101"/>
      <c r="H3" s="102"/>
      <c r="K3" s="11"/>
      <c r="L3" s="98"/>
      <c r="M3" s="98"/>
      <c r="O3" s="10"/>
      <c r="P3" s="10"/>
    </row>
    <row r="4" spans="1:18" ht="15.75" customHeight="1" x14ac:dyDescent="0.25">
      <c r="A4" s="99"/>
      <c r="B4" s="346" t="s">
        <v>761</v>
      </c>
      <c r="C4" s="333"/>
      <c r="D4" s="347" t="s">
        <v>762</v>
      </c>
      <c r="E4" s="348"/>
      <c r="F4" s="348"/>
      <c r="G4" s="348"/>
      <c r="H4" s="349"/>
      <c r="K4" s="28" t="s">
        <v>763</v>
      </c>
      <c r="L4" s="103" t="s">
        <v>26</v>
      </c>
      <c r="M4" s="103" t="s">
        <v>764</v>
      </c>
      <c r="O4" s="28" t="s">
        <v>765</v>
      </c>
      <c r="P4" s="28" t="s">
        <v>766</v>
      </c>
    </row>
    <row r="5" spans="1:18" ht="15.75" customHeight="1" x14ac:dyDescent="0.2">
      <c r="A5" s="99"/>
      <c r="B5" s="104"/>
      <c r="C5" s="105"/>
      <c r="D5" s="106" t="s">
        <v>20</v>
      </c>
      <c r="E5" s="106" t="s">
        <v>23</v>
      </c>
      <c r="F5" s="106" t="s">
        <v>24</v>
      </c>
      <c r="G5" s="106" t="s">
        <v>25</v>
      </c>
      <c r="H5" s="107" t="s">
        <v>767</v>
      </c>
      <c r="J5" s="4" t="s">
        <v>768</v>
      </c>
      <c r="K5" s="28">
        <v>8</v>
      </c>
      <c r="L5" s="103">
        <v>161980</v>
      </c>
      <c r="M5" s="98">
        <f t="shared" ref="M5:M43" si="0">L5/K5</f>
        <v>20247.5</v>
      </c>
      <c r="O5" s="98">
        <f>D8+E8</f>
        <v>64150</v>
      </c>
      <c r="P5" s="108">
        <f t="shared" ref="P5:P43" si="1">O5/K5</f>
        <v>8018.75</v>
      </c>
      <c r="R5" s="9">
        <f t="shared" ref="R5:R43" si="2">IF(K5 = 8, M5, " ")</f>
        <v>20247.5</v>
      </c>
    </row>
    <row r="6" spans="1:18" ht="15.75" customHeight="1" x14ac:dyDescent="0.2">
      <c r="A6" s="343" t="s">
        <v>769</v>
      </c>
      <c r="B6" s="333"/>
      <c r="C6" s="104"/>
      <c r="D6" s="110">
        <v>276837</v>
      </c>
      <c r="E6" s="110">
        <v>184553</v>
      </c>
      <c r="F6" s="110">
        <v>203948</v>
      </c>
      <c r="G6" s="110">
        <v>485143</v>
      </c>
      <c r="H6" s="110">
        <v>1150481</v>
      </c>
      <c r="J6" s="4" t="s">
        <v>770</v>
      </c>
      <c r="K6" s="28">
        <v>8</v>
      </c>
      <c r="L6" s="103">
        <v>405663</v>
      </c>
      <c r="M6" s="98">
        <f t="shared" si="0"/>
        <v>50707.875</v>
      </c>
      <c r="O6" s="98">
        <f>D29+E29</f>
        <v>162945</v>
      </c>
      <c r="P6" s="108">
        <f t="shared" si="1"/>
        <v>20368.125</v>
      </c>
      <c r="R6" s="9">
        <f t="shared" si="2"/>
        <v>50707.875</v>
      </c>
    </row>
    <row r="7" spans="1:18" ht="15.75" customHeight="1" x14ac:dyDescent="0.2">
      <c r="A7" s="111"/>
      <c r="B7" s="112" t="s">
        <v>771</v>
      </c>
      <c r="C7" s="109" t="s">
        <v>772</v>
      </c>
      <c r="D7" s="113"/>
      <c r="E7" s="113"/>
      <c r="F7" s="113"/>
      <c r="G7" s="113"/>
      <c r="H7" s="113"/>
      <c r="J7" s="4" t="s">
        <v>773</v>
      </c>
      <c r="K7" s="28">
        <v>8</v>
      </c>
      <c r="L7" s="103">
        <v>187990</v>
      </c>
      <c r="M7" s="98">
        <f t="shared" si="0"/>
        <v>23498.75</v>
      </c>
      <c r="O7" s="98">
        <f>D239+E239</f>
        <v>75620</v>
      </c>
      <c r="P7" s="108">
        <f t="shared" si="1"/>
        <v>9452.5</v>
      </c>
      <c r="R7" s="9">
        <f t="shared" si="2"/>
        <v>23498.75</v>
      </c>
    </row>
    <row r="8" spans="1:18" ht="15.75" customHeight="1" x14ac:dyDescent="0.25">
      <c r="A8" s="99"/>
      <c r="B8" s="114" t="s">
        <v>768</v>
      </c>
      <c r="C8" s="105"/>
      <c r="D8" s="115">
        <v>36450</v>
      </c>
      <c r="E8" s="115">
        <v>27700</v>
      </c>
      <c r="F8" s="115">
        <v>30610</v>
      </c>
      <c r="G8" s="115">
        <v>67220</v>
      </c>
      <c r="H8" s="115">
        <v>161980</v>
      </c>
      <c r="J8" s="4" t="s">
        <v>774</v>
      </c>
      <c r="K8" s="28">
        <v>8</v>
      </c>
      <c r="L8" s="103">
        <v>104970</v>
      </c>
      <c r="M8" s="98">
        <f t="shared" si="0"/>
        <v>13121.25</v>
      </c>
      <c r="O8" s="98">
        <f>D366+E366</f>
        <v>41780</v>
      </c>
      <c r="P8" s="108">
        <f t="shared" si="1"/>
        <v>5222.5</v>
      </c>
      <c r="R8" s="9">
        <f t="shared" si="2"/>
        <v>13121.25</v>
      </c>
    </row>
    <row r="9" spans="1:18" ht="15.75" customHeight="1" x14ac:dyDescent="0.2">
      <c r="A9" s="116" t="s">
        <v>46</v>
      </c>
      <c r="B9" s="104"/>
      <c r="C9" s="117"/>
      <c r="D9" s="118"/>
      <c r="E9" s="118"/>
      <c r="F9" s="118"/>
      <c r="G9" s="118"/>
      <c r="H9" s="118"/>
      <c r="J9" s="4" t="s">
        <v>775</v>
      </c>
      <c r="K9" s="28">
        <v>8</v>
      </c>
      <c r="L9" s="103">
        <v>10430</v>
      </c>
      <c r="M9" s="98">
        <f t="shared" si="0"/>
        <v>1303.75</v>
      </c>
      <c r="O9" s="98">
        <f>D408+E408</f>
        <v>4156</v>
      </c>
      <c r="P9" s="108">
        <f t="shared" si="1"/>
        <v>519.5</v>
      </c>
      <c r="R9" s="9">
        <f t="shared" si="2"/>
        <v>1303.75</v>
      </c>
    </row>
    <row r="10" spans="1:18" ht="15.75" customHeight="1" x14ac:dyDescent="0.2">
      <c r="A10" s="119">
        <v>1</v>
      </c>
      <c r="B10" s="120" t="s">
        <v>46</v>
      </c>
      <c r="C10" s="120" t="s">
        <v>776</v>
      </c>
      <c r="D10" s="121">
        <v>912</v>
      </c>
      <c r="E10" s="121">
        <v>693</v>
      </c>
      <c r="F10" s="122">
        <v>1062</v>
      </c>
      <c r="G10" s="122">
        <v>2332</v>
      </c>
      <c r="H10" s="123">
        <v>4999</v>
      </c>
      <c r="J10" s="4" t="s">
        <v>777</v>
      </c>
      <c r="K10" s="28">
        <v>8</v>
      </c>
      <c r="L10" s="103">
        <v>2194</v>
      </c>
      <c r="M10" s="98">
        <f t="shared" si="0"/>
        <v>274.25</v>
      </c>
      <c r="O10" s="11">
        <f>D431+E431</f>
        <v>835</v>
      </c>
      <c r="P10" s="108">
        <f t="shared" si="1"/>
        <v>104.375</v>
      </c>
      <c r="R10" s="9">
        <f t="shared" si="2"/>
        <v>274.25</v>
      </c>
    </row>
    <row r="11" spans="1:18" ht="15.75" customHeight="1" x14ac:dyDescent="0.2">
      <c r="A11" s="119">
        <v>2</v>
      </c>
      <c r="B11" s="120" t="s">
        <v>46</v>
      </c>
      <c r="C11" s="120" t="s">
        <v>778</v>
      </c>
      <c r="D11" s="122">
        <v>3209</v>
      </c>
      <c r="E11" s="122">
        <v>2439</v>
      </c>
      <c r="F11" s="122">
        <v>2257</v>
      </c>
      <c r="G11" s="122">
        <v>4956</v>
      </c>
      <c r="H11" s="123">
        <v>12861</v>
      </c>
      <c r="J11" s="4" t="s">
        <v>779</v>
      </c>
      <c r="K11" s="28">
        <v>8</v>
      </c>
      <c r="L11" s="103">
        <v>41470</v>
      </c>
      <c r="M11" s="98">
        <f t="shared" si="0"/>
        <v>5183.75</v>
      </c>
      <c r="O11" s="98">
        <f>D435+E435</f>
        <v>17005</v>
      </c>
      <c r="P11" s="108">
        <f t="shared" si="1"/>
        <v>2125.625</v>
      </c>
      <c r="R11" s="9">
        <f t="shared" si="2"/>
        <v>5183.75</v>
      </c>
    </row>
    <row r="12" spans="1:18" ht="15.75" customHeight="1" x14ac:dyDescent="0.2">
      <c r="A12" s="119">
        <v>3</v>
      </c>
      <c r="B12" s="120" t="s">
        <v>46</v>
      </c>
      <c r="C12" s="120" t="s">
        <v>780</v>
      </c>
      <c r="D12" s="121">
        <v>13</v>
      </c>
      <c r="E12" s="121">
        <v>9</v>
      </c>
      <c r="F12" s="121">
        <v>9</v>
      </c>
      <c r="G12" s="121">
        <v>19</v>
      </c>
      <c r="H12" s="124">
        <v>50</v>
      </c>
      <c r="J12" s="4" t="s">
        <v>781</v>
      </c>
      <c r="K12" s="28">
        <v>8</v>
      </c>
      <c r="L12" s="103">
        <v>67673</v>
      </c>
      <c r="M12" s="98">
        <f t="shared" si="0"/>
        <v>8459.125</v>
      </c>
      <c r="O12" s="98">
        <f>D452+E452</f>
        <v>27405</v>
      </c>
      <c r="P12" s="108">
        <f t="shared" si="1"/>
        <v>3425.625</v>
      </c>
      <c r="R12" s="9">
        <f t="shared" si="2"/>
        <v>8459.125</v>
      </c>
    </row>
    <row r="13" spans="1:18" ht="15.75" customHeight="1" x14ac:dyDescent="0.2">
      <c r="A13" s="119">
        <v>4</v>
      </c>
      <c r="B13" s="120" t="s">
        <v>46</v>
      </c>
      <c r="C13" s="120" t="s">
        <v>782</v>
      </c>
      <c r="D13" s="121">
        <v>7</v>
      </c>
      <c r="E13" s="121">
        <v>5</v>
      </c>
      <c r="F13" s="121">
        <v>15</v>
      </c>
      <c r="G13" s="121">
        <v>34</v>
      </c>
      <c r="H13" s="124">
        <v>61</v>
      </c>
      <c r="J13" s="4" t="s">
        <v>783</v>
      </c>
      <c r="K13" s="28">
        <v>8</v>
      </c>
      <c r="L13" s="103">
        <v>10320</v>
      </c>
      <c r="M13" s="98">
        <f t="shared" si="0"/>
        <v>1290</v>
      </c>
      <c r="O13" s="98">
        <f>D465+E465</f>
        <v>4215</v>
      </c>
      <c r="P13" s="108">
        <f t="shared" si="1"/>
        <v>526.875</v>
      </c>
      <c r="R13" s="9">
        <f t="shared" si="2"/>
        <v>1290</v>
      </c>
    </row>
    <row r="14" spans="1:18" ht="15.75" customHeight="1" x14ac:dyDescent="0.2">
      <c r="A14" s="119">
        <v>5</v>
      </c>
      <c r="B14" s="120" t="s">
        <v>46</v>
      </c>
      <c r="C14" s="120" t="s">
        <v>784</v>
      </c>
      <c r="D14" s="122">
        <v>1448</v>
      </c>
      <c r="E14" s="122">
        <v>1101</v>
      </c>
      <c r="F14" s="122">
        <v>1019</v>
      </c>
      <c r="G14" s="122">
        <v>2237</v>
      </c>
      <c r="H14" s="123">
        <v>5805</v>
      </c>
      <c r="J14" s="4" t="s">
        <v>785</v>
      </c>
      <c r="K14" s="28">
        <v>5</v>
      </c>
      <c r="L14" s="103">
        <v>2060</v>
      </c>
      <c r="M14" s="98">
        <f t="shared" si="0"/>
        <v>412</v>
      </c>
      <c r="O14" s="11">
        <f>D472+E472</f>
        <v>820</v>
      </c>
      <c r="P14" s="108">
        <f t="shared" si="1"/>
        <v>164</v>
      </c>
      <c r="R14" s="45" t="str">
        <f t="shared" si="2"/>
        <v xml:space="preserve"> </v>
      </c>
    </row>
    <row r="15" spans="1:18" ht="15.75" customHeight="1" x14ac:dyDescent="0.2">
      <c r="A15" s="119">
        <v>6</v>
      </c>
      <c r="B15" s="120" t="s">
        <v>46</v>
      </c>
      <c r="C15" s="120" t="s">
        <v>786</v>
      </c>
      <c r="D15" s="121">
        <v>587</v>
      </c>
      <c r="E15" s="121">
        <v>446</v>
      </c>
      <c r="F15" s="121">
        <v>413</v>
      </c>
      <c r="G15" s="121">
        <v>907</v>
      </c>
      <c r="H15" s="123">
        <v>2353</v>
      </c>
      <c r="J15" s="4" t="s">
        <v>787</v>
      </c>
      <c r="K15" s="28">
        <v>8</v>
      </c>
      <c r="L15" s="103">
        <v>10220</v>
      </c>
      <c r="M15" s="98">
        <f t="shared" si="0"/>
        <v>1277.5</v>
      </c>
      <c r="O15" s="98">
        <f>D481+E481</f>
        <v>4055</v>
      </c>
      <c r="P15" s="108">
        <f t="shared" si="1"/>
        <v>506.875</v>
      </c>
      <c r="R15" s="9">
        <f t="shared" si="2"/>
        <v>1277.5</v>
      </c>
    </row>
    <row r="16" spans="1:18" ht="15.75" customHeight="1" x14ac:dyDescent="0.2">
      <c r="A16" s="119">
        <v>7</v>
      </c>
      <c r="B16" s="120" t="s">
        <v>46</v>
      </c>
      <c r="C16" s="120" t="s">
        <v>788</v>
      </c>
      <c r="D16" s="122">
        <v>1042</v>
      </c>
      <c r="E16" s="121">
        <v>791</v>
      </c>
      <c r="F16" s="121">
        <v>733</v>
      </c>
      <c r="G16" s="122">
        <v>1609</v>
      </c>
      <c r="H16" s="123">
        <v>4175</v>
      </c>
      <c r="J16" s="4" t="s">
        <v>789</v>
      </c>
      <c r="K16" s="28">
        <v>8</v>
      </c>
      <c r="L16" s="103">
        <v>2070</v>
      </c>
      <c r="M16" s="98">
        <f t="shared" si="0"/>
        <v>258.75</v>
      </c>
      <c r="O16" s="11">
        <f>D487+E487</f>
        <v>830</v>
      </c>
      <c r="P16" s="108">
        <f t="shared" si="1"/>
        <v>103.75</v>
      </c>
      <c r="R16" s="9">
        <f t="shared" si="2"/>
        <v>258.75</v>
      </c>
    </row>
    <row r="17" spans="1:18" ht="15.75" customHeight="1" x14ac:dyDescent="0.2">
      <c r="A17" s="119">
        <v>8</v>
      </c>
      <c r="B17" s="120" t="s">
        <v>46</v>
      </c>
      <c r="C17" s="120" t="s">
        <v>790</v>
      </c>
      <c r="D17" s="121">
        <v>63</v>
      </c>
      <c r="E17" s="121">
        <v>48</v>
      </c>
      <c r="F17" s="121">
        <v>45</v>
      </c>
      <c r="G17" s="121">
        <v>98</v>
      </c>
      <c r="H17" s="124">
        <v>254</v>
      </c>
      <c r="J17" s="4" t="s">
        <v>791</v>
      </c>
      <c r="K17" s="28">
        <v>5</v>
      </c>
      <c r="L17" s="103">
        <v>250</v>
      </c>
      <c r="M17" s="98">
        <f t="shared" si="0"/>
        <v>50</v>
      </c>
      <c r="O17" s="11">
        <f>D491+E491</f>
        <v>100</v>
      </c>
      <c r="P17" s="108">
        <f t="shared" si="1"/>
        <v>20</v>
      </c>
      <c r="R17" s="45" t="str">
        <f t="shared" si="2"/>
        <v xml:space="preserve"> </v>
      </c>
    </row>
    <row r="18" spans="1:18" ht="15.75" customHeight="1" x14ac:dyDescent="0.2">
      <c r="A18" s="119">
        <v>9</v>
      </c>
      <c r="B18" s="120" t="s">
        <v>46</v>
      </c>
      <c r="C18" s="120" t="s">
        <v>792</v>
      </c>
      <c r="D18" s="121">
        <v>430</v>
      </c>
      <c r="E18" s="121">
        <v>326</v>
      </c>
      <c r="F18" s="121">
        <v>302</v>
      </c>
      <c r="G18" s="121">
        <v>664</v>
      </c>
      <c r="H18" s="123">
        <v>1722</v>
      </c>
      <c r="J18" s="4" t="s">
        <v>793</v>
      </c>
      <c r="K18" s="28">
        <v>8</v>
      </c>
      <c r="L18" s="103">
        <v>15850</v>
      </c>
      <c r="M18" s="98">
        <f t="shared" si="0"/>
        <v>1981.25</v>
      </c>
      <c r="O18" s="98">
        <f>D497+E497</f>
        <v>6590</v>
      </c>
      <c r="P18" s="108">
        <f t="shared" si="1"/>
        <v>823.75</v>
      </c>
      <c r="R18" s="9">
        <f t="shared" si="2"/>
        <v>1981.25</v>
      </c>
    </row>
    <row r="19" spans="1:18" ht="15.75" customHeight="1" x14ac:dyDescent="0.2">
      <c r="A19" s="119">
        <v>10</v>
      </c>
      <c r="B19" s="120" t="s">
        <v>46</v>
      </c>
      <c r="C19" s="120" t="s">
        <v>794</v>
      </c>
      <c r="D19" s="121">
        <v>77</v>
      </c>
      <c r="E19" s="121">
        <v>59</v>
      </c>
      <c r="F19" s="121">
        <v>54</v>
      </c>
      <c r="G19" s="121">
        <v>119</v>
      </c>
      <c r="H19" s="124">
        <v>309</v>
      </c>
      <c r="J19" s="4" t="s">
        <v>795</v>
      </c>
      <c r="K19" s="28">
        <v>8</v>
      </c>
      <c r="L19" s="103">
        <v>40360</v>
      </c>
      <c r="M19" s="98">
        <f t="shared" si="0"/>
        <v>5045</v>
      </c>
      <c r="O19" s="98">
        <f>D505+E505</f>
        <v>15985</v>
      </c>
      <c r="P19" s="108">
        <f t="shared" si="1"/>
        <v>1998.125</v>
      </c>
      <c r="R19" s="9">
        <f t="shared" si="2"/>
        <v>5045</v>
      </c>
    </row>
    <row r="20" spans="1:18" ht="15.75" customHeight="1" x14ac:dyDescent="0.2">
      <c r="A20" s="119">
        <v>11</v>
      </c>
      <c r="B20" s="120" t="s">
        <v>46</v>
      </c>
      <c r="C20" s="120" t="s">
        <v>796</v>
      </c>
      <c r="D20" s="121">
        <v>465</v>
      </c>
      <c r="E20" s="121">
        <v>353</v>
      </c>
      <c r="F20" s="121">
        <v>327</v>
      </c>
      <c r="G20" s="121">
        <v>718</v>
      </c>
      <c r="H20" s="123">
        <v>1863</v>
      </c>
      <c r="J20" s="4" t="s">
        <v>797</v>
      </c>
      <c r="K20" s="28">
        <v>5</v>
      </c>
      <c r="L20" s="103">
        <v>4091</v>
      </c>
      <c r="M20" s="98">
        <f t="shared" si="0"/>
        <v>818.2</v>
      </c>
      <c r="O20" s="98">
        <f>D514+E514</f>
        <v>1661</v>
      </c>
      <c r="P20" s="108">
        <f t="shared" si="1"/>
        <v>332.2</v>
      </c>
      <c r="R20" s="45" t="str">
        <f t="shared" si="2"/>
        <v xml:space="preserve"> </v>
      </c>
    </row>
    <row r="21" spans="1:18" ht="15.75" customHeight="1" x14ac:dyDescent="0.2">
      <c r="A21" s="119">
        <v>12</v>
      </c>
      <c r="B21" s="120" t="s">
        <v>46</v>
      </c>
      <c r="C21" s="120" t="s">
        <v>798</v>
      </c>
      <c r="D21" s="122">
        <v>1549</v>
      </c>
      <c r="E21" s="122">
        <v>1178</v>
      </c>
      <c r="F21" s="122">
        <v>1090</v>
      </c>
      <c r="G21" s="122">
        <v>2393</v>
      </c>
      <c r="H21" s="123">
        <v>6210</v>
      </c>
      <c r="J21" s="4" t="s">
        <v>799</v>
      </c>
      <c r="K21" s="28">
        <v>8</v>
      </c>
      <c r="L21" s="103">
        <v>11030</v>
      </c>
      <c r="M21" s="98">
        <f t="shared" si="0"/>
        <v>1378.75</v>
      </c>
      <c r="O21" s="98">
        <f>D523+E523</f>
        <v>4436</v>
      </c>
      <c r="P21" s="108">
        <f t="shared" si="1"/>
        <v>554.5</v>
      </c>
      <c r="R21" s="9">
        <f t="shared" si="2"/>
        <v>1378.75</v>
      </c>
    </row>
    <row r="22" spans="1:18" ht="15.75" customHeight="1" x14ac:dyDescent="0.2">
      <c r="A22" s="119">
        <v>13</v>
      </c>
      <c r="B22" s="120" t="s">
        <v>46</v>
      </c>
      <c r="C22" s="120" t="s">
        <v>800</v>
      </c>
      <c r="D22" s="121">
        <v>201</v>
      </c>
      <c r="E22" s="121">
        <v>152</v>
      </c>
      <c r="F22" s="121">
        <v>282</v>
      </c>
      <c r="G22" s="121">
        <v>618</v>
      </c>
      <c r="H22" s="123">
        <v>1253</v>
      </c>
      <c r="J22" s="4" t="s">
        <v>801</v>
      </c>
      <c r="K22" s="28">
        <v>8</v>
      </c>
      <c r="L22" s="103">
        <v>21330</v>
      </c>
      <c r="M22" s="98">
        <f t="shared" si="0"/>
        <v>2666.25</v>
      </c>
      <c r="O22" s="98">
        <f>D533+E533</f>
        <v>8575</v>
      </c>
      <c r="P22" s="108">
        <f t="shared" si="1"/>
        <v>1071.875</v>
      </c>
      <c r="R22" s="9">
        <f t="shared" si="2"/>
        <v>2666.25</v>
      </c>
    </row>
    <row r="23" spans="1:18" ht="15.75" customHeight="1" x14ac:dyDescent="0.2">
      <c r="A23" s="119">
        <v>14</v>
      </c>
      <c r="B23" s="120" t="s">
        <v>46</v>
      </c>
      <c r="C23" s="120" t="s">
        <v>46</v>
      </c>
      <c r="D23" s="122">
        <v>21977</v>
      </c>
      <c r="E23" s="122">
        <v>16703</v>
      </c>
      <c r="F23" s="122">
        <v>15462</v>
      </c>
      <c r="G23" s="122">
        <v>33954</v>
      </c>
      <c r="H23" s="123">
        <v>88096</v>
      </c>
      <c r="J23" s="4" t="s">
        <v>802</v>
      </c>
      <c r="K23" s="28">
        <v>8</v>
      </c>
      <c r="L23" s="103">
        <v>26910</v>
      </c>
      <c r="M23" s="98">
        <f t="shared" si="0"/>
        <v>3363.75</v>
      </c>
      <c r="O23" s="98">
        <f>D544+E544</f>
        <v>10870</v>
      </c>
      <c r="P23" s="108">
        <f t="shared" si="1"/>
        <v>1358.75</v>
      </c>
      <c r="R23" s="9">
        <f t="shared" si="2"/>
        <v>3363.75</v>
      </c>
    </row>
    <row r="24" spans="1:18" ht="15.75" customHeight="1" x14ac:dyDescent="0.2">
      <c r="A24" s="119">
        <v>15</v>
      </c>
      <c r="B24" s="120" t="s">
        <v>46</v>
      </c>
      <c r="C24" s="120" t="s">
        <v>803</v>
      </c>
      <c r="D24" s="122">
        <v>1043</v>
      </c>
      <c r="E24" s="121">
        <v>793</v>
      </c>
      <c r="F24" s="121">
        <v>734</v>
      </c>
      <c r="G24" s="122">
        <v>1613</v>
      </c>
      <c r="H24" s="123">
        <v>4183</v>
      </c>
      <c r="J24" s="4" t="s">
        <v>91</v>
      </c>
      <c r="K24" s="28">
        <v>5</v>
      </c>
      <c r="L24" s="103">
        <v>30</v>
      </c>
      <c r="M24" s="98">
        <f t="shared" si="0"/>
        <v>6</v>
      </c>
      <c r="O24" s="11">
        <f t="shared" ref="O24:O25" si="3">D556+E556</f>
        <v>13</v>
      </c>
      <c r="P24" s="108">
        <f t="shared" si="1"/>
        <v>2.6</v>
      </c>
      <c r="R24" s="45" t="str">
        <f t="shared" si="2"/>
        <v xml:space="preserve"> </v>
      </c>
    </row>
    <row r="25" spans="1:18" ht="15.75" customHeight="1" x14ac:dyDescent="0.2">
      <c r="A25" s="119">
        <v>16</v>
      </c>
      <c r="B25" s="120" t="s">
        <v>46</v>
      </c>
      <c r="C25" s="120" t="s">
        <v>804</v>
      </c>
      <c r="D25" s="121">
        <v>914</v>
      </c>
      <c r="E25" s="121">
        <v>694</v>
      </c>
      <c r="F25" s="121">
        <v>642</v>
      </c>
      <c r="G25" s="122">
        <v>1410</v>
      </c>
      <c r="H25" s="123">
        <v>3660</v>
      </c>
      <c r="J25" s="4" t="s">
        <v>99</v>
      </c>
      <c r="K25" s="28">
        <v>5</v>
      </c>
      <c r="L25" s="103">
        <v>100</v>
      </c>
      <c r="M25" s="98">
        <f t="shared" si="0"/>
        <v>20</v>
      </c>
      <c r="O25" s="11">
        <f t="shared" si="3"/>
        <v>38</v>
      </c>
      <c r="P25" s="108">
        <f t="shared" si="1"/>
        <v>7.6</v>
      </c>
      <c r="R25" s="45" t="str">
        <f t="shared" si="2"/>
        <v xml:space="preserve"> </v>
      </c>
    </row>
    <row r="26" spans="1:18" ht="15.75" customHeight="1" x14ac:dyDescent="0.2">
      <c r="A26" s="119">
        <v>17</v>
      </c>
      <c r="B26" s="120" t="s">
        <v>46</v>
      </c>
      <c r="C26" s="120" t="s">
        <v>805</v>
      </c>
      <c r="D26" s="121">
        <v>85</v>
      </c>
      <c r="E26" s="121">
        <v>65</v>
      </c>
      <c r="F26" s="121">
        <v>59</v>
      </c>
      <c r="G26" s="121">
        <v>131</v>
      </c>
      <c r="H26" s="124">
        <v>340</v>
      </c>
      <c r="J26" s="4" t="s">
        <v>84</v>
      </c>
      <c r="K26" s="28">
        <v>5</v>
      </c>
      <c r="L26" s="103">
        <v>1240</v>
      </c>
      <c r="M26" s="98">
        <f t="shared" si="0"/>
        <v>248</v>
      </c>
      <c r="O26" s="11">
        <f>D564+E564</f>
        <v>480</v>
      </c>
      <c r="P26" s="108">
        <f t="shared" si="1"/>
        <v>96</v>
      </c>
      <c r="R26" s="45" t="str">
        <f t="shared" si="2"/>
        <v xml:space="preserve"> </v>
      </c>
    </row>
    <row r="27" spans="1:18" ht="15.75" customHeight="1" x14ac:dyDescent="0.2">
      <c r="A27" s="119">
        <v>18</v>
      </c>
      <c r="B27" s="120" t="s">
        <v>46</v>
      </c>
      <c r="C27" s="120" t="s">
        <v>806</v>
      </c>
      <c r="D27" s="121">
        <v>343</v>
      </c>
      <c r="E27" s="121">
        <v>260</v>
      </c>
      <c r="F27" s="121">
        <v>241</v>
      </c>
      <c r="G27" s="121">
        <v>530</v>
      </c>
      <c r="H27" s="123">
        <v>1374</v>
      </c>
      <c r="J27" s="4" t="s">
        <v>94</v>
      </c>
      <c r="K27" s="28">
        <v>5</v>
      </c>
      <c r="L27" s="103">
        <v>1160</v>
      </c>
      <c r="M27" s="98">
        <f t="shared" si="0"/>
        <v>232</v>
      </c>
      <c r="O27" s="11">
        <f>D567+E567</f>
        <v>460</v>
      </c>
      <c r="P27" s="108">
        <f t="shared" si="1"/>
        <v>92</v>
      </c>
      <c r="R27" s="45" t="str">
        <f t="shared" si="2"/>
        <v xml:space="preserve"> </v>
      </c>
    </row>
    <row r="28" spans="1:18" ht="15.75" customHeight="1" x14ac:dyDescent="0.2">
      <c r="A28" s="119">
        <v>19</v>
      </c>
      <c r="B28" s="120" t="s">
        <v>46</v>
      </c>
      <c r="C28" s="120" t="s">
        <v>807</v>
      </c>
      <c r="D28" s="122">
        <v>2085</v>
      </c>
      <c r="E28" s="122">
        <v>1585</v>
      </c>
      <c r="F28" s="122">
        <v>5864</v>
      </c>
      <c r="G28" s="122">
        <v>12878</v>
      </c>
      <c r="H28" s="123">
        <v>22412</v>
      </c>
      <c r="J28" s="4" t="s">
        <v>103</v>
      </c>
      <c r="K28" s="28">
        <v>5</v>
      </c>
      <c r="L28" s="103">
        <v>310</v>
      </c>
      <c r="M28" s="98">
        <f t="shared" si="0"/>
        <v>62</v>
      </c>
      <c r="O28" s="11">
        <f>D571+E571</f>
        <v>130</v>
      </c>
      <c r="P28" s="108">
        <f t="shared" si="1"/>
        <v>26</v>
      </c>
      <c r="R28" s="45" t="str">
        <f t="shared" si="2"/>
        <v xml:space="preserve"> </v>
      </c>
    </row>
    <row r="29" spans="1:18" ht="15.75" customHeight="1" x14ac:dyDescent="0.25">
      <c r="A29" s="99"/>
      <c r="B29" s="125" t="s">
        <v>770</v>
      </c>
      <c r="C29" s="126"/>
      <c r="D29" s="115">
        <v>98999</v>
      </c>
      <c r="E29" s="115">
        <v>63946</v>
      </c>
      <c r="F29" s="115">
        <v>71052</v>
      </c>
      <c r="G29" s="115">
        <v>171666</v>
      </c>
      <c r="H29" s="115">
        <v>405663</v>
      </c>
      <c r="J29" s="4" t="s">
        <v>93</v>
      </c>
      <c r="K29" s="28">
        <v>5</v>
      </c>
      <c r="L29" s="103">
        <v>260</v>
      </c>
      <c r="M29" s="98">
        <f t="shared" si="0"/>
        <v>52</v>
      </c>
      <c r="O29" s="11">
        <f>D574+E574</f>
        <v>100</v>
      </c>
      <c r="P29" s="108">
        <f t="shared" si="1"/>
        <v>20</v>
      </c>
      <c r="R29" s="45" t="str">
        <f t="shared" si="2"/>
        <v xml:space="preserve"> </v>
      </c>
    </row>
    <row r="30" spans="1:18" ht="15.75" customHeight="1" x14ac:dyDescent="0.25">
      <c r="A30" s="99"/>
      <c r="B30" s="127"/>
      <c r="C30" s="128" t="s">
        <v>808</v>
      </c>
      <c r="D30" s="129">
        <v>2561</v>
      </c>
      <c r="E30" s="129">
        <v>1552</v>
      </c>
      <c r="F30" s="129">
        <v>1545</v>
      </c>
      <c r="G30" s="129">
        <v>4419</v>
      </c>
      <c r="H30" s="129">
        <v>10077</v>
      </c>
      <c r="J30" s="4" t="s">
        <v>104</v>
      </c>
      <c r="K30" s="28">
        <v>5</v>
      </c>
      <c r="L30" s="103">
        <v>225</v>
      </c>
      <c r="M30" s="98">
        <f t="shared" si="0"/>
        <v>45</v>
      </c>
      <c r="O30" s="11">
        <f>D578+E578</f>
        <v>85</v>
      </c>
      <c r="P30" s="108">
        <f t="shared" si="1"/>
        <v>17</v>
      </c>
      <c r="R30" s="45" t="str">
        <f t="shared" si="2"/>
        <v xml:space="preserve"> </v>
      </c>
    </row>
    <row r="31" spans="1:18" ht="15.75" customHeight="1" x14ac:dyDescent="0.25">
      <c r="A31" s="99"/>
      <c r="B31" s="127"/>
      <c r="C31" s="128" t="s">
        <v>809</v>
      </c>
      <c r="D31" s="129">
        <v>45672</v>
      </c>
      <c r="E31" s="129">
        <v>27469</v>
      </c>
      <c r="F31" s="129">
        <v>30043</v>
      </c>
      <c r="G31" s="129">
        <v>76697</v>
      </c>
      <c r="H31" s="129">
        <v>179881</v>
      </c>
      <c r="J31" s="4" t="s">
        <v>810</v>
      </c>
      <c r="K31" s="28">
        <v>5</v>
      </c>
      <c r="L31" s="103">
        <v>70</v>
      </c>
      <c r="M31" s="98">
        <f t="shared" si="0"/>
        <v>14</v>
      </c>
      <c r="O31" s="11">
        <f>D581+E581</f>
        <v>27</v>
      </c>
      <c r="P31" s="108">
        <f t="shared" si="1"/>
        <v>5.4</v>
      </c>
      <c r="R31" s="45" t="str">
        <f t="shared" si="2"/>
        <v xml:space="preserve"> </v>
      </c>
    </row>
    <row r="32" spans="1:18" ht="15.75" customHeight="1" x14ac:dyDescent="0.25">
      <c r="A32" s="99"/>
      <c r="B32" s="127"/>
      <c r="C32" s="128" t="s">
        <v>811</v>
      </c>
      <c r="D32" s="129">
        <v>8734</v>
      </c>
      <c r="E32" s="129">
        <v>6246</v>
      </c>
      <c r="F32" s="129">
        <v>6971</v>
      </c>
      <c r="G32" s="129">
        <v>16015</v>
      </c>
      <c r="H32" s="129">
        <v>37966</v>
      </c>
      <c r="J32" s="4" t="s">
        <v>61</v>
      </c>
      <c r="K32" s="28">
        <v>5</v>
      </c>
      <c r="L32" s="103">
        <v>12895</v>
      </c>
      <c r="M32" s="98">
        <f t="shared" si="0"/>
        <v>2579</v>
      </c>
      <c r="O32" s="98">
        <f>D584+E584</f>
        <v>5120</v>
      </c>
      <c r="P32" s="108">
        <f t="shared" si="1"/>
        <v>1024</v>
      </c>
      <c r="R32" s="45" t="str">
        <f t="shared" si="2"/>
        <v xml:space="preserve"> </v>
      </c>
    </row>
    <row r="33" spans="1:18" ht="15.75" customHeight="1" x14ac:dyDescent="0.25">
      <c r="A33" s="99"/>
      <c r="B33" s="127"/>
      <c r="C33" s="128" t="s">
        <v>812</v>
      </c>
      <c r="D33" s="129">
        <v>24117</v>
      </c>
      <c r="E33" s="129">
        <v>16319</v>
      </c>
      <c r="F33" s="129">
        <v>18459</v>
      </c>
      <c r="G33" s="129">
        <v>42479</v>
      </c>
      <c r="H33" s="129">
        <v>101374</v>
      </c>
      <c r="J33" s="4" t="s">
        <v>96</v>
      </c>
      <c r="K33" s="28">
        <v>5</v>
      </c>
      <c r="L33" s="103">
        <v>995</v>
      </c>
      <c r="M33" s="98">
        <f t="shared" si="0"/>
        <v>199</v>
      </c>
      <c r="O33" s="11">
        <f t="shared" ref="O33:O34" si="4">D588+E588</f>
        <v>395</v>
      </c>
      <c r="P33" s="108">
        <f t="shared" si="1"/>
        <v>79</v>
      </c>
      <c r="R33" s="45" t="str">
        <f t="shared" si="2"/>
        <v xml:space="preserve"> </v>
      </c>
    </row>
    <row r="34" spans="1:18" ht="15.75" customHeight="1" x14ac:dyDescent="0.25">
      <c r="A34" s="99"/>
      <c r="B34" s="127"/>
      <c r="C34" s="128" t="s">
        <v>813</v>
      </c>
      <c r="D34" s="129">
        <v>13399</v>
      </c>
      <c r="E34" s="129">
        <v>9265</v>
      </c>
      <c r="F34" s="129">
        <v>10490</v>
      </c>
      <c r="G34" s="129">
        <v>24053</v>
      </c>
      <c r="H34" s="129">
        <v>57207</v>
      </c>
      <c r="J34" s="4" t="s">
        <v>107</v>
      </c>
      <c r="K34" s="28">
        <v>5</v>
      </c>
      <c r="L34" s="103">
        <v>15</v>
      </c>
      <c r="M34" s="98">
        <f t="shared" si="0"/>
        <v>3</v>
      </c>
      <c r="O34" s="11">
        <f t="shared" si="4"/>
        <v>6</v>
      </c>
      <c r="P34" s="108">
        <f t="shared" si="1"/>
        <v>1.2</v>
      </c>
      <c r="R34" s="45" t="str">
        <f t="shared" si="2"/>
        <v xml:space="preserve"> </v>
      </c>
    </row>
    <row r="35" spans="1:18" ht="15.75" customHeight="1" x14ac:dyDescent="0.25">
      <c r="A35" s="99"/>
      <c r="B35" s="130"/>
      <c r="C35" s="131" t="s">
        <v>814</v>
      </c>
      <c r="D35" s="129">
        <v>4516</v>
      </c>
      <c r="E35" s="129">
        <v>3095</v>
      </c>
      <c r="F35" s="129">
        <v>3544</v>
      </c>
      <c r="G35" s="129">
        <v>8003</v>
      </c>
      <c r="H35" s="129">
        <v>19158</v>
      </c>
      <c r="J35" s="4" t="s">
        <v>97</v>
      </c>
      <c r="K35" s="28">
        <v>5</v>
      </c>
      <c r="L35" s="103">
        <v>120</v>
      </c>
      <c r="M35" s="98">
        <f t="shared" si="0"/>
        <v>24</v>
      </c>
      <c r="O35" s="11">
        <f>D592+E592</f>
        <v>47</v>
      </c>
      <c r="P35" s="108">
        <f t="shared" si="1"/>
        <v>9.4</v>
      </c>
      <c r="R35" s="45" t="str">
        <f t="shared" si="2"/>
        <v xml:space="preserve"> </v>
      </c>
    </row>
    <row r="36" spans="1:18" ht="15.75" customHeight="1" x14ac:dyDescent="0.2">
      <c r="A36" s="99"/>
      <c r="B36" s="116" t="s">
        <v>79</v>
      </c>
      <c r="C36" s="117"/>
      <c r="D36" s="115">
        <v>2561</v>
      </c>
      <c r="E36" s="115">
        <v>1552</v>
      </c>
      <c r="F36" s="115">
        <v>1545</v>
      </c>
      <c r="G36" s="115">
        <v>4419</v>
      </c>
      <c r="H36" s="115">
        <v>10077</v>
      </c>
      <c r="J36" s="4" t="s">
        <v>81</v>
      </c>
      <c r="K36" s="28">
        <v>5</v>
      </c>
      <c r="L36" s="103">
        <v>1839</v>
      </c>
      <c r="M36" s="98">
        <f t="shared" si="0"/>
        <v>367.8</v>
      </c>
      <c r="O36" s="11">
        <f>D595+E595</f>
        <v>726</v>
      </c>
      <c r="P36" s="108">
        <f t="shared" si="1"/>
        <v>145.19999999999999</v>
      </c>
      <c r="R36" s="45" t="str">
        <f t="shared" si="2"/>
        <v xml:space="preserve"> </v>
      </c>
    </row>
    <row r="37" spans="1:18" ht="15.75" customHeight="1" x14ac:dyDescent="0.2">
      <c r="A37" s="119">
        <v>20</v>
      </c>
      <c r="B37" s="120" t="s">
        <v>79</v>
      </c>
      <c r="C37" s="120" t="s">
        <v>815</v>
      </c>
      <c r="D37" s="121">
        <v>760</v>
      </c>
      <c r="E37" s="121">
        <v>470</v>
      </c>
      <c r="F37" s="121">
        <v>466</v>
      </c>
      <c r="G37" s="122">
        <v>1338</v>
      </c>
      <c r="H37" s="123">
        <v>3034</v>
      </c>
      <c r="J37" s="4" t="s">
        <v>101</v>
      </c>
      <c r="K37" s="28">
        <v>5</v>
      </c>
      <c r="L37" s="103">
        <v>70</v>
      </c>
      <c r="M37" s="98">
        <f t="shared" si="0"/>
        <v>14</v>
      </c>
      <c r="O37" s="11">
        <f>D600+E600</f>
        <v>25</v>
      </c>
      <c r="P37" s="108">
        <f t="shared" si="1"/>
        <v>5</v>
      </c>
      <c r="R37" s="45" t="str">
        <f t="shared" si="2"/>
        <v xml:space="preserve"> </v>
      </c>
    </row>
    <row r="38" spans="1:18" ht="15.75" customHeight="1" x14ac:dyDescent="0.2">
      <c r="A38" s="119">
        <v>21</v>
      </c>
      <c r="B38" s="120" t="s">
        <v>79</v>
      </c>
      <c r="C38" s="120" t="s">
        <v>816</v>
      </c>
      <c r="D38" s="121">
        <v>817</v>
      </c>
      <c r="E38" s="121">
        <v>489</v>
      </c>
      <c r="F38" s="121">
        <v>490</v>
      </c>
      <c r="G38" s="122">
        <v>1428</v>
      </c>
      <c r="H38" s="123">
        <v>3224</v>
      </c>
      <c r="J38" s="4" t="s">
        <v>74</v>
      </c>
      <c r="K38" s="28">
        <v>5</v>
      </c>
      <c r="L38" s="103">
        <v>2200</v>
      </c>
      <c r="M38" s="98">
        <f t="shared" si="0"/>
        <v>440</v>
      </c>
      <c r="O38" s="11">
        <f>D603+E603</f>
        <v>880</v>
      </c>
      <c r="P38" s="108">
        <f t="shared" si="1"/>
        <v>176</v>
      </c>
      <c r="R38" s="45" t="str">
        <f t="shared" si="2"/>
        <v xml:space="preserve"> </v>
      </c>
    </row>
    <row r="39" spans="1:18" ht="15.75" customHeight="1" x14ac:dyDescent="0.2">
      <c r="A39" s="119">
        <v>22</v>
      </c>
      <c r="B39" s="120" t="s">
        <v>79</v>
      </c>
      <c r="C39" s="120" t="s">
        <v>817</v>
      </c>
      <c r="D39" s="121">
        <v>37</v>
      </c>
      <c r="E39" s="121">
        <v>22</v>
      </c>
      <c r="F39" s="121">
        <v>22</v>
      </c>
      <c r="G39" s="121">
        <v>63</v>
      </c>
      <c r="H39" s="124">
        <v>144</v>
      </c>
      <c r="J39" s="4" t="s">
        <v>111</v>
      </c>
      <c r="K39" s="28">
        <v>5</v>
      </c>
      <c r="L39" s="103">
        <v>6</v>
      </c>
      <c r="M39" s="98">
        <f t="shared" si="0"/>
        <v>1.2</v>
      </c>
      <c r="O39" s="11">
        <f>D608+E608</f>
        <v>4</v>
      </c>
      <c r="P39" s="108">
        <f t="shared" si="1"/>
        <v>0.8</v>
      </c>
      <c r="R39" s="45" t="str">
        <f t="shared" si="2"/>
        <v xml:space="preserve"> </v>
      </c>
    </row>
    <row r="40" spans="1:18" ht="15.75" customHeight="1" x14ac:dyDescent="0.2">
      <c r="A40" s="119">
        <v>23</v>
      </c>
      <c r="B40" s="120" t="s">
        <v>79</v>
      </c>
      <c r="C40" s="120" t="s">
        <v>818</v>
      </c>
      <c r="D40" s="121">
        <v>487</v>
      </c>
      <c r="E40" s="121">
        <v>300</v>
      </c>
      <c r="F40" s="121">
        <v>297</v>
      </c>
      <c r="G40" s="121">
        <v>840</v>
      </c>
      <c r="H40" s="123">
        <v>1924</v>
      </c>
      <c r="J40" s="4" t="s">
        <v>102</v>
      </c>
      <c r="K40" s="28">
        <v>5</v>
      </c>
      <c r="L40" s="103">
        <v>530</v>
      </c>
      <c r="M40" s="98">
        <f t="shared" si="0"/>
        <v>106</v>
      </c>
      <c r="O40" s="11">
        <f>D611+E611</f>
        <v>217</v>
      </c>
      <c r="P40" s="108">
        <f t="shared" si="1"/>
        <v>43.4</v>
      </c>
      <c r="R40" s="45" t="str">
        <f t="shared" si="2"/>
        <v xml:space="preserve"> </v>
      </c>
    </row>
    <row r="41" spans="1:18" ht="15.75" customHeight="1" x14ac:dyDescent="0.2">
      <c r="A41" s="119">
        <v>24</v>
      </c>
      <c r="B41" s="120" t="s">
        <v>79</v>
      </c>
      <c r="C41" s="120" t="s">
        <v>819</v>
      </c>
      <c r="D41" s="121">
        <v>54</v>
      </c>
      <c r="E41" s="121">
        <v>31</v>
      </c>
      <c r="F41" s="121">
        <v>32</v>
      </c>
      <c r="G41" s="121">
        <v>92</v>
      </c>
      <c r="H41" s="124">
        <v>209</v>
      </c>
      <c r="J41" s="4" t="s">
        <v>98</v>
      </c>
      <c r="K41" s="28">
        <v>5</v>
      </c>
      <c r="L41" s="103">
        <v>995</v>
      </c>
      <c r="M41" s="98">
        <f t="shared" si="0"/>
        <v>199</v>
      </c>
      <c r="O41" s="11">
        <f>D622+E622</f>
        <v>385</v>
      </c>
      <c r="P41" s="108">
        <f t="shared" si="1"/>
        <v>77</v>
      </c>
      <c r="R41" s="45" t="str">
        <f t="shared" si="2"/>
        <v xml:space="preserve"> </v>
      </c>
    </row>
    <row r="42" spans="1:18" ht="15.75" customHeight="1" x14ac:dyDescent="0.2">
      <c r="A42" s="119">
        <v>25</v>
      </c>
      <c r="B42" s="120" t="s">
        <v>79</v>
      </c>
      <c r="C42" s="120" t="s">
        <v>79</v>
      </c>
      <c r="D42" s="121">
        <v>349</v>
      </c>
      <c r="E42" s="121">
        <v>205</v>
      </c>
      <c r="F42" s="121">
        <v>202</v>
      </c>
      <c r="G42" s="121">
        <v>553</v>
      </c>
      <c r="H42" s="123">
        <v>1309</v>
      </c>
      <c r="J42" s="4" t="s">
        <v>108</v>
      </c>
      <c r="K42" s="28">
        <v>5</v>
      </c>
      <c r="L42" s="103">
        <v>10</v>
      </c>
      <c r="M42" s="98">
        <f t="shared" si="0"/>
        <v>2</v>
      </c>
      <c r="O42" s="11">
        <f t="shared" ref="O42:O43" si="5">D627+E627</f>
        <v>4</v>
      </c>
      <c r="P42" s="108">
        <f t="shared" si="1"/>
        <v>0.8</v>
      </c>
      <c r="R42" s="45" t="str">
        <f t="shared" si="2"/>
        <v xml:space="preserve"> </v>
      </c>
    </row>
    <row r="43" spans="1:18" ht="15.75" customHeight="1" x14ac:dyDescent="0.2">
      <c r="A43" s="119">
        <v>26</v>
      </c>
      <c r="B43" s="120" t="s">
        <v>79</v>
      </c>
      <c r="C43" s="120" t="s">
        <v>820</v>
      </c>
      <c r="D43" s="121">
        <v>57</v>
      </c>
      <c r="E43" s="121">
        <v>35</v>
      </c>
      <c r="F43" s="121">
        <v>36</v>
      </c>
      <c r="G43" s="121">
        <v>105</v>
      </c>
      <c r="H43" s="124">
        <v>233</v>
      </c>
      <c r="J43" s="4" t="s">
        <v>116</v>
      </c>
      <c r="K43" s="28">
        <v>5</v>
      </c>
      <c r="L43" s="132">
        <v>550</v>
      </c>
      <c r="M43" s="133">
        <f t="shared" si="0"/>
        <v>110</v>
      </c>
      <c r="O43" s="134">
        <f t="shared" si="5"/>
        <v>215</v>
      </c>
      <c r="P43" s="135">
        <f t="shared" si="1"/>
        <v>43</v>
      </c>
      <c r="R43" s="45" t="str">
        <f t="shared" si="2"/>
        <v xml:space="preserve"> </v>
      </c>
    </row>
    <row r="44" spans="1:18" ht="15.75" customHeight="1" x14ac:dyDescent="0.2">
      <c r="A44" s="119">
        <v>27</v>
      </c>
      <c r="B44" s="120" t="s">
        <v>79</v>
      </c>
      <c r="C44" s="120" t="s">
        <v>807</v>
      </c>
      <c r="D44" s="122">
        <v>1633</v>
      </c>
      <c r="E44" s="122">
        <v>1001</v>
      </c>
      <c r="F44" s="122">
        <v>1001</v>
      </c>
      <c r="G44" s="122">
        <v>2839</v>
      </c>
      <c r="H44" s="123">
        <v>6474</v>
      </c>
      <c r="K44" s="11"/>
      <c r="L44" s="98"/>
      <c r="M44" s="98"/>
      <c r="O44" s="10"/>
      <c r="P44" s="10"/>
    </row>
    <row r="45" spans="1:18" ht="15.75" customHeight="1" x14ac:dyDescent="0.2">
      <c r="A45" s="99"/>
      <c r="B45" s="116" t="s">
        <v>45</v>
      </c>
      <c r="C45" s="117"/>
      <c r="D45" s="115">
        <v>45672</v>
      </c>
      <c r="E45" s="115">
        <v>27469</v>
      </c>
      <c r="F45" s="115">
        <v>30043</v>
      </c>
      <c r="G45" s="115">
        <v>76697</v>
      </c>
      <c r="H45" s="115">
        <v>179881</v>
      </c>
      <c r="K45" s="11"/>
      <c r="L45" s="98">
        <f>SUM(L3:L43)</f>
        <v>1150481</v>
      </c>
      <c r="M45" s="98">
        <f>SUM(M5:M43)</f>
        <v>146061.70000000001</v>
      </c>
      <c r="N45" s="98"/>
      <c r="O45" s="98">
        <f t="shared" ref="O45:P45" si="6">SUM(O5:O43)</f>
        <v>461390</v>
      </c>
      <c r="P45" s="98">
        <f t="shared" si="6"/>
        <v>58569.1</v>
      </c>
      <c r="Q45" s="98"/>
      <c r="R45" s="98">
        <f>SUM(R5:R43)</f>
        <v>140057.5</v>
      </c>
    </row>
    <row r="46" spans="1:18" ht="15.75" customHeight="1" x14ac:dyDescent="0.2">
      <c r="A46" s="119">
        <v>28</v>
      </c>
      <c r="B46" s="120" t="s">
        <v>45</v>
      </c>
      <c r="C46" s="120" t="s">
        <v>821</v>
      </c>
      <c r="D46" s="121">
        <v>31</v>
      </c>
      <c r="E46" s="121">
        <v>19</v>
      </c>
      <c r="F46" s="121">
        <v>20</v>
      </c>
      <c r="G46" s="121">
        <v>45</v>
      </c>
      <c r="H46" s="124">
        <v>115</v>
      </c>
      <c r="K46" s="11"/>
      <c r="L46" s="98"/>
      <c r="M46" s="98"/>
      <c r="O46" s="10"/>
      <c r="P46" s="10"/>
    </row>
    <row r="47" spans="1:18" ht="15.75" customHeight="1" x14ac:dyDescent="0.2">
      <c r="A47" s="119">
        <v>29</v>
      </c>
      <c r="B47" s="120" t="s">
        <v>45</v>
      </c>
      <c r="C47" s="120" t="s">
        <v>822</v>
      </c>
      <c r="D47" s="121">
        <v>380</v>
      </c>
      <c r="E47" s="121">
        <v>224</v>
      </c>
      <c r="F47" s="121">
        <v>246</v>
      </c>
      <c r="G47" s="121">
        <v>642</v>
      </c>
      <c r="H47" s="123">
        <v>1492</v>
      </c>
      <c r="K47" s="11"/>
      <c r="L47" s="98"/>
      <c r="M47" s="98"/>
      <c r="O47" s="10"/>
      <c r="P47" s="10"/>
    </row>
    <row r="48" spans="1:18" ht="15.75" customHeight="1" x14ac:dyDescent="0.2">
      <c r="A48" s="119">
        <v>30</v>
      </c>
      <c r="B48" s="120" t="s">
        <v>45</v>
      </c>
      <c r="C48" s="120" t="s">
        <v>823</v>
      </c>
      <c r="D48" s="121">
        <v>276</v>
      </c>
      <c r="E48" s="121">
        <v>167</v>
      </c>
      <c r="F48" s="121">
        <v>177</v>
      </c>
      <c r="G48" s="121">
        <v>434</v>
      </c>
      <c r="H48" s="123">
        <v>1054</v>
      </c>
      <c r="K48" s="11"/>
      <c r="L48" s="98"/>
      <c r="M48" s="98"/>
      <c r="O48" s="10"/>
      <c r="P48" s="10"/>
    </row>
    <row r="49" spans="1:16" ht="12.75" x14ac:dyDescent="0.2">
      <c r="A49" s="119">
        <v>31</v>
      </c>
      <c r="B49" s="120" t="s">
        <v>45</v>
      </c>
      <c r="C49" s="120" t="s">
        <v>824</v>
      </c>
      <c r="D49" s="121">
        <v>31</v>
      </c>
      <c r="E49" s="121">
        <v>18</v>
      </c>
      <c r="F49" s="121">
        <v>20</v>
      </c>
      <c r="G49" s="121">
        <v>51</v>
      </c>
      <c r="H49" s="124">
        <v>120</v>
      </c>
      <c r="K49" s="11"/>
      <c r="L49" s="98"/>
      <c r="M49" s="98"/>
      <c r="O49" s="10"/>
      <c r="P49" s="10"/>
    </row>
    <row r="50" spans="1:16" ht="12.75" x14ac:dyDescent="0.2">
      <c r="A50" s="119">
        <v>32</v>
      </c>
      <c r="B50" s="120" t="s">
        <v>45</v>
      </c>
      <c r="C50" s="120" t="s">
        <v>825</v>
      </c>
      <c r="D50" s="121">
        <v>20</v>
      </c>
      <c r="E50" s="121">
        <v>12</v>
      </c>
      <c r="F50" s="121">
        <v>14</v>
      </c>
      <c r="G50" s="121">
        <v>34</v>
      </c>
      <c r="H50" s="124">
        <v>80</v>
      </c>
      <c r="K50" s="11"/>
      <c r="L50" s="98"/>
      <c r="M50" s="98"/>
      <c r="O50" s="10"/>
      <c r="P50" s="10"/>
    </row>
    <row r="51" spans="1:16" ht="12.75" x14ac:dyDescent="0.2">
      <c r="A51" s="119">
        <v>33</v>
      </c>
      <c r="B51" s="120" t="s">
        <v>45</v>
      </c>
      <c r="C51" s="120" t="s">
        <v>826</v>
      </c>
      <c r="D51" s="121">
        <v>198</v>
      </c>
      <c r="E51" s="121">
        <v>118</v>
      </c>
      <c r="F51" s="121">
        <v>127</v>
      </c>
      <c r="G51" s="121">
        <v>336</v>
      </c>
      <c r="H51" s="124">
        <v>779</v>
      </c>
      <c r="K51" s="11"/>
      <c r="L51" s="98"/>
      <c r="M51" s="98"/>
      <c r="O51" s="10"/>
      <c r="P51" s="10"/>
    </row>
    <row r="52" spans="1:16" ht="12.75" x14ac:dyDescent="0.2">
      <c r="A52" s="119">
        <v>34</v>
      </c>
      <c r="B52" s="120" t="s">
        <v>45</v>
      </c>
      <c r="C52" s="120" t="s">
        <v>827</v>
      </c>
      <c r="D52" s="121">
        <v>142</v>
      </c>
      <c r="E52" s="121">
        <v>83</v>
      </c>
      <c r="F52" s="121">
        <v>90</v>
      </c>
      <c r="G52" s="121">
        <v>242</v>
      </c>
      <c r="H52" s="124">
        <v>557</v>
      </c>
      <c r="K52" s="11"/>
      <c r="L52" s="98"/>
      <c r="M52" s="98"/>
      <c r="O52" s="10"/>
      <c r="P52" s="10"/>
    </row>
    <row r="53" spans="1:16" ht="12.75" x14ac:dyDescent="0.2">
      <c r="A53" s="119">
        <v>35</v>
      </c>
      <c r="B53" s="120" t="s">
        <v>45</v>
      </c>
      <c r="C53" s="120" t="s">
        <v>828</v>
      </c>
      <c r="D53" s="121">
        <v>11</v>
      </c>
      <c r="E53" s="121">
        <v>7</v>
      </c>
      <c r="F53" s="121">
        <v>8</v>
      </c>
      <c r="G53" s="121">
        <v>21</v>
      </c>
      <c r="H53" s="124">
        <v>47</v>
      </c>
      <c r="K53" s="11"/>
      <c r="L53" s="98"/>
      <c r="M53" s="98"/>
      <c r="O53" s="10"/>
      <c r="P53" s="10"/>
    </row>
    <row r="54" spans="1:16" ht="12.75" x14ac:dyDescent="0.2">
      <c r="A54" s="119">
        <v>36</v>
      </c>
      <c r="B54" s="120" t="s">
        <v>45</v>
      </c>
      <c r="C54" s="120" t="s">
        <v>829</v>
      </c>
      <c r="D54" s="121">
        <v>11</v>
      </c>
      <c r="E54" s="121">
        <v>7</v>
      </c>
      <c r="F54" s="121">
        <v>8</v>
      </c>
      <c r="G54" s="121">
        <v>20</v>
      </c>
      <c r="H54" s="124">
        <v>46</v>
      </c>
      <c r="K54" s="11"/>
      <c r="L54" s="98"/>
      <c r="M54" s="98"/>
      <c r="O54" s="10"/>
      <c r="P54" s="10"/>
    </row>
    <row r="55" spans="1:16" ht="12.75" x14ac:dyDescent="0.2">
      <c r="A55" s="119">
        <v>37</v>
      </c>
      <c r="B55" s="120" t="s">
        <v>45</v>
      </c>
      <c r="C55" s="120" t="s">
        <v>830</v>
      </c>
      <c r="D55" s="121">
        <v>1</v>
      </c>
      <c r="E55" s="121">
        <v>1</v>
      </c>
      <c r="F55" s="121" t="s">
        <v>831</v>
      </c>
      <c r="G55" s="121" t="s">
        <v>831</v>
      </c>
      <c r="H55" s="124">
        <v>2</v>
      </c>
      <c r="K55" s="11"/>
      <c r="L55" s="98"/>
      <c r="M55" s="98"/>
      <c r="O55" s="10"/>
      <c r="P55" s="10"/>
    </row>
    <row r="56" spans="1:16" ht="12.75" x14ac:dyDescent="0.2">
      <c r="A56" s="119">
        <v>38</v>
      </c>
      <c r="B56" s="120" t="s">
        <v>45</v>
      </c>
      <c r="C56" s="120" t="s">
        <v>832</v>
      </c>
      <c r="D56" s="121">
        <v>1</v>
      </c>
      <c r="E56" s="121">
        <v>1</v>
      </c>
      <c r="F56" s="121">
        <v>1</v>
      </c>
      <c r="G56" s="121" t="s">
        <v>831</v>
      </c>
      <c r="H56" s="124">
        <v>3</v>
      </c>
      <c r="K56" s="11"/>
      <c r="L56" s="98"/>
      <c r="M56" s="98"/>
      <c r="O56" s="10"/>
      <c r="P56" s="10"/>
    </row>
    <row r="57" spans="1:16" ht="12.75" x14ac:dyDescent="0.2">
      <c r="A57" s="119">
        <v>39</v>
      </c>
      <c r="B57" s="120" t="s">
        <v>45</v>
      </c>
      <c r="C57" s="120" t="s">
        <v>833</v>
      </c>
      <c r="D57" s="121">
        <v>1</v>
      </c>
      <c r="E57" s="121">
        <v>1</v>
      </c>
      <c r="F57" s="121" t="s">
        <v>831</v>
      </c>
      <c r="G57" s="121" t="s">
        <v>831</v>
      </c>
      <c r="H57" s="124">
        <v>2</v>
      </c>
      <c r="K57" s="11"/>
      <c r="L57" s="98"/>
      <c r="M57" s="98"/>
      <c r="O57" s="10"/>
      <c r="P57" s="10"/>
    </row>
    <row r="58" spans="1:16" ht="12.75" x14ac:dyDescent="0.2">
      <c r="A58" s="119">
        <v>40</v>
      </c>
      <c r="B58" s="120" t="s">
        <v>45</v>
      </c>
      <c r="C58" s="120" t="s">
        <v>834</v>
      </c>
      <c r="D58" s="121">
        <v>694</v>
      </c>
      <c r="E58" s="121">
        <v>413</v>
      </c>
      <c r="F58" s="121">
        <v>443</v>
      </c>
      <c r="G58" s="122">
        <v>1134</v>
      </c>
      <c r="H58" s="123">
        <v>2684</v>
      </c>
      <c r="K58" s="11"/>
      <c r="L58" s="98"/>
      <c r="M58" s="98"/>
      <c r="O58" s="10"/>
      <c r="P58" s="10"/>
    </row>
    <row r="59" spans="1:16" ht="12.75" x14ac:dyDescent="0.2">
      <c r="A59" s="119">
        <v>41</v>
      </c>
      <c r="B59" s="120" t="s">
        <v>45</v>
      </c>
      <c r="C59" s="120" t="s">
        <v>835</v>
      </c>
      <c r="D59" s="121">
        <v>88</v>
      </c>
      <c r="E59" s="121">
        <v>54</v>
      </c>
      <c r="F59" s="121">
        <v>57</v>
      </c>
      <c r="G59" s="121">
        <v>131</v>
      </c>
      <c r="H59" s="124">
        <v>330</v>
      </c>
      <c r="K59" s="11"/>
      <c r="L59" s="98"/>
      <c r="M59" s="98"/>
      <c r="O59" s="10"/>
      <c r="P59" s="10"/>
    </row>
    <row r="60" spans="1:16" ht="12.75" x14ac:dyDescent="0.2">
      <c r="A60" s="119">
        <v>42</v>
      </c>
      <c r="B60" s="120" t="s">
        <v>45</v>
      </c>
      <c r="C60" s="120" t="s">
        <v>836</v>
      </c>
      <c r="D60" s="121">
        <v>447</v>
      </c>
      <c r="E60" s="121">
        <v>263</v>
      </c>
      <c r="F60" s="121">
        <v>280</v>
      </c>
      <c r="G60" s="121">
        <v>708</v>
      </c>
      <c r="H60" s="123">
        <v>1698</v>
      </c>
      <c r="K60" s="11"/>
      <c r="L60" s="98"/>
      <c r="M60" s="98"/>
      <c r="O60" s="10"/>
      <c r="P60" s="10"/>
    </row>
    <row r="61" spans="1:16" ht="12.75" x14ac:dyDescent="0.2">
      <c r="A61" s="119">
        <v>43</v>
      </c>
      <c r="B61" s="120" t="s">
        <v>45</v>
      </c>
      <c r="C61" s="120" t="s">
        <v>837</v>
      </c>
      <c r="D61" s="121">
        <v>23</v>
      </c>
      <c r="E61" s="121">
        <v>14</v>
      </c>
      <c r="F61" s="121">
        <v>14</v>
      </c>
      <c r="G61" s="121">
        <v>35</v>
      </c>
      <c r="H61" s="124">
        <v>86</v>
      </c>
      <c r="K61" s="11"/>
      <c r="L61" s="98"/>
      <c r="M61" s="98"/>
      <c r="O61" s="10"/>
      <c r="P61" s="10"/>
    </row>
    <row r="62" spans="1:16" ht="12.75" x14ac:dyDescent="0.2">
      <c r="A62" s="119">
        <v>44</v>
      </c>
      <c r="B62" s="120" t="s">
        <v>45</v>
      </c>
      <c r="C62" s="120" t="s">
        <v>838</v>
      </c>
      <c r="D62" s="121">
        <v>98</v>
      </c>
      <c r="E62" s="121">
        <v>59</v>
      </c>
      <c r="F62" s="121">
        <v>64</v>
      </c>
      <c r="G62" s="121">
        <v>152</v>
      </c>
      <c r="H62" s="124">
        <v>373</v>
      </c>
      <c r="K62" s="11"/>
      <c r="L62" s="98"/>
      <c r="M62" s="98"/>
      <c r="O62" s="10"/>
      <c r="P62" s="10"/>
    </row>
    <row r="63" spans="1:16" ht="12.75" x14ac:dyDescent="0.2">
      <c r="A63" s="119">
        <v>45</v>
      </c>
      <c r="B63" s="120" t="s">
        <v>45</v>
      </c>
      <c r="C63" s="120" t="s">
        <v>839</v>
      </c>
      <c r="D63" s="121">
        <v>12</v>
      </c>
      <c r="E63" s="121">
        <v>7</v>
      </c>
      <c r="F63" s="121">
        <v>7</v>
      </c>
      <c r="G63" s="121">
        <v>20</v>
      </c>
      <c r="H63" s="124">
        <v>46</v>
      </c>
      <c r="K63" s="11"/>
      <c r="L63" s="98"/>
      <c r="M63" s="98"/>
      <c r="O63" s="10"/>
      <c r="P63" s="10"/>
    </row>
    <row r="64" spans="1:16" ht="12.75" x14ac:dyDescent="0.2">
      <c r="A64" s="119">
        <v>46</v>
      </c>
      <c r="B64" s="120" t="s">
        <v>45</v>
      </c>
      <c r="C64" s="120" t="s">
        <v>840</v>
      </c>
      <c r="D64" s="121">
        <v>1</v>
      </c>
      <c r="E64" s="121">
        <v>1</v>
      </c>
      <c r="F64" s="121" t="s">
        <v>831</v>
      </c>
      <c r="G64" s="121" t="s">
        <v>831</v>
      </c>
      <c r="H64" s="124">
        <v>2</v>
      </c>
      <c r="K64" s="11"/>
      <c r="L64" s="98"/>
      <c r="M64" s="98"/>
      <c r="O64" s="10"/>
      <c r="P64" s="10"/>
    </row>
    <row r="65" spans="1:16" ht="12.75" x14ac:dyDescent="0.2">
      <c r="A65" s="119">
        <v>47</v>
      </c>
      <c r="B65" s="120" t="s">
        <v>45</v>
      </c>
      <c r="C65" s="120" t="s">
        <v>841</v>
      </c>
      <c r="D65" s="121">
        <v>60</v>
      </c>
      <c r="E65" s="121">
        <v>35</v>
      </c>
      <c r="F65" s="121">
        <v>38</v>
      </c>
      <c r="G65" s="121">
        <v>97</v>
      </c>
      <c r="H65" s="124">
        <v>230</v>
      </c>
      <c r="K65" s="11"/>
      <c r="L65" s="98"/>
      <c r="M65" s="98"/>
      <c r="O65" s="10"/>
      <c r="P65" s="10"/>
    </row>
    <row r="66" spans="1:16" ht="12.75" x14ac:dyDescent="0.2">
      <c r="A66" s="119">
        <v>48</v>
      </c>
      <c r="B66" s="120" t="s">
        <v>45</v>
      </c>
      <c r="C66" s="120" t="s">
        <v>842</v>
      </c>
      <c r="D66" s="121">
        <v>80</v>
      </c>
      <c r="E66" s="121">
        <v>46</v>
      </c>
      <c r="F66" s="121">
        <v>51</v>
      </c>
      <c r="G66" s="121">
        <v>141</v>
      </c>
      <c r="H66" s="124">
        <v>318</v>
      </c>
      <c r="K66" s="11"/>
      <c r="L66" s="98"/>
      <c r="M66" s="98"/>
      <c r="O66" s="10"/>
      <c r="P66" s="10"/>
    </row>
    <row r="67" spans="1:16" ht="12.75" x14ac:dyDescent="0.2">
      <c r="A67" s="119">
        <v>49</v>
      </c>
      <c r="B67" s="120" t="s">
        <v>45</v>
      </c>
      <c r="C67" s="120" t="s">
        <v>843</v>
      </c>
      <c r="D67" s="121">
        <v>48</v>
      </c>
      <c r="E67" s="121">
        <v>29</v>
      </c>
      <c r="F67" s="121">
        <v>31</v>
      </c>
      <c r="G67" s="121">
        <v>77</v>
      </c>
      <c r="H67" s="124">
        <v>185</v>
      </c>
      <c r="K67" s="11"/>
      <c r="L67" s="98"/>
      <c r="M67" s="98"/>
      <c r="O67" s="10"/>
      <c r="P67" s="10"/>
    </row>
    <row r="68" spans="1:16" ht="12.75" x14ac:dyDescent="0.2">
      <c r="A68" s="119">
        <v>50</v>
      </c>
      <c r="B68" s="120" t="s">
        <v>45</v>
      </c>
      <c r="C68" s="120" t="s">
        <v>844</v>
      </c>
      <c r="D68" s="121">
        <v>308</v>
      </c>
      <c r="E68" s="121">
        <v>182</v>
      </c>
      <c r="F68" s="121">
        <v>190</v>
      </c>
      <c r="G68" s="121">
        <v>466</v>
      </c>
      <c r="H68" s="123">
        <v>1146</v>
      </c>
      <c r="K68" s="11"/>
      <c r="L68" s="98"/>
      <c r="M68" s="98"/>
      <c r="O68" s="10"/>
      <c r="P68" s="10"/>
    </row>
    <row r="69" spans="1:16" ht="12.75" x14ac:dyDescent="0.2">
      <c r="A69" s="119">
        <v>51</v>
      </c>
      <c r="B69" s="120" t="s">
        <v>45</v>
      </c>
      <c r="C69" s="120" t="s">
        <v>845</v>
      </c>
      <c r="D69" s="121">
        <v>210</v>
      </c>
      <c r="E69" s="121">
        <v>123</v>
      </c>
      <c r="F69" s="121">
        <v>135</v>
      </c>
      <c r="G69" s="121">
        <v>346</v>
      </c>
      <c r="H69" s="124">
        <v>814</v>
      </c>
      <c r="K69" s="11"/>
      <c r="L69" s="98"/>
      <c r="M69" s="98"/>
      <c r="O69" s="10"/>
      <c r="P69" s="10"/>
    </row>
    <row r="70" spans="1:16" ht="12.75" x14ac:dyDescent="0.2">
      <c r="A70" s="119">
        <v>52</v>
      </c>
      <c r="B70" s="120" t="s">
        <v>45</v>
      </c>
      <c r="C70" s="120" t="s">
        <v>846</v>
      </c>
      <c r="D70" s="121">
        <v>87</v>
      </c>
      <c r="E70" s="121">
        <v>53</v>
      </c>
      <c r="F70" s="121">
        <v>55</v>
      </c>
      <c r="G70" s="121">
        <v>142</v>
      </c>
      <c r="H70" s="124">
        <v>337</v>
      </c>
      <c r="K70" s="11"/>
      <c r="L70" s="98"/>
      <c r="M70" s="98"/>
      <c r="O70" s="10"/>
      <c r="P70" s="10"/>
    </row>
    <row r="71" spans="1:16" ht="12.75" x14ac:dyDescent="0.2">
      <c r="A71" s="119">
        <v>53</v>
      </c>
      <c r="B71" s="120" t="s">
        <v>45</v>
      </c>
      <c r="C71" s="120" t="s">
        <v>847</v>
      </c>
      <c r="D71" s="121">
        <v>529</v>
      </c>
      <c r="E71" s="121">
        <v>315</v>
      </c>
      <c r="F71" s="121">
        <v>352</v>
      </c>
      <c r="G71" s="121">
        <v>946</v>
      </c>
      <c r="H71" s="123">
        <v>2142</v>
      </c>
      <c r="K71" s="11"/>
      <c r="L71" s="98"/>
      <c r="M71" s="98"/>
      <c r="O71" s="10"/>
      <c r="P71" s="10"/>
    </row>
    <row r="72" spans="1:16" ht="12.75" x14ac:dyDescent="0.2">
      <c r="A72" s="119">
        <v>54</v>
      </c>
      <c r="B72" s="120" t="s">
        <v>45</v>
      </c>
      <c r="C72" s="120" t="s">
        <v>848</v>
      </c>
      <c r="D72" s="121">
        <v>18</v>
      </c>
      <c r="E72" s="121">
        <v>11</v>
      </c>
      <c r="F72" s="121">
        <v>12</v>
      </c>
      <c r="G72" s="121">
        <v>28</v>
      </c>
      <c r="H72" s="124">
        <v>69</v>
      </c>
      <c r="K72" s="11"/>
      <c r="L72" s="98"/>
      <c r="M72" s="98"/>
      <c r="O72" s="10"/>
      <c r="P72" s="10"/>
    </row>
    <row r="73" spans="1:16" ht="12.75" x14ac:dyDescent="0.2">
      <c r="A73" s="119">
        <v>55</v>
      </c>
      <c r="B73" s="120" t="s">
        <v>45</v>
      </c>
      <c r="C73" s="120" t="s">
        <v>849</v>
      </c>
      <c r="D73" s="121">
        <v>98</v>
      </c>
      <c r="E73" s="121">
        <v>60</v>
      </c>
      <c r="F73" s="121">
        <v>66</v>
      </c>
      <c r="G73" s="121">
        <v>173</v>
      </c>
      <c r="H73" s="124">
        <v>397</v>
      </c>
      <c r="K73" s="11"/>
      <c r="L73" s="98"/>
      <c r="M73" s="98"/>
      <c r="O73" s="10"/>
      <c r="P73" s="10"/>
    </row>
    <row r="74" spans="1:16" ht="12.75" x14ac:dyDescent="0.2">
      <c r="A74" s="119">
        <v>56</v>
      </c>
      <c r="B74" s="120" t="s">
        <v>45</v>
      </c>
      <c r="C74" s="120" t="s">
        <v>850</v>
      </c>
      <c r="D74" s="121">
        <v>508</v>
      </c>
      <c r="E74" s="121">
        <v>310</v>
      </c>
      <c r="F74" s="121">
        <v>337</v>
      </c>
      <c r="G74" s="121">
        <v>862</v>
      </c>
      <c r="H74" s="123">
        <v>2017</v>
      </c>
      <c r="K74" s="11"/>
      <c r="L74" s="98"/>
      <c r="M74" s="98"/>
      <c r="O74" s="10"/>
      <c r="P74" s="10"/>
    </row>
    <row r="75" spans="1:16" ht="12.75" x14ac:dyDescent="0.2">
      <c r="A75" s="119">
        <v>57</v>
      </c>
      <c r="B75" s="120" t="s">
        <v>45</v>
      </c>
      <c r="C75" s="120" t="s">
        <v>851</v>
      </c>
      <c r="D75" s="121">
        <v>171</v>
      </c>
      <c r="E75" s="121">
        <v>100</v>
      </c>
      <c r="F75" s="121">
        <v>108</v>
      </c>
      <c r="G75" s="121">
        <v>267</v>
      </c>
      <c r="H75" s="124">
        <v>646</v>
      </c>
      <c r="K75" s="11"/>
      <c r="L75" s="98"/>
      <c r="M75" s="98"/>
      <c r="O75" s="10"/>
      <c r="P75" s="10"/>
    </row>
    <row r="76" spans="1:16" ht="12.75" x14ac:dyDescent="0.2">
      <c r="A76" s="119">
        <v>58</v>
      </c>
      <c r="B76" s="120" t="s">
        <v>45</v>
      </c>
      <c r="C76" s="120" t="s">
        <v>852</v>
      </c>
      <c r="D76" s="121">
        <v>32</v>
      </c>
      <c r="E76" s="121">
        <v>19</v>
      </c>
      <c r="F76" s="121">
        <v>21</v>
      </c>
      <c r="G76" s="121">
        <v>57</v>
      </c>
      <c r="H76" s="124">
        <v>129</v>
      </c>
      <c r="K76" s="11"/>
      <c r="L76" s="98"/>
      <c r="M76" s="98"/>
      <c r="O76" s="10"/>
      <c r="P76" s="10"/>
    </row>
    <row r="77" spans="1:16" ht="12.75" x14ac:dyDescent="0.2">
      <c r="A77" s="119">
        <v>59</v>
      </c>
      <c r="B77" s="120" t="s">
        <v>45</v>
      </c>
      <c r="C77" s="120" t="s">
        <v>853</v>
      </c>
      <c r="D77" s="121">
        <v>170</v>
      </c>
      <c r="E77" s="121">
        <v>101</v>
      </c>
      <c r="F77" s="121">
        <v>112</v>
      </c>
      <c r="G77" s="121">
        <v>300</v>
      </c>
      <c r="H77" s="124">
        <v>683</v>
      </c>
      <c r="K77" s="11"/>
      <c r="L77" s="98"/>
      <c r="M77" s="98"/>
      <c r="O77" s="10"/>
      <c r="P77" s="10"/>
    </row>
    <row r="78" spans="1:16" ht="12.75" x14ac:dyDescent="0.2">
      <c r="A78" s="119">
        <v>60</v>
      </c>
      <c r="B78" s="120" t="s">
        <v>45</v>
      </c>
      <c r="C78" s="120" t="s">
        <v>854</v>
      </c>
      <c r="D78" s="121">
        <v>1</v>
      </c>
      <c r="E78" s="121">
        <v>1</v>
      </c>
      <c r="F78" s="121" t="s">
        <v>831</v>
      </c>
      <c r="G78" s="121" t="s">
        <v>831</v>
      </c>
      <c r="H78" s="124">
        <v>2</v>
      </c>
      <c r="K78" s="11"/>
      <c r="L78" s="98"/>
      <c r="M78" s="98"/>
      <c r="O78" s="10"/>
      <c r="P78" s="10"/>
    </row>
    <row r="79" spans="1:16" ht="12.75" x14ac:dyDescent="0.2">
      <c r="A79" s="119">
        <v>61</v>
      </c>
      <c r="B79" s="120" t="s">
        <v>45</v>
      </c>
      <c r="C79" s="120" t="s">
        <v>855</v>
      </c>
      <c r="D79" s="121">
        <v>5</v>
      </c>
      <c r="E79" s="121">
        <v>3</v>
      </c>
      <c r="F79" s="121">
        <v>3</v>
      </c>
      <c r="G79" s="121">
        <v>7</v>
      </c>
      <c r="H79" s="124">
        <v>18</v>
      </c>
      <c r="K79" s="11"/>
      <c r="L79" s="98"/>
      <c r="M79" s="98"/>
      <c r="O79" s="10"/>
      <c r="P79" s="10"/>
    </row>
    <row r="80" spans="1:16" ht="12.75" x14ac:dyDescent="0.2">
      <c r="A80" s="119">
        <v>62</v>
      </c>
      <c r="B80" s="120" t="s">
        <v>45</v>
      </c>
      <c r="C80" s="120" t="s">
        <v>856</v>
      </c>
      <c r="D80" s="121">
        <v>216</v>
      </c>
      <c r="E80" s="121">
        <v>128</v>
      </c>
      <c r="F80" s="121">
        <v>149</v>
      </c>
      <c r="G80" s="121">
        <v>402</v>
      </c>
      <c r="H80" s="124">
        <v>895</v>
      </c>
      <c r="K80" s="11"/>
      <c r="L80" s="98"/>
      <c r="M80" s="98"/>
      <c r="O80" s="10"/>
      <c r="P80" s="10"/>
    </row>
    <row r="81" spans="1:16" ht="12.75" x14ac:dyDescent="0.2">
      <c r="A81" s="119">
        <v>63</v>
      </c>
      <c r="B81" s="120" t="s">
        <v>45</v>
      </c>
      <c r="C81" s="120" t="s">
        <v>857</v>
      </c>
      <c r="D81" s="121" t="s">
        <v>831</v>
      </c>
      <c r="E81" s="121" t="s">
        <v>831</v>
      </c>
      <c r="F81" s="121" t="s">
        <v>831</v>
      </c>
      <c r="G81" s="121" t="s">
        <v>831</v>
      </c>
      <c r="H81" s="124">
        <v>0</v>
      </c>
      <c r="K81" s="11"/>
      <c r="L81" s="98"/>
      <c r="M81" s="98"/>
      <c r="O81" s="10"/>
      <c r="P81" s="10"/>
    </row>
    <row r="82" spans="1:16" ht="12.75" x14ac:dyDescent="0.2">
      <c r="A82" s="119">
        <v>64</v>
      </c>
      <c r="B82" s="120" t="s">
        <v>45</v>
      </c>
      <c r="C82" s="120" t="s">
        <v>858</v>
      </c>
      <c r="D82" s="121">
        <v>250</v>
      </c>
      <c r="E82" s="121">
        <v>150</v>
      </c>
      <c r="F82" s="121">
        <v>167</v>
      </c>
      <c r="G82" s="121">
        <v>446</v>
      </c>
      <c r="H82" s="123">
        <v>1013</v>
      </c>
      <c r="K82" s="11"/>
      <c r="L82" s="98"/>
      <c r="M82" s="98"/>
      <c r="O82" s="10"/>
      <c r="P82" s="10"/>
    </row>
    <row r="83" spans="1:16" ht="12.75" x14ac:dyDescent="0.2">
      <c r="A83" s="119">
        <v>65</v>
      </c>
      <c r="B83" s="120" t="s">
        <v>45</v>
      </c>
      <c r="C83" s="120" t="s">
        <v>859</v>
      </c>
      <c r="D83" s="121">
        <v>4</v>
      </c>
      <c r="E83" s="121">
        <v>2</v>
      </c>
      <c r="F83" s="121">
        <v>2</v>
      </c>
      <c r="G83" s="121">
        <v>7</v>
      </c>
      <c r="H83" s="124">
        <v>15</v>
      </c>
      <c r="K83" s="11"/>
      <c r="L83" s="98"/>
      <c r="M83" s="98"/>
      <c r="O83" s="10"/>
      <c r="P83" s="10"/>
    </row>
    <row r="84" spans="1:16" ht="12.75" x14ac:dyDescent="0.2">
      <c r="A84" s="119">
        <v>66</v>
      </c>
      <c r="B84" s="120" t="s">
        <v>45</v>
      </c>
      <c r="C84" s="120" t="s">
        <v>860</v>
      </c>
      <c r="D84" s="121">
        <v>30</v>
      </c>
      <c r="E84" s="121">
        <v>18</v>
      </c>
      <c r="F84" s="121">
        <v>20</v>
      </c>
      <c r="G84" s="121">
        <v>44</v>
      </c>
      <c r="H84" s="124">
        <v>112</v>
      </c>
      <c r="K84" s="11"/>
      <c r="L84" s="98"/>
      <c r="M84" s="98"/>
      <c r="O84" s="10"/>
      <c r="P84" s="10"/>
    </row>
    <row r="85" spans="1:16" ht="12.75" x14ac:dyDescent="0.2">
      <c r="A85" s="119">
        <v>67</v>
      </c>
      <c r="B85" s="120" t="s">
        <v>45</v>
      </c>
      <c r="C85" s="120" t="s">
        <v>861</v>
      </c>
      <c r="D85" s="121">
        <v>32</v>
      </c>
      <c r="E85" s="121">
        <v>19</v>
      </c>
      <c r="F85" s="121">
        <v>21</v>
      </c>
      <c r="G85" s="121">
        <v>47</v>
      </c>
      <c r="H85" s="124">
        <v>119</v>
      </c>
      <c r="K85" s="11"/>
      <c r="L85" s="98"/>
      <c r="M85" s="98"/>
      <c r="O85" s="10"/>
      <c r="P85" s="10"/>
    </row>
    <row r="86" spans="1:16" ht="12.75" x14ac:dyDescent="0.2">
      <c r="A86" s="119">
        <v>68</v>
      </c>
      <c r="B86" s="120" t="s">
        <v>45</v>
      </c>
      <c r="C86" s="120" t="s">
        <v>862</v>
      </c>
      <c r="D86" s="121">
        <v>62</v>
      </c>
      <c r="E86" s="121">
        <v>37</v>
      </c>
      <c r="F86" s="121">
        <v>40</v>
      </c>
      <c r="G86" s="121">
        <v>96</v>
      </c>
      <c r="H86" s="124">
        <v>235</v>
      </c>
      <c r="K86" s="11"/>
      <c r="L86" s="98"/>
      <c r="M86" s="98"/>
      <c r="O86" s="10"/>
      <c r="P86" s="10"/>
    </row>
    <row r="87" spans="1:16" ht="12.75" x14ac:dyDescent="0.2">
      <c r="A87" s="119">
        <v>69</v>
      </c>
      <c r="B87" s="120" t="s">
        <v>45</v>
      </c>
      <c r="C87" s="120" t="s">
        <v>863</v>
      </c>
      <c r="D87" s="121">
        <v>208</v>
      </c>
      <c r="E87" s="121">
        <v>121</v>
      </c>
      <c r="F87" s="121">
        <v>135</v>
      </c>
      <c r="G87" s="121">
        <v>354</v>
      </c>
      <c r="H87" s="124">
        <v>818</v>
      </c>
      <c r="K87" s="11"/>
      <c r="L87" s="98"/>
      <c r="M87" s="98"/>
      <c r="O87" s="10"/>
      <c r="P87" s="10"/>
    </row>
    <row r="88" spans="1:16" ht="12.75" x14ac:dyDescent="0.2">
      <c r="A88" s="119">
        <v>70</v>
      </c>
      <c r="B88" s="120" t="s">
        <v>45</v>
      </c>
      <c r="C88" s="120" t="s">
        <v>864</v>
      </c>
      <c r="D88" s="121">
        <v>147</v>
      </c>
      <c r="E88" s="121">
        <v>88</v>
      </c>
      <c r="F88" s="121">
        <v>94</v>
      </c>
      <c r="G88" s="121">
        <v>233</v>
      </c>
      <c r="H88" s="124">
        <v>562</v>
      </c>
      <c r="K88" s="11"/>
      <c r="L88" s="98"/>
      <c r="M88" s="98"/>
      <c r="O88" s="10"/>
      <c r="P88" s="10"/>
    </row>
    <row r="89" spans="1:16" ht="12.75" x14ac:dyDescent="0.2">
      <c r="A89" s="119">
        <v>71</v>
      </c>
      <c r="B89" s="120" t="s">
        <v>45</v>
      </c>
      <c r="C89" s="120" t="s">
        <v>865</v>
      </c>
      <c r="D89" s="121">
        <v>107</v>
      </c>
      <c r="E89" s="121">
        <v>63</v>
      </c>
      <c r="F89" s="121">
        <v>67</v>
      </c>
      <c r="G89" s="121">
        <v>166</v>
      </c>
      <c r="H89" s="124">
        <v>403</v>
      </c>
      <c r="K89" s="11"/>
      <c r="L89" s="98"/>
      <c r="M89" s="98"/>
      <c r="O89" s="10"/>
      <c r="P89" s="10"/>
    </row>
    <row r="90" spans="1:16" ht="12.75" x14ac:dyDescent="0.2">
      <c r="A90" s="119">
        <v>72</v>
      </c>
      <c r="B90" s="120" t="s">
        <v>45</v>
      </c>
      <c r="C90" s="120" t="s">
        <v>866</v>
      </c>
      <c r="D90" s="121">
        <v>627</v>
      </c>
      <c r="E90" s="121">
        <v>384</v>
      </c>
      <c r="F90" s="121">
        <v>413</v>
      </c>
      <c r="G90" s="122">
        <v>1086</v>
      </c>
      <c r="H90" s="123">
        <v>2510</v>
      </c>
      <c r="K90" s="11"/>
      <c r="L90" s="98"/>
      <c r="M90" s="98"/>
      <c r="O90" s="10"/>
      <c r="P90" s="10"/>
    </row>
    <row r="91" spans="1:16" ht="12.75" x14ac:dyDescent="0.2">
      <c r="A91" s="119">
        <v>73</v>
      </c>
      <c r="B91" s="120" t="s">
        <v>45</v>
      </c>
      <c r="C91" s="120" t="s">
        <v>867</v>
      </c>
      <c r="D91" s="121">
        <v>96</v>
      </c>
      <c r="E91" s="121">
        <v>57</v>
      </c>
      <c r="F91" s="121">
        <v>62</v>
      </c>
      <c r="G91" s="121">
        <v>166</v>
      </c>
      <c r="H91" s="124">
        <v>381</v>
      </c>
      <c r="K91" s="11"/>
      <c r="L91" s="98"/>
      <c r="M91" s="98"/>
      <c r="O91" s="10"/>
      <c r="P91" s="10"/>
    </row>
    <row r="92" spans="1:16" ht="12.75" x14ac:dyDescent="0.2">
      <c r="A92" s="119">
        <v>74</v>
      </c>
      <c r="B92" s="120" t="s">
        <v>45</v>
      </c>
      <c r="C92" s="120" t="s">
        <v>868</v>
      </c>
      <c r="D92" s="121">
        <v>12</v>
      </c>
      <c r="E92" s="121">
        <v>7</v>
      </c>
      <c r="F92" s="121">
        <v>8</v>
      </c>
      <c r="G92" s="121">
        <v>20</v>
      </c>
      <c r="H92" s="124">
        <v>47</v>
      </c>
      <c r="K92" s="11"/>
      <c r="L92" s="98"/>
      <c r="M92" s="98"/>
      <c r="O92" s="10"/>
      <c r="P92" s="10"/>
    </row>
    <row r="93" spans="1:16" ht="12.75" x14ac:dyDescent="0.2">
      <c r="A93" s="119">
        <v>75</v>
      </c>
      <c r="B93" s="120" t="s">
        <v>45</v>
      </c>
      <c r="C93" s="120" t="s">
        <v>869</v>
      </c>
      <c r="D93" s="122">
        <v>1773</v>
      </c>
      <c r="E93" s="122">
        <v>1066</v>
      </c>
      <c r="F93" s="122">
        <v>1170</v>
      </c>
      <c r="G93" s="122">
        <v>3039</v>
      </c>
      <c r="H93" s="123">
        <v>7048</v>
      </c>
      <c r="K93" s="11"/>
      <c r="L93" s="98"/>
      <c r="M93" s="98"/>
      <c r="O93" s="10"/>
      <c r="P93" s="10"/>
    </row>
    <row r="94" spans="1:16" ht="12.75" x14ac:dyDescent="0.2">
      <c r="A94" s="119">
        <v>76</v>
      </c>
      <c r="B94" s="120" t="s">
        <v>45</v>
      </c>
      <c r="C94" s="120" t="s">
        <v>45</v>
      </c>
      <c r="D94" s="122">
        <v>20427</v>
      </c>
      <c r="E94" s="122">
        <v>12435</v>
      </c>
      <c r="F94" s="122">
        <v>13728</v>
      </c>
      <c r="G94" s="122">
        <v>35412</v>
      </c>
      <c r="H94" s="123">
        <v>82002</v>
      </c>
      <c r="K94" s="11"/>
      <c r="L94" s="98"/>
      <c r="M94" s="98"/>
      <c r="O94" s="10"/>
      <c r="P94" s="10"/>
    </row>
    <row r="95" spans="1:16" ht="12.75" x14ac:dyDescent="0.2">
      <c r="A95" s="119">
        <v>77</v>
      </c>
      <c r="B95" s="120" t="s">
        <v>45</v>
      </c>
      <c r="C95" s="120" t="s">
        <v>870</v>
      </c>
      <c r="D95" s="121">
        <v>123</v>
      </c>
      <c r="E95" s="121">
        <v>72</v>
      </c>
      <c r="F95" s="121">
        <v>81</v>
      </c>
      <c r="G95" s="121">
        <v>218</v>
      </c>
      <c r="H95" s="124">
        <v>494</v>
      </c>
      <c r="K95" s="11"/>
      <c r="L95" s="98"/>
      <c r="M95" s="98"/>
      <c r="O95" s="10"/>
      <c r="P95" s="10"/>
    </row>
    <row r="96" spans="1:16" ht="12.75" x14ac:dyDescent="0.2">
      <c r="A96" s="119">
        <v>78</v>
      </c>
      <c r="B96" s="120" t="s">
        <v>45</v>
      </c>
      <c r="C96" s="120" t="s">
        <v>871</v>
      </c>
      <c r="D96" s="121">
        <v>1</v>
      </c>
      <c r="E96" s="121">
        <v>1</v>
      </c>
      <c r="F96" s="121" t="s">
        <v>831</v>
      </c>
      <c r="G96" s="121" t="s">
        <v>831</v>
      </c>
      <c r="H96" s="124">
        <v>2</v>
      </c>
      <c r="K96" s="11"/>
      <c r="L96" s="98"/>
      <c r="M96" s="98"/>
      <c r="O96" s="10"/>
      <c r="P96" s="10"/>
    </row>
    <row r="97" spans="1:16" ht="12.75" x14ac:dyDescent="0.2">
      <c r="A97" s="119">
        <v>79</v>
      </c>
      <c r="B97" s="120" t="s">
        <v>45</v>
      </c>
      <c r="C97" s="120" t="s">
        <v>872</v>
      </c>
      <c r="D97" s="121">
        <v>10</v>
      </c>
      <c r="E97" s="121">
        <v>6</v>
      </c>
      <c r="F97" s="121">
        <v>7</v>
      </c>
      <c r="G97" s="121">
        <v>15</v>
      </c>
      <c r="H97" s="124">
        <v>38</v>
      </c>
      <c r="K97" s="11"/>
      <c r="L97" s="98"/>
      <c r="M97" s="98"/>
      <c r="O97" s="10"/>
      <c r="P97" s="10"/>
    </row>
    <row r="98" spans="1:16" ht="12.75" x14ac:dyDescent="0.2">
      <c r="A98" s="119">
        <v>80</v>
      </c>
      <c r="B98" s="120" t="s">
        <v>45</v>
      </c>
      <c r="C98" s="120" t="s">
        <v>873</v>
      </c>
      <c r="D98" s="121">
        <v>13</v>
      </c>
      <c r="E98" s="121">
        <v>8</v>
      </c>
      <c r="F98" s="121">
        <v>9</v>
      </c>
      <c r="G98" s="121">
        <v>23</v>
      </c>
      <c r="H98" s="124">
        <v>53</v>
      </c>
      <c r="K98" s="11"/>
      <c r="L98" s="98"/>
      <c r="M98" s="98"/>
      <c r="O98" s="10"/>
      <c r="P98" s="10"/>
    </row>
    <row r="99" spans="1:16" ht="12.75" x14ac:dyDescent="0.2">
      <c r="A99" s="119">
        <v>81</v>
      </c>
      <c r="B99" s="120" t="s">
        <v>45</v>
      </c>
      <c r="C99" s="120" t="s">
        <v>874</v>
      </c>
      <c r="D99" s="121">
        <v>101</v>
      </c>
      <c r="E99" s="121">
        <v>61</v>
      </c>
      <c r="F99" s="121">
        <v>65</v>
      </c>
      <c r="G99" s="121">
        <v>162</v>
      </c>
      <c r="H99" s="124">
        <v>389</v>
      </c>
      <c r="K99" s="11"/>
      <c r="L99" s="98"/>
      <c r="M99" s="98"/>
      <c r="O99" s="10"/>
      <c r="P99" s="10"/>
    </row>
    <row r="100" spans="1:16" ht="12.75" x14ac:dyDescent="0.2">
      <c r="A100" s="119">
        <v>82</v>
      </c>
      <c r="B100" s="120" t="s">
        <v>45</v>
      </c>
      <c r="C100" s="120" t="s">
        <v>875</v>
      </c>
      <c r="D100" s="121">
        <v>269</v>
      </c>
      <c r="E100" s="121">
        <v>161</v>
      </c>
      <c r="F100" s="121">
        <v>175</v>
      </c>
      <c r="G100" s="121">
        <v>461</v>
      </c>
      <c r="H100" s="123">
        <v>1066</v>
      </c>
      <c r="K100" s="11"/>
      <c r="L100" s="98"/>
      <c r="M100" s="98"/>
      <c r="O100" s="10"/>
      <c r="P100" s="10"/>
    </row>
    <row r="101" spans="1:16" ht="12.75" x14ac:dyDescent="0.2">
      <c r="A101" s="119">
        <v>83</v>
      </c>
      <c r="B101" s="120" t="s">
        <v>45</v>
      </c>
      <c r="C101" s="120" t="s">
        <v>876</v>
      </c>
      <c r="D101" s="121">
        <v>205</v>
      </c>
      <c r="E101" s="121">
        <v>123</v>
      </c>
      <c r="F101" s="121">
        <v>137</v>
      </c>
      <c r="G101" s="121">
        <v>350</v>
      </c>
      <c r="H101" s="124">
        <v>815</v>
      </c>
      <c r="K101" s="11"/>
      <c r="L101" s="98"/>
      <c r="M101" s="98"/>
      <c r="O101" s="10"/>
      <c r="P101" s="10"/>
    </row>
    <row r="102" spans="1:16" ht="12.75" x14ac:dyDescent="0.2">
      <c r="A102" s="119">
        <v>84</v>
      </c>
      <c r="B102" s="120" t="s">
        <v>45</v>
      </c>
      <c r="C102" s="120" t="s">
        <v>877</v>
      </c>
      <c r="D102" s="121">
        <v>52</v>
      </c>
      <c r="E102" s="121">
        <v>31</v>
      </c>
      <c r="F102" s="121">
        <v>33</v>
      </c>
      <c r="G102" s="121">
        <v>85</v>
      </c>
      <c r="H102" s="124">
        <v>201</v>
      </c>
      <c r="K102" s="11"/>
      <c r="L102" s="98"/>
      <c r="M102" s="98"/>
      <c r="O102" s="10"/>
      <c r="P102" s="10"/>
    </row>
    <row r="103" spans="1:16" ht="12.75" x14ac:dyDescent="0.2">
      <c r="A103" s="119">
        <v>85</v>
      </c>
      <c r="B103" s="120" t="s">
        <v>45</v>
      </c>
      <c r="C103" s="120" t="s">
        <v>878</v>
      </c>
      <c r="D103" s="122">
        <v>1395</v>
      </c>
      <c r="E103" s="121">
        <v>827</v>
      </c>
      <c r="F103" s="121">
        <v>898</v>
      </c>
      <c r="G103" s="122">
        <v>2332</v>
      </c>
      <c r="H103" s="123">
        <v>5452</v>
      </c>
      <c r="K103" s="11"/>
      <c r="L103" s="98"/>
      <c r="M103" s="98"/>
      <c r="O103" s="10"/>
      <c r="P103" s="10"/>
    </row>
    <row r="104" spans="1:16" ht="12.75" x14ac:dyDescent="0.2">
      <c r="A104" s="119">
        <v>86</v>
      </c>
      <c r="B104" s="120" t="s">
        <v>45</v>
      </c>
      <c r="C104" s="120" t="s">
        <v>879</v>
      </c>
      <c r="D104" s="121">
        <v>4</v>
      </c>
      <c r="E104" s="121">
        <v>3</v>
      </c>
      <c r="F104" s="121">
        <v>3</v>
      </c>
      <c r="G104" s="121">
        <v>6</v>
      </c>
      <c r="H104" s="124">
        <v>16</v>
      </c>
      <c r="K104" s="11"/>
      <c r="L104" s="98"/>
      <c r="M104" s="98"/>
      <c r="O104" s="10"/>
      <c r="P104" s="10"/>
    </row>
    <row r="105" spans="1:16" ht="12.75" x14ac:dyDescent="0.2">
      <c r="A105" s="119">
        <v>87</v>
      </c>
      <c r="B105" s="120" t="s">
        <v>45</v>
      </c>
      <c r="C105" s="120" t="s">
        <v>880</v>
      </c>
      <c r="D105" s="121">
        <v>26</v>
      </c>
      <c r="E105" s="121">
        <v>16</v>
      </c>
      <c r="F105" s="121">
        <v>17</v>
      </c>
      <c r="G105" s="121">
        <v>46</v>
      </c>
      <c r="H105" s="124">
        <v>105</v>
      </c>
      <c r="K105" s="11"/>
      <c r="L105" s="98"/>
      <c r="M105" s="98"/>
      <c r="O105" s="10"/>
      <c r="P105" s="10"/>
    </row>
    <row r="106" spans="1:16" ht="12.75" x14ac:dyDescent="0.2">
      <c r="A106" s="119">
        <v>88</v>
      </c>
      <c r="B106" s="120" t="s">
        <v>45</v>
      </c>
      <c r="C106" s="120" t="s">
        <v>881</v>
      </c>
      <c r="D106" s="121">
        <v>340</v>
      </c>
      <c r="E106" s="121">
        <v>207</v>
      </c>
      <c r="F106" s="121">
        <v>224</v>
      </c>
      <c r="G106" s="121">
        <v>561</v>
      </c>
      <c r="H106" s="123">
        <v>1332</v>
      </c>
      <c r="K106" s="11"/>
      <c r="L106" s="98"/>
      <c r="M106" s="98"/>
      <c r="O106" s="10"/>
      <c r="P106" s="10"/>
    </row>
    <row r="107" spans="1:16" ht="12.75" x14ac:dyDescent="0.2">
      <c r="A107" s="119">
        <v>89</v>
      </c>
      <c r="B107" s="120" t="s">
        <v>45</v>
      </c>
      <c r="C107" s="120" t="s">
        <v>882</v>
      </c>
      <c r="D107" s="121">
        <v>217</v>
      </c>
      <c r="E107" s="121">
        <v>131</v>
      </c>
      <c r="F107" s="121">
        <v>140</v>
      </c>
      <c r="G107" s="121">
        <v>362</v>
      </c>
      <c r="H107" s="124">
        <v>850</v>
      </c>
      <c r="K107" s="11"/>
      <c r="L107" s="98"/>
      <c r="M107" s="98"/>
      <c r="O107" s="10"/>
      <c r="P107" s="10"/>
    </row>
    <row r="108" spans="1:16" ht="12.75" x14ac:dyDescent="0.2">
      <c r="A108" s="119">
        <v>90</v>
      </c>
      <c r="B108" s="120" t="s">
        <v>45</v>
      </c>
      <c r="C108" s="120" t="s">
        <v>883</v>
      </c>
      <c r="D108" s="121">
        <v>919</v>
      </c>
      <c r="E108" s="121">
        <v>543</v>
      </c>
      <c r="F108" s="121">
        <v>592</v>
      </c>
      <c r="G108" s="122">
        <v>1572</v>
      </c>
      <c r="H108" s="123">
        <v>3626</v>
      </c>
      <c r="K108" s="11"/>
      <c r="L108" s="98"/>
      <c r="M108" s="98"/>
      <c r="O108" s="10"/>
      <c r="P108" s="10"/>
    </row>
    <row r="109" spans="1:16" ht="12.75" x14ac:dyDescent="0.2">
      <c r="A109" s="119">
        <v>91</v>
      </c>
      <c r="B109" s="120" t="s">
        <v>45</v>
      </c>
      <c r="C109" s="120" t="s">
        <v>884</v>
      </c>
      <c r="D109" s="121">
        <v>8</v>
      </c>
      <c r="E109" s="121">
        <v>5</v>
      </c>
      <c r="F109" s="121">
        <v>5</v>
      </c>
      <c r="G109" s="121">
        <v>13</v>
      </c>
      <c r="H109" s="124">
        <v>31</v>
      </c>
      <c r="K109" s="11"/>
      <c r="L109" s="98"/>
      <c r="M109" s="98"/>
      <c r="O109" s="10"/>
      <c r="P109" s="10"/>
    </row>
    <row r="110" spans="1:16" ht="12.75" x14ac:dyDescent="0.2">
      <c r="A110" s="119">
        <v>92</v>
      </c>
      <c r="B110" s="120" t="s">
        <v>45</v>
      </c>
      <c r="C110" s="120" t="s">
        <v>885</v>
      </c>
      <c r="D110" s="121">
        <v>372</v>
      </c>
      <c r="E110" s="121">
        <v>223</v>
      </c>
      <c r="F110" s="121">
        <v>238</v>
      </c>
      <c r="G110" s="121">
        <v>564</v>
      </c>
      <c r="H110" s="123">
        <v>1397</v>
      </c>
      <c r="K110" s="11"/>
      <c r="L110" s="98"/>
      <c r="M110" s="98"/>
      <c r="O110" s="10"/>
      <c r="P110" s="10"/>
    </row>
    <row r="111" spans="1:16" ht="12.75" x14ac:dyDescent="0.2">
      <c r="A111" s="119">
        <v>93</v>
      </c>
      <c r="B111" s="120" t="s">
        <v>45</v>
      </c>
      <c r="C111" s="120" t="s">
        <v>886</v>
      </c>
      <c r="D111" s="121">
        <v>2</v>
      </c>
      <c r="E111" s="121">
        <v>1</v>
      </c>
      <c r="F111" s="121">
        <v>1</v>
      </c>
      <c r="G111" s="121">
        <v>2</v>
      </c>
      <c r="H111" s="124">
        <v>6</v>
      </c>
      <c r="K111" s="11"/>
      <c r="L111" s="98"/>
      <c r="M111" s="98"/>
      <c r="O111" s="10"/>
      <c r="P111" s="10"/>
    </row>
    <row r="112" spans="1:16" ht="12.75" x14ac:dyDescent="0.2">
      <c r="A112" s="119">
        <v>94</v>
      </c>
      <c r="B112" s="120" t="s">
        <v>45</v>
      </c>
      <c r="C112" s="120" t="s">
        <v>887</v>
      </c>
      <c r="D112" s="121">
        <v>1</v>
      </c>
      <c r="E112" s="121">
        <v>1</v>
      </c>
      <c r="F112" s="121">
        <v>1</v>
      </c>
      <c r="G112" s="121">
        <v>2</v>
      </c>
      <c r="H112" s="124">
        <v>5</v>
      </c>
      <c r="K112" s="11"/>
      <c r="L112" s="98"/>
      <c r="M112" s="98"/>
      <c r="O112" s="10"/>
      <c r="P112" s="10"/>
    </row>
    <row r="113" spans="1:16" ht="12.75" x14ac:dyDescent="0.2">
      <c r="A113" s="119">
        <v>95</v>
      </c>
      <c r="B113" s="120" t="s">
        <v>45</v>
      </c>
      <c r="C113" s="120" t="s">
        <v>888</v>
      </c>
      <c r="D113" s="121">
        <v>153</v>
      </c>
      <c r="E113" s="121">
        <v>88</v>
      </c>
      <c r="F113" s="121">
        <v>99</v>
      </c>
      <c r="G113" s="121">
        <v>262</v>
      </c>
      <c r="H113" s="124">
        <v>602</v>
      </c>
      <c r="K113" s="11"/>
      <c r="L113" s="98"/>
      <c r="M113" s="98"/>
      <c r="O113" s="10"/>
      <c r="P113" s="10"/>
    </row>
    <row r="114" spans="1:16" ht="12.75" x14ac:dyDescent="0.2">
      <c r="A114" s="119">
        <v>96</v>
      </c>
      <c r="B114" s="120" t="s">
        <v>45</v>
      </c>
      <c r="C114" s="120" t="s">
        <v>889</v>
      </c>
      <c r="D114" s="121">
        <v>121</v>
      </c>
      <c r="E114" s="121">
        <v>72</v>
      </c>
      <c r="F114" s="121">
        <v>77</v>
      </c>
      <c r="G114" s="121">
        <v>193</v>
      </c>
      <c r="H114" s="124">
        <v>463</v>
      </c>
      <c r="K114" s="11"/>
      <c r="L114" s="98"/>
      <c r="M114" s="98"/>
      <c r="O114" s="10"/>
      <c r="P114" s="10"/>
    </row>
    <row r="115" spans="1:16" ht="12.75" x14ac:dyDescent="0.2">
      <c r="A115" s="119">
        <v>97</v>
      </c>
      <c r="B115" s="120" t="s">
        <v>45</v>
      </c>
      <c r="C115" s="120" t="s">
        <v>890</v>
      </c>
      <c r="D115" s="121">
        <v>55</v>
      </c>
      <c r="E115" s="121">
        <v>32</v>
      </c>
      <c r="F115" s="121">
        <v>35</v>
      </c>
      <c r="G115" s="121">
        <v>95</v>
      </c>
      <c r="H115" s="124">
        <v>217</v>
      </c>
      <c r="K115" s="11"/>
      <c r="L115" s="98"/>
      <c r="M115" s="98"/>
      <c r="O115" s="10"/>
      <c r="P115" s="10"/>
    </row>
    <row r="116" spans="1:16" ht="12.75" x14ac:dyDescent="0.2">
      <c r="A116" s="119">
        <v>98</v>
      </c>
      <c r="B116" s="120" t="s">
        <v>45</v>
      </c>
      <c r="C116" s="120" t="s">
        <v>891</v>
      </c>
      <c r="D116" s="121">
        <v>236</v>
      </c>
      <c r="E116" s="121">
        <v>142</v>
      </c>
      <c r="F116" s="121">
        <v>154</v>
      </c>
      <c r="G116" s="121">
        <v>398</v>
      </c>
      <c r="H116" s="124">
        <v>930</v>
      </c>
      <c r="K116" s="11"/>
      <c r="L116" s="98"/>
      <c r="M116" s="98"/>
      <c r="O116" s="10"/>
      <c r="P116" s="10"/>
    </row>
    <row r="117" spans="1:16" ht="12.75" x14ac:dyDescent="0.2">
      <c r="A117" s="119">
        <v>99</v>
      </c>
      <c r="B117" s="120" t="s">
        <v>45</v>
      </c>
      <c r="C117" s="120" t="s">
        <v>892</v>
      </c>
      <c r="D117" s="121">
        <v>1</v>
      </c>
      <c r="E117" s="121">
        <v>1</v>
      </c>
      <c r="F117" s="121" t="s">
        <v>831</v>
      </c>
      <c r="G117" s="121" t="s">
        <v>831</v>
      </c>
      <c r="H117" s="124">
        <v>2</v>
      </c>
      <c r="K117" s="11"/>
      <c r="L117" s="98"/>
      <c r="M117" s="98"/>
      <c r="O117" s="10"/>
      <c r="P117" s="10"/>
    </row>
    <row r="118" spans="1:16" ht="12.75" x14ac:dyDescent="0.2">
      <c r="A118" s="119">
        <v>100</v>
      </c>
      <c r="B118" s="120" t="s">
        <v>45</v>
      </c>
      <c r="C118" s="120" t="s">
        <v>893</v>
      </c>
      <c r="D118" s="122">
        <v>2208</v>
      </c>
      <c r="E118" s="122">
        <v>1315</v>
      </c>
      <c r="F118" s="122">
        <v>1410</v>
      </c>
      <c r="G118" s="122">
        <v>3389</v>
      </c>
      <c r="H118" s="123">
        <v>8322</v>
      </c>
      <c r="K118" s="11"/>
      <c r="L118" s="98"/>
      <c r="M118" s="98"/>
      <c r="O118" s="10"/>
      <c r="P118" s="10"/>
    </row>
    <row r="119" spans="1:16" ht="12.75" x14ac:dyDescent="0.2">
      <c r="A119" s="119">
        <v>101</v>
      </c>
      <c r="B119" s="120" t="s">
        <v>45</v>
      </c>
      <c r="C119" s="120" t="s">
        <v>894</v>
      </c>
      <c r="D119" s="121">
        <v>82</v>
      </c>
      <c r="E119" s="121">
        <v>50</v>
      </c>
      <c r="F119" s="121">
        <v>53</v>
      </c>
      <c r="G119" s="121">
        <v>139</v>
      </c>
      <c r="H119" s="124">
        <v>324</v>
      </c>
      <c r="K119" s="11"/>
      <c r="L119" s="98"/>
      <c r="M119" s="98"/>
      <c r="O119" s="10"/>
      <c r="P119" s="10"/>
    </row>
    <row r="120" spans="1:16" ht="12.75" x14ac:dyDescent="0.2">
      <c r="A120" s="119">
        <v>102</v>
      </c>
      <c r="B120" s="120" t="s">
        <v>45</v>
      </c>
      <c r="C120" s="120" t="s">
        <v>895</v>
      </c>
      <c r="D120" s="121">
        <v>428</v>
      </c>
      <c r="E120" s="121">
        <v>263</v>
      </c>
      <c r="F120" s="121">
        <v>283</v>
      </c>
      <c r="G120" s="121">
        <v>700</v>
      </c>
      <c r="H120" s="123">
        <v>1674</v>
      </c>
      <c r="K120" s="11"/>
      <c r="L120" s="98"/>
      <c r="M120" s="98"/>
      <c r="O120" s="10"/>
      <c r="P120" s="10"/>
    </row>
    <row r="121" spans="1:16" ht="12.75" x14ac:dyDescent="0.2">
      <c r="A121" s="119">
        <v>103</v>
      </c>
      <c r="B121" s="120" t="s">
        <v>45</v>
      </c>
      <c r="C121" s="120" t="s">
        <v>896</v>
      </c>
      <c r="D121" s="121">
        <v>14</v>
      </c>
      <c r="E121" s="121">
        <v>9</v>
      </c>
      <c r="F121" s="121">
        <v>9</v>
      </c>
      <c r="G121" s="121">
        <v>23</v>
      </c>
      <c r="H121" s="124">
        <v>55</v>
      </c>
      <c r="K121" s="11"/>
      <c r="L121" s="98"/>
      <c r="M121" s="98"/>
      <c r="O121" s="10"/>
      <c r="P121" s="10"/>
    </row>
    <row r="122" spans="1:16" ht="12.75" x14ac:dyDescent="0.2">
      <c r="A122" s="119">
        <v>104</v>
      </c>
      <c r="B122" s="120" t="s">
        <v>45</v>
      </c>
      <c r="C122" s="120" t="s">
        <v>897</v>
      </c>
      <c r="D122" s="121">
        <v>44</v>
      </c>
      <c r="E122" s="121">
        <v>27</v>
      </c>
      <c r="F122" s="121">
        <v>28</v>
      </c>
      <c r="G122" s="121">
        <v>70</v>
      </c>
      <c r="H122" s="124">
        <v>169</v>
      </c>
      <c r="K122" s="11"/>
      <c r="L122" s="98"/>
      <c r="M122" s="98"/>
      <c r="O122" s="10"/>
      <c r="P122" s="10"/>
    </row>
    <row r="123" spans="1:16" ht="12.75" x14ac:dyDescent="0.2">
      <c r="A123" s="119">
        <v>105</v>
      </c>
      <c r="B123" s="120" t="s">
        <v>45</v>
      </c>
      <c r="C123" s="120" t="s">
        <v>898</v>
      </c>
      <c r="D123" s="121">
        <v>43</v>
      </c>
      <c r="E123" s="121">
        <v>25</v>
      </c>
      <c r="F123" s="121">
        <v>28</v>
      </c>
      <c r="G123" s="121">
        <v>76</v>
      </c>
      <c r="H123" s="124">
        <v>172</v>
      </c>
      <c r="K123" s="11"/>
      <c r="L123" s="98"/>
      <c r="M123" s="98"/>
      <c r="O123" s="10"/>
      <c r="P123" s="10"/>
    </row>
    <row r="124" spans="1:16" ht="12.75" x14ac:dyDescent="0.2">
      <c r="A124" s="119">
        <v>106</v>
      </c>
      <c r="B124" s="120" t="s">
        <v>45</v>
      </c>
      <c r="C124" s="120" t="s">
        <v>899</v>
      </c>
      <c r="D124" s="121">
        <v>314</v>
      </c>
      <c r="E124" s="121">
        <v>185</v>
      </c>
      <c r="F124" s="121">
        <v>205</v>
      </c>
      <c r="G124" s="121">
        <v>558</v>
      </c>
      <c r="H124" s="123">
        <v>1262</v>
      </c>
      <c r="K124" s="11"/>
      <c r="L124" s="98"/>
      <c r="M124" s="98"/>
      <c r="O124" s="10"/>
      <c r="P124" s="10"/>
    </row>
    <row r="125" spans="1:16" ht="12.75" x14ac:dyDescent="0.2">
      <c r="A125" s="119">
        <v>107</v>
      </c>
      <c r="B125" s="120" t="s">
        <v>45</v>
      </c>
      <c r="C125" s="120" t="s">
        <v>900</v>
      </c>
      <c r="D125" s="121">
        <v>17</v>
      </c>
      <c r="E125" s="121">
        <v>10</v>
      </c>
      <c r="F125" s="121">
        <v>11</v>
      </c>
      <c r="G125" s="121">
        <v>25</v>
      </c>
      <c r="H125" s="124">
        <v>63</v>
      </c>
      <c r="K125" s="11"/>
      <c r="L125" s="98"/>
      <c r="M125" s="98"/>
      <c r="O125" s="10"/>
      <c r="P125" s="10"/>
    </row>
    <row r="126" spans="1:16" ht="12.75" x14ac:dyDescent="0.2">
      <c r="A126" s="119">
        <v>108</v>
      </c>
      <c r="B126" s="120" t="s">
        <v>45</v>
      </c>
      <c r="C126" s="120" t="s">
        <v>901</v>
      </c>
      <c r="D126" s="121">
        <v>159</v>
      </c>
      <c r="E126" s="121">
        <v>93</v>
      </c>
      <c r="F126" s="121">
        <v>99</v>
      </c>
      <c r="G126" s="121">
        <v>252</v>
      </c>
      <c r="H126" s="124">
        <v>603</v>
      </c>
      <c r="K126" s="11"/>
      <c r="L126" s="98"/>
      <c r="M126" s="98"/>
      <c r="O126" s="10"/>
      <c r="P126" s="10"/>
    </row>
    <row r="127" spans="1:16" ht="12.75" x14ac:dyDescent="0.2">
      <c r="A127" s="119">
        <v>109</v>
      </c>
      <c r="B127" s="120" t="s">
        <v>45</v>
      </c>
      <c r="C127" s="120" t="s">
        <v>902</v>
      </c>
      <c r="D127" s="121">
        <v>380</v>
      </c>
      <c r="E127" s="121">
        <v>227</v>
      </c>
      <c r="F127" s="121">
        <v>243</v>
      </c>
      <c r="G127" s="121">
        <v>600</v>
      </c>
      <c r="H127" s="123">
        <v>1450</v>
      </c>
      <c r="K127" s="11"/>
      <c r="L127" s="98"/>
      <c r="M127" s="98"/>
      <c r="O127" s="10"/>
      <c r="P127" s="10"/>
    </row>
    <row r="128" spans="1:16" ht="12.75" x14ac:dyDescent="0.2">
      <c r="A128" s="119">
        <v>110</v>
      </c>
      <c r="B128" s="120" t="s">
        <v>45</v>
      </c>
      <c r="C128" s="120" t="s">
        <v>903</v>
      </c>
      <c r="D128" s="121">
        <v>1</v>
      </c>
      <c r="E128" s="121">
        <v>1</v>
      </c>
      <c r="F128" s="121" t="s">
        <v>831</v>
      </c>
      <c r="G128" s="121" t="s">
        <v>831</v>
      </c>
      <c r="H128" s="124">
        <v>2</v>
      </c>
      <c r="K128" s="11"/>
      <c r="L128" s="98"/>
      <c r="M128" s="98"/>
      <c r="O128" s="10"/>
      <c r="P128" s="10"/>
    </row>
    <row r="129" spans="1:16" ht="12.75" x14ac:dyDescent="0.2">
      <c r="A129" s="119">
        <v>111</v>
      </c>
      <c r="B129" s="120" t="s">
        <v>45</v>
      </c>
      <c r="C129" s="120" t="s">
        <v>904</v>
      </c>
      <c r="D129" s="121">
        <v>246</v>
      </c>
      <c r="E129" s="121">
        <v>144</v>
      </c>
      <c r="F129" s="121">
        <v>155</v>
      </c>
      <c r="G129" s="121">
        <v>363</v>
      </c>
      <c r="H129" s="124">
        <v>908</v>
      </c>
      <c r="K129" s="11"/>
      <c r="L129" s="98"/>
      <c r="M129" s="98"/>
      <c r="O129" s="10"/>
      <c r="P129" s="10"/>
    </row>
    <row r="130" spans="1:16" ht="12.75" x14ac:dyDescent="0.2">
      <c r="A130" s="119">
        <v>112</v>
      </c>
      <c r="B130" s="120" t="s">
        <v>45</v>
      </c>
      <c r="C130" s="120" t="s">
        <v>905</v>
      </c>
      <c r="D130" s="121">
        <v>217</v>
      </c>
      <c r="E130" s="121">
        <v>129</v>
      </c>
      <c r="F130" s="121">
        <v>138</v>
      </c>
      <c r="G130" s="121">
        <v>347</v>
      </c>
      <c r="H130" s="124">
        <v>831</v>
      </c>
      <c r="K130" s="11"/>
      <c r="L130" s="98"/>
      <c r="M130" s="98"/>
      <c r="O130" s="10"/>
      <c r="P130" s="10"/>
    </row>
    <row r="131" spans="1:16" ht="12.75" x14ac:dyDescent="0.2">
      <c r="A131" s="119">
        <v>113</v>
      </c>
      <c r="B131" s="120" t="s">
        <v>45</v>
      </c>
      <c r="C131" s="120" t="s">
        <v>906</v>
      </c>
      <c r="D131" s="121">
        <v>19</v>
      </c>
      <c r="E131" s="121">
        <v>12</v>
      </c>
      <c r="F131" s="121">
        <v>13</v>
      </c>
      <c r="G131" s="121">
        <v>33</v>
      </c>
      <c r="H131" s="124">
        <v>77</v>
      </c>
      <c r="K131" s="11"/>
      <c r="L131" s="98"/>
      <c r="M131" s="98"/>
      <c r="O131" s="10"/>
      <c r="P131" s="10"/>
    </row>
    <row r="132" spans="1:16" ht="12.75" x14ac:dyDescent="0.2">
      <c r="A132" s="119">
        <v>114</v>
      </c>
      <c r="B132" s="120" t="s">
        <v>45</v>
      </c>
      <c r="C132" s="120" t="s">
        <v>907</v>
      </c>
      <c r="D132" s="121">
        <v>12</v>
      </c>
      <c r="E132" s="121">
        <v>7</v>
      </c>
      <c r="F132" s="121">
        <v>8</v>
      </c>
      <c r="G132" s="121">
        <v>18</v>
      </c>
      <c r="H132" s="124">
        <v>45</v>
      </c>
      <c r="K132" s="11"/>
      <c r="L132" s="98"/>
      <c r="M132" s="98"/>
      <c r="O132" s="10"/>
      <c r="P132" s="10"/>
    </row>
    <row r="133" spans="1:16" ht="12.75" x14ac:dyDescent="0.2">
      <c r="A133" s="119">
        <v>115</v>
      </c>
      <c r="B133" s="120" t="s">
        <v>45</v>
      </c>
      <c r="C133" s="120" t="s">
        <v>908</v>
      </c>
      <c r="D133" s="121">
        <v>228</v>
      </c>
      <c r="E133" s="121">
        <v>135</v>
      </c>
      <c r="F133" s="121">
        <v>146</v>
      </c>
      <c r="G133" s="121">
        <v>369</v>
      </c>
      <c r="H133" s="124">
        <v>878</v>
      </c>
      <c r="K133" s="11"/>
      <c r="L133" s="98"/>
      <c r="M133" s="98"/>
      <c r="O133" s="10"/>
      <c r="P133" s="10"/>
    </row>
    <row r="134" spans="1:16" ht="12.75" x14ac:dyDescent="0.2">
      <c r="A134" s="119">
        <v>116</v>
      </c>
      <c r="B134" s="120" t="s">
        <v>45</v>
      </c>
      <c r="C134" s="120" t="s">
        <v>807</v>
      </c>
      <c r="D134" s="122">
        <v>7854</v>
      </c>
      <c r="E134" s="122">
        <v>4650</v>
      </c>
      <c r="F134" s="122">
        <v>5060</v>
      </c>
      <c r="G134" s="122">
        <v>12581</v>
      </c>
      <c r="H134" s="123">
        <v>30145</v>
      </c>
      <c r="K134" s="11"/>
      <c r="L134" s="98"/>
      <c r="M134" s="98"/>
      <c r="O134" s="10"/>
      <c r="P134" s="10"/>
    </row>
    <row r="135" spans="1:16" ht="12.75" x14ac:dyDescent="0.2">
      <c r="A135" s="99"/>
      <c r="B135" s="116" t="s">
        <v>47</v>
      </c>
      <c r="C135" s="117"/>
      <c r="D135" s="115">
        <v>8734</v>
      </c>
      <c r="E135" s="115">
        <v>6246</v>
      </c>
      <c r="F135" s="115">
        <v>6971</v>
      </c>
      <c r="G135" s="115">
        <v>16015</v>
      </c>
      <c r="H135" s="115">
        <v>37966</v>
      </c>
      <c r="K135" s="11"/>
      <c r="L135" s="98"/>
      <c r="M135" s="98"/>
      <c r="O135" s="10"/>
      <c r="P135" s="10"/>
    </row>
    <row r="136" spans="1:16" ht="12.75" x14ac:dyDescent="0.2">
      <c r="A136" s="119">
        <v>117</v>
      </c>
      <c r="B136" s="120" t="s">
        <v>47</v>
      </c>
      <c r="C136" s="120" t="s">
        <v>909</v>
      </c>
      <c r="D136" s="121">
        <v>9</v>
      </c>
      <c r="E136" s="121">
        <v>7</v>
      </c>
      <c r="F136" s="121">
        <v>7</v>
      </c>
      <c r="G136" s="121">
        <v>16</v>
      </c>
      <c r="H136" s="124">
        <v>39</v>
      </c>
      <c r="K136" s="11"/>
      <c r="L136" s="98"/>
      <c r="M136" s="98"/>
      <c r="O136" s="10"/>
      <c r="P136" s="10"/>
    </row>
    <row r="137" spans="1:16" ht="12.75" x14ac:dyDescent="0.2">
      <c r="A137" s="119">
        <v>118</v>
      </c>
      <c r="B137" s="120" t="s">
        <v>47</v>
      </c>
      <c r="C137" s="120" t="s">
        <v>910</v>
      </c>
      <c r="D137" s="122">
        <v>1256</v>
      </c>
      <c r="E137" s="121">
        <v>907</v>
      </c>
      <c r="F137" s="122">
        <v>1038</v>
      </c>
      <c r="G137" s="122">
        <v>2501</v>
      </c>
      <c r="H137" s="123">
        <v>5702</v>
      </c>
      <c r="K137" s="11"/>
      <c r="L137" s="98"/>
      <c r="M137" s="98"/>
      <c r="O137" s="10"/>
      <c r="P137" s="10"/>
    </row>
    <row r="138" spans="1:16" ht="12.75" x14ac:dyDescent="0.2">
      <c r="A138" s="119">
        <v>119</v>
      </c>
      <c r="B138" s="120" t="s">
        <v>47</v>
      </c>
      <c r="C138" s="120" t="s">
        <v>911</v>
      </c>
      <c r="D138" s="121">
        <v>426</v>
      </c>
      <c r="E138" s="121">
        <v>305</v>
      </c>
      <c r="F138" s="121">
        <v>335</v>
      </c>
      <c r="G138" s="121">
        <v>785</v>
      </c>
      <c r="H138" s="123">
        <v>1851</v>
      </c>
      <c r="K138" s="11"/>
      <c r="L138" s="98"/>
      <c r="M138" s="98"/>
      <c r="O138" s="10"/>
      <c r="P138" s="10"/>
    </row>
    <row r="139" spans="1:16" ht="12.75" x14ac:dyDescent="0.2">
      <c r="A139" s="119">
        <v>120</v>
      </c>
      <c r="B139" s="120" t="s">
        <v>47</v>
      </c>
      <c r="C139" s="120" t="s">
        <v>912</v>
      </c>
      <c r="D139" s="121">
        <v>76</v>
      </c>
      <c r="E139" s="121">
        <v>53</v>
      </c>
      <c r="F139" s="121">
        <v>62</v>
      </c>
      <c r="G139" s="121">
        <v>148</v>
      </c>
      <c r="H139" s="124">
        <v>339</v>
      </c>
      <c r="K139" s="11"/>
      <c r="L139" s="98"/>
      <c r="M139" s="98"/>
      <c r="O139" s="10"/>
      <c r="P139" s="10"/>
    </row>
    <row r="140" spans="1:16" ht="12.75" x14ac:dyDescent="0.2">
      <c r="A140" s="119">
        <v>121</v>
      </c>
      <c r="B140" s="120" t="s">
        <v>47</v>
      </c>
      <c r="C140" s="120" t="s">
        <v>913</v>
      </c>
      <c r="D140" s="121">
        <v>1</v>
      </c>
      <c r="E140" s="121">
        <v>1</v>
      </c>
      <c r="F140" s="121" t="s">
        <v>831</v>
      </c>
      <c r="G140" s="121" t="s">
        <v>831</v>
      </c>
      <c r="H140" s="124">
        <v>2</v>
      </c>
      <c r="K140" s="11"/>
      <c r="L140" s="98"/>
      <c r="M140" s="98"/>
      <c r="O140" s="10"/>
      <c r="P140" s="10"/>
    </row>
    <row r="141" spans="1:16" ht="12.75" x14ac:dyDescent="0.2">
      <c r="A141" s="119">
        <v>122</v>
      </c>
      <c r="B141" s="120" t="s">
        <v>47</v>
      </c>
      <c r="C141" s="120" t="s">
        <v>914</v>
      </c>
      <c r="D141" s="121">
        <v>71</v>
      </c>
      <c r="E141" s="121">
        <v>50</v>
      </c>
      <c r="F141" s="121">
        <v>56</v>
      </c>
      <c r="G141" s="121">
        <v>131</v>
      </c>
      <c r="H141" s="124">
        <v>308</v>
      </c>
      <c r="K141" s="11"/>
      <c r="L141" s="98"/>
      <c r="M141" s="98"/>
      <c r="O141" s="10"/>
      <c r="P141" s="10"/>
    </row>
    <row r="142" spans="1:16" ht="12.75" x14ac:dyDescent="0.2">
      <c r="A142" s="119">
        <v>123</v>
      </c>
      <c r="B142" s="120" t="s">
        <v>47</v>
      </c>
      <c r="C142" s="120" t="s">
        <v>915</v>
      </c>
      <c r="D142" s="121">
        <v>76</v>
      </c>
      <c r="E142" s="121">
        <v>53</v>
      </c>
      <c r="F142" s="121">
        <v>61</v>
      </c>
      <c r="G142" s="121">
        <v>137</v>
      </c>
      <c r="H142" s="124">
        <v>327</v>
      </c>
      <c r="K142" s="11"/>
      <c r="L142" s="98"/>
      <c r="M142" s="98"/>
      <c r="O142" s="10"/>
      <c r="P142" s="10"/>
    </row>
    <row r="143" spans="1:16" ht="12.75" x14ac:dyDescent="0.2">
      <c r="A143" s="119">
        <v>124</v>
      </c>
      <c r="B143" s="120" t="s">
        <v>47</v>
      </c>
      <c r="C143" s="120" t="s">
        <v>916</v>
      </c>
      <c r="D143" s="121">
        <v>83</v>
      </c>
      <c r="E143" s="121">
        <v>59</v>
      </c>
      <c r="F143" s="121">
        <v>65</v>
      </c>
      <c r="G143" s="121">
        <v>151</v>
      </c>
      <c r="H143" s="124">
        <v>358</v>
      </c>
      <c r="K143" s="11"/>
      <c r="L143" s="98"/>
      <c r="M143" s="98"/>
      <c r="O143" s="10"/>
      <c r="P143" s="10"/>
    </row>
    <row r="144" spans="1:16" ht="12.75" x14ac:dyDescent="0.2">
      <c r="A144" s="119">
        <v>125</v>
      </c>
      <c r="B144" s="120" t="s">
        <v>47</v>
      </c>
      <c r="C144" s="120" t="s">
        <v>917</v>
      </c>
      <c r="D144" s="121">
        <v>411</v>
      </c>
      <c r="E144" s="121">
        <v>299</v>
      </c>
      <c r="F144" s="121">
        <v>337</v>
      </c>
      <c r="G144" s="121">
        <v>794</v>
      </c>
      <c r="H144" s="123">
        <v>1841</v>
      </c>
      <c r="K144" s="11"/>
      <c r="L144" s="98"/>
      <c r="M144" s="98"/>
      <c r="O144" s="10"/>
      <c r="P144" s="10"/>
    </row>
    <row r="145" spans="1:16" ht="12.75" x14ac:dyDescent="0.2">
      <c r="A145" s="119">
        <v>126</v>
      </c>
      <c r="B145" s="120" t="s">
        <v>47</v>
      </c>
      <c r="C145" s="120" t="s">
        <v>918</v>
      </c>
      <c r="D145" s="121">
        <v>164</v>
      </c>
      <c r="E145" s="121">
        <v>120</v>
      </c>
      <c r="F145" s="121">
        <v>135</v>
      </c>
      <c r="G145" s="121">
        <v>328</v>
      </c>
      <c r="H145" s="124">
        <v>747</v>
      </c>
      <c r="K145" s="11"/>
      <c r="L145" s="98"/>
      <c r="M145" s="98"/>
      <c r="O145" s="10"/>
      <c r="P145" s="10"/>
    </row>
    <row r="146" spans="1:16" ht="12.75" x14ac:dyDescent="0.2">
      <c r="A146" s="119">
        <v>127</v>
      </c>
      <c r="B146" s="120" t="s">
        <v>47</v>
      </c>
      <c r="C146" s="120" t="s">
        <v>919</v>
      </c>
      <c r="D146" s="121">
        <v>313</v>
      </c>
      <c r="E146" s="121">
        <v>220</v>
      </c>
      <c r="F146" s="121">
        <v>248</v>
      </c>
      <c r="G146" s="121">
        <v>572</v>
      </c>
      <c r="H146" s="123">
        <v>1353</v>
      </c>
      <c r="K146" s="11"/>
      <c r="L146" s="98"/>
      <c r="M146" s="98"/>
      <c r="O146" s="10"/>
      <c r="P146" s="10"/>
    </row>
    <row r="147" spans="1:16" ht="12.75" x14ac:dyDescent="0.2">
      <c r="A147" s="119">
        <v>128</v>
      </c>
      <c r="B147" s="120" t="s">
        <v>47</v>
      </c>
      <c r="C147" s="120" t="s">
        <v>920</v>
      </c>
      <c r="D147" s="122">
        <v>2817</v>
      </c>
      <c r="E147" s="122">
        <v>2034</v>
      </c>
      <c r="F147" s="122">
        <v>2239</v>
      </c>
      <c r="G147" s="122">
        <v>5059</v>
      </c>
      <c r="H147" s="123">
        <v>12149</v>
      </c>
      <c r="K147" s="11"/>
      <c r="L147" s="98"/>
      <c r="M147" s="98"/>
      <c r="O147" s="10"/>
      <c r="P147" s="10"/>
    </row>
    <row r="148" spans="1:16" ht="12.75" x14ac:dyDescent="0.2">
      <c r="A148" s="119">
        <v>129</v>
      </c>
      <c r="B148" s="120" t="s">
        <v>47</v>
      </c>
      <c r="C148" s="120" t="s">
        <v>921</v>
      </c>
      <c r="D148" s="121">
        <v>1</v>
      </c>
      <c r="E148" s="121">
        <v>1</v>
      </c>
      <c r="F148" s="121">
        <v>1</v>
      </c>
      <c r="G148" s="121">
        <v>1</v>
      </c>
      <c r="H148" s="124">
        <v>4</v>
      </c>
      <c r="K148" s="11"/>
      <c r="L148" s="98"/>
      <c r="M148" s="98"/>
      <c r="O148" s="10"/>
      <c r="P148" s="10"/>
    </row>
    <row r="149" spans="1:16" ht="12.75" x14ac:dyDescent="0.2">
      <c r="A149" s="119">
        <v>130</v>
      </c>
      <c r="B149" s="120" t="s">
        <v>47</v>
      </c>
      <c r="C149" s="120" t="s">
        <v>922</v>
      </c>
      <c r="D149" s="121">
        <v>2</v>
      </c>
      <c r="E149" s="121">
        <v>2</v>
      </c>
      <c r="F149" s="121">
        <v>2</v>
      </c>
      <c r="G149" s="121">
        <v>3</v>
      </c>
      <c r="H149" s="124">
        <v>9</v>
      </c>
      <c r="K149" s="11"/>
      <c r="L149" s="98"/>
      <c r="M149" s="98"/>
      <c r="O149" s="10"/>
      <c r="P149" s="10"/>
    </row>
    <row r="150" spans="1:16" ht="12.75" x14ac:dyDescent="0.2">
      <c r="A150" s="119">
        <v>131</v>
      </c>
      <c r="B150" s="120" t="s">
        <v>47</v>
      </c>
      <c r="C150" s="120" t="s">
        <v>923</v>
      </c>
      <c r="D150" s="121">
        <v>1</v>
      </c>
      <c r="E150" s="121">
        <v>1</v>
      </c>
      <c r="F150" s="121" t="s">
        <v>831</v>
      </c>
      <c r="G150" s="121" t="s">
        <v>831</v>
      </c>
      <c r="H150" s="124">
        <v>2</v>
      </c>
      <c r="K150" s="11"/>
      <c r="L150" s="98"/>
      <c r="M150" s="98"/>
      <c r="O150" s="10"/>
      <c r="P150" s="10"/>
    </row>
    <row r="151" spans="1:16" ht="12.75" x14ac:dyDescent="0.2">
      <c r="A151" s="119">
        <v>132</v>
      </c>
      <c r="B151" s="120" t="s">
        <v>47</v>
      </c>
      <c r="C151" s="120" t="s">
        <v>924</v>
      </c>
      <c r="D151" s="121">
        <v>1</v>
      </c>
      <c r="E151" s="121">
        <v>1</v>
      </c>
      <c r="F151" s="121" t="s">
        <v>831</v>
      </c>
      <c r="G151" s="121" t="s">
        <v>831</v>
      </c>
      <c r="H151" s="124">
        <v>2</v>
      </c>
      <c r="K151" s="11"/>
      <c r="L151" s="98"/>
      <c r="M151" s="98"/>
      <c r="O151" s="10"/>
      <c r="P151" s="10"/>
    </row>
    <row r="152" spans="1:16" ht="12.75" x14ac:dyDescent="0.2">
      <c r="A152" s="119">
        <v>133</v>
      </c>
      <c r="B152" s="120" t="s">
        <v>47</v>
      </c>
      <c r="C152" s="120" t="s">
        <v>925</v>
      </c>
      <c r="D152" s="121">
        <v>43</v>
      </c>
      <c r="E152" s="121">
        <v>30</v>
      </c>
      <c r="F152" s="121">
        <v>34</v>
      </c>
      <c r="G152" s="121">
        <v>75</v>
      </c>
      <c r="H152" s="124">
        <v>182</v>
      </c>
      <c r="K152" s="11"/>
      <c r="L152" s="98"/>
      <c r="M152" s="98"/>
      <c r="O152" s="10"/>
      <c r="P152" s="10"/>
    </row>
    <row r="153" spans="1:16" ht="12.75" x14ac:dyDescent="0.2">
      <c r="A153" s="119">
        <v>134</v>
      </c>
      <c r="B153" s="120" t="s">
        <v>47</v>
      </c>
      <c r="C153" s="120" t="s">
        <v>926</v>
      </c>
      <c r="D153" s="121">
        <v>1</v>
      </c>
      <c r="E153" s="121">
        <v>1</v>
      </c>
      <c r="F153" s="121" t="s">
        <v>831</v>
      </c>
      <c r="G153" s="121" t="s">
        <v>831</v>
      </c>
      <c r="H153" s="124">
        <v>2</v>
      </c>
      <c r="K153" s="11"/>
      <c r="L153" s="98"/>
      <c r="M153" s="98"/>
      <c r="O153" s="10"/>
      <c r="P153" s="10"/>
    </row>
    <row r="154" spans="1:16" ht="12.75" x14ac:dyDescent="0.2">
      <c r="A154" s="119">
        <v>135</v>
      </c>
      <c r="B154" s="120" t="s">
        <v>47</v>
      </c>
      <c r="C154" s="120" t="s">
        <v>927</v>
      </c>
      <c r="D154" s="121">
        <v>647</v>
      </c>
      <c r="E154" s="121">
        <v>450</v>
      </c>
      <c r="F154" s="121">
        <v>497</v>
      </c>
      <c r="G154" s="122">
        <v>1133</v>
      </c>
      <c r="H154" s="123">
        <v>2727</v>
      </c>
      <c r="K154" s="11"/>
      <c r="L154" s="98"/>
      <c r="M154" s="98"/>
      <c r="O154" s="10"/>
      <c r="P154" s="10"/>
    </row>
    <row r="155" spans="1:16" ht="12.75" x14ac:dyDescent="0.2">
      <c r="A155" s="119">
        <v>136</v>
      </c>
      <c r="B155" s="120" t="s">
        <v>47</v>
      </c>
      <c r="C155" s="120" t="s">
        <v>928</v>
      </c>
      <c r="D155" s="121">
        <v>14</v>
      </c>
      <c r="E155" s="121">
        <v>10</v>
      </c>
      <c r="F155" s="121">
        <v>11</v>
      </c>
      <c r="G155" s="121">
        <v>26</v>
      </c>
      <c r="H155" s="124">
        <v>61</v>
      </c>
      <c r="K155" s="11"/>
      <c r="L155" s="98"/>
      <c r="M155" s="98"/>
      <c r="O155" s="10"/>
      <c r="P155" s="10"/>
    </row>
    <row r="156" spans="1:16" ht="12.75" x14ac:dyDescent="0.2">
      <c r="A156" s="119">
        <v>137</v>
      </c>
      <c r="B156" s="120" t="s">
        <v>47</v>
      </c>
      <c r="C156" s="120" t="s">
        <v>929</v>
      </c>
      <c r="D156" s="121">
        <v>42</v>
      </c>
      <c r="E156" s="121">
        <v>29</v>
      </c>
      <c r="F156" s="121">
        <v>33</v>
      </c>
      <c r="G156" s="121">
        <v>73</v>
      </c>
      <c r="H156" s="124">
        <v>177</v>
      </c>
      <c r="K156" s="11"/>
      <c r="L156" s="98"/>
      <c r="M156" s="98"/>
      <c r="O156" s="10"/>
      <c r="P156" s="10"/>
    </row>
    <row r="157" spans="1:16" ht="12.75" x14ac:dyDescent="0.2">
      <c r="A157" s="119">
        <v>138</v>
      </c>
      <c r="B157" s="120" t="s">
        <v>47</v>
      </c>
      <c r="C157" s="120" t="s">
        <v>930</v>
      </c>
      <c r="D157" s="121">
        <v>1</v>
      </c>
      <c r="E157" s="121">
        <v>1</v>
      </c>
      <c r="F157" s="121">
        <v>1</v>
      </c>
      <c r="G157" s="121">
        <v>2</v>
      </c>
      <c r="H157" s="124">
        <v>5</v>
      </c>
      <c r="K157" s="11"/>
      <c r="L157" s="98"/>
      <c r="M157" s="98"/>
      <c r="O157" s="10"/>
      <c r="P157" s="10"/>
    </row>
    <row r="158" spans="1:16" ht="12.75" x14ac:dyDescent="0.2">
      <c r="A158" s="119">
        <v>139</v>
      </c>
      <c r="B158" s="120" t="s">
        <v>47</v>
      </c>
      <c r="C158" s="120" t="s">
        <v>47</v>
      </c>
      <c r="D158" s="121">
        <v>83</v>
      </c>
      <c r="E158" s="121">
        <v>59</v>
      </c>
      <c r="F158" s="121">
        <v>66</v>
      </c>
      <c r="G158" s="121">
        <v>155</v>
      </c>
      <c r="H158" s="124">
        <v>363</v>
      </c>
      <c r="K158" s="11"/>
      <c r="L158" s="98"/>
      <c r="M158" s="98"/>
      <c r="O158" s="10"/>
      <c r="P158" s="10"/>
    </row>
    <row r="159" spans="1:16" ht="12.75" x14ac:dyDescent="0.2">
      <c r="A159" s="119">
        <v>140</v>
      </c>
      <c r="B159" s="120" t="s">
        <v>47</v>
      </c>
      <c r="C159" s="120" t="s">
        <v>931</v>
      </c>
      <c r="D159" s="121">
        <v>112</v>
      </c>
      <c r="E159" s="121">
        <v>81</v>
      </c>
      <c r="F159" s="121">
        <v>90</v>
      </c>
      <c r="G159" s="121">
        <v>209</v>
      </c>
      <c r="H159" s="124">
        <v>492</v>
      </c>
      <c r="K159" s="11"/>
      <c r="L159" s="98"/>
      <c r="M159" s="98"/>
      <c r="O159" s="10"/>
      <c r="P159" s="10"/>
    </row>
    <row r="160" spans="1:16" ht="12.75" x14ac:dyDescent="0.2">
      <c r="A160" s="119">
        <v>141</v>
      </c>
      <c r="B160" s="120" t="s">
        <v>47</v>
      </c>
      <c r="C160" s="120" t="s">
        <v>932</v>
      </c>
      <c r="D160" s="121">
        <v>1</v>
      </c>
      <c r="E160" s="121">
        <v>1</v>
      </c>
      <c r="F160" s="121" t="s">
        <v>831</v>
      </c>
      <c r="G160" s="121" t="s">
        <v>831</v>
      </c>
      <c r="H160" s="124">
        <v>2</v>
      </c>
      <c r="K160" s="11"/>
      <c r="L160" s="98"/>
      <c r="M160" s="98"/>
      <c r="O160" s="10"/>
      <c r="P160" s="10"/>
    </row>
    <row r="161" spans="1:16" ht="12.75" x14ac:dyDescent="0.2">
      <c r="A161" s="119">
        <v>142</v>
      </c>
      <c r="B161" s="120" t="s">
        <v>47</v>
      </c>
      <c r="C161" s="120" t="s">
        <v>933</v>
      </c>
      <c r="D161" s="121">
        <v>134</v>
      </c>
      <c r="E161" s="121">
        <v>95</v>
      </c>
      <c r="F161" s="121">
        <v>108</v>
      </c>
      <c r="G161" s="121">
        <v>244</v>
      </c>
      <c r="H161" s="124">
        <v>581</v>
      </c>
      <c r="K161" s="11"/>
      <c r="L161" s="98"/>
      <c r="M161" s="98"/>
      <c r="O161" s="10"/>
      <c r="P161" s="10"/>
    </row>
    <row r="162" spans="1:16" ht="12.75" x14ac:dyDescent="0.2">
      <c r="A162" s="119">
        <v>143</v>
      </c>
      <c r="B162" s="120" t="s">
        <v>47</v>
      </c>
      <c r="C162" s="120" t="s">
        <v>934</v>
      </c>
      <c r="D162" s="121">
        <v>147</v>
      </c>
      <c r="E162" s="121">
        <v>104</v>
      </c>
      <c r="F162" s="121">
        <v>120</v>
      </c>
      <c r="G162" s="121">
        <v>267</v>
      </c>
      <c r="H162" s="124">
        <v>638</v>
      </c>
      <c r="K162" s="11"/>
      <c r="L162" s="98"/>
      <c r="M162" s="98"/>
      <c r="O162" s="10"/>
      <c r="P162" s="10"/>
    </row>
    <row r="163" spans="1:16" ht="12.75" x14ac:dyDescent="0.2">
      <c r="A163" s="119">
        <v>144</v>
      </c>
      <c r="B163" s="120" t="s">
        <v>47</v>
      </c>
      <c r="C163" s="120" t="s">
        <v>935</v>
      </c>
      <c r="D163" s="121">
        <v>45</v>
      </c>
      <c r="E163" s="121">
        <v>32</v>
      </c>
      <c r="F163" s="121">
        <v>37</v>
      </c>
      <c r="G163" s="121">
        <v>90</v>
      </c>
      <c r="H163" s="124">
        <v>204</v>
      </c>
      <c r="K163" s="11"/>
      <c r="L163" s="98"/>
      <c r="M163" s="98"/>
      <c r="O163" s="10"/>
      <c r="P163" s="10"/>
    </row>
    <row r="164" spans="1:16" ht="12.75" x14ac:dyDescent="0.2">
      <c r="A164" s="119">
        <v>145</v>
      </c>
      <c r="B164" s="120" t="s">
        <v>47</v>
      </c>
      <c r="C164" s="120" t="s">
        <v>936</v>
      </c>
      <c r="D164" s="121">
        <v>1</v>
      </c>
      <c r="E164" s="121">
        <v>1</v>
      </c>
      <c r="F164" s="121" t="s">
        <v>831</v>
      </c>
      <c r="G164" s="121" t="s">
        <v>831</v>
      </c>
      <c r="H164" s="124">
        <v>2</v>
      </c>
      <c r="K164" s="11"/>
      <c r="L164" s="98"/>
      <c r="M164" s="98"/>
      <c r="O164" s="10"/>
      <c r="P164" s="10"/>
    </row>
    <row r="165" spans="1:16" ht="12.75" x14ac:dyDescent="0.2">
      <c r="A165" s="119">
        <v>146</v>
      </c>
      <c r="B165" s="120" t="s">
        <v>47</v>
      </c>
      <c r="C165" s="120" t="s">
        <v>937</v>
      </c>
      <c r="D165" s="121">
        <v>68</v>
      </c>
      <c r="E165" s="121">
        <v>49</v>
      </c>
      <c r="F165" s="121">
        <v>56</v>
      </c>
      <c r="G165" s="121">
        <v>140</v>
      </c>
      <c r="H165" s="124">
        <v>313</v>
      </c>
      <c r="K165" s="11"/>
      <c r="L165" s="98"/>
      <c r="M165" s="98"/>
      <c r="O165" s="10"/>
      <c r="P165" s="10"/>
    </row>
    <row r="166" spans="1:16" ht="12.75" x14ac:dyDescent="0.2">
      <c r="A166" s="119">
        <v>147</v>
      </c>
      <c r="B166" s="120" t="s">
        <v>47</v>
      </c>
      <c r="C166" s="120" t="s">
        <v>938</v>
      </c>
      <c r="D166" s="121">
        <v>283</v>
      </c>
      <c r="E166" s="121">
        <v>195</v>
      </c>
      <c r="F166" s="121">
        <v>224</v>
      </c>
      <c r="G166" s="121">
        <v>525</v>
      </c>
      <c r="H166" s="123">
        <v>1227</v>
      </c>
      <c r="K166" s="11"/>
      <c r="L166" s="98"/>
      <c r="M166" s="98"/>
      <c r="O166" s="10"/>
      <c r="P166" s="10"/>
    </row>
    <row r="167" spans="1:16" ht="12.75" x14ac:dyDescent="0.2">
      <c r="A167" s="119">
        <v>148</v>
      </c>
      <c r="B167" s="120" t="s">
        <v>47</v>
      </c>
      <c r="C167" s="120" t="s">
        <v>939</v>
      </c>
      <c r="D167" s="121">
        <v>3</v>
      </c>
      <c r="E167" s="121">
        <v>2</v>
      </c>
      <c r="F167" s="121">
        <v>3</v>
      </c>
      <c r="G167" s="121">
        <v>6</v>
      </c>
      <c r="H167" s="124">
        <v>14</v>
      </c>
      <c r="K167" s="11"/>
      <c r="L167" s="98"/>
      <c r="M167" s="98"/>
      <c r="O167" s="10"/>
      <c r="P167" s="10"/>
    </row>
    <row r="168" spans="1:16" ht="12.75" x14ac:dyDescent="0.2">
      <c r="A168" s="119">
        <v>149</v>
      </c>
      <c r="B168" s="120" t="s">
        <v>47</v>
      </c>
      <c r="C168" s="120" t="s">
        <v>940</v>
      </c>
      <c r="D168" s="121">
        <v>1</v>
      </c>
      <c r="E168" s="121">
        <v>1</v>
      </c>
      <c r="F168" s="121" t="s">
        <v>831</v>
      </c>
      <c r="G168" s="121" t="s">
        <v>831</v>
      </c>
      <c r="H168" s="124">
        <v>2</v>
      </c>
      <c r="K168" s="11"/>
      <c r="L168" s="98"/>
      <c r="M168" s="98"/>
      <c r="O168" s="10"/>
      <c r="P168" s="10"/>
    </row>
    <row r="169" spans="1:16" ht="12.75" x14ac:dyDescent="0.2">
      <c r="A169" s="119">
        <v>150</v>
      </c>
      <c r="B169" s="120" t="s">
        <v>47</v>
      </c>
      <c r="C169" s="120" t="s">
        <v>941</v>
      </c>
      <c r="D169" s="121">
        <v>160</v>
      </c>
      <c r="E169" s="121">
        <v>113</v>
      </c>
      <c r="F169" s="121">
        <v>126</v>
      </c>
      <c r="G169" s="121">
        <v>270</v>
      </c>
      <c r="H169" s="124">
        <v>669</v>
      </c>
      <c r="K169" s="11"/>
      <c r="L169" s="98"/>
      <c r="M169" s="98"/>
      <c r="O169" s="10"/>
      <c r="P169" s="10"/>
    </row>
    <row r="170" spans="1:16" ht="12.75" x14ac:dyDescent="0.2">
      <c r="A170" s="119">
        <v>151</v>
      </c>
      <c r="B170" s="120" t="s">
        <v>47</v>
      </c>
      <c r="C170" s="120" t="s">
        <v>807</v>
      </c>
      <c r="D170" s="122">
        <v>1240</v>
      </c>
      <c r="E170" s="121">
        <v>879</v>
      </c>
      <c r="F170" s="121">
        <v>979</v>
      </c>
      <c r="G170" s="122">
        <v>2174</v>
      </c>
      <c r="H170" s="123">
        <v>5272</v>
      </c>
      <c r="K170" s="11"/>
      <c r="L170" s="98"/>
      <c r="M170" s="98"/>
      <c r="O170" s="10"/>
      <c r="P170" s="10"/>
    </row>
    <row r="171" spans="1:16" ht="12.75" x14ac:dyDescent="0.2">
      <c r="A171" s="99"/>
      <c r="B171" s="116" t="s">
        <v>49</v>
      </c>
      <c r="C171" s="117"/>
      <c r="D171" s="115">
        <v>24117</v>
      </c>
      <c r="E171" s="115">
        <v>16319</v>
      </c>
      <c r="F171" s="115">
        <v>18459</v>
      </c>
      <c r="G171" s="115">
        <v>42479</v>
      </c>
      <c r="H171" s="115">
        <v>101374</v>
      </c>
      <c r="K171" s="11"/>
      <c r="L171" s="98"/>
      <c r="M171" s="98"/>
      <c r="O171" s="10"/>
      <c r="P171" s="10"/>
    </row>
    <row r="172" spans="1:16" ht="12.75" x14ac:dyDescent="0.2">
      <c r="A172" s="119">
        <v>152</v>
      </c>
      <c r="B172" s="120" t="s">
        <v>49</v>
      </c>
      <c r="C172" s="120" t="s">
        <v>942</v>
      </c>
      <c r="D172" s="121">
        <v>872</v>
      </c>
      <c r="E172" s="121">
        <v>593</v>
      </c>
      <c r="F172" s="121">
        <v>685</v>
      </c>
      <c r="G172" s="122">
        <v>1642</v>
      </c>
      <c r="H172" s="123">
        <v>3792</v>
      </c>
      <c r="K172" s="11"/>
      <c r="L172" s="98"/>
      <c r="M172" s="98"/>
      <c r="O172" s="10"/>
      <c r="P172" s="10"/>
    </row>
    <row r="173" spans="1:16" ht="12.75" x14ac:dyDescent="0.2">
      <c r="A173" s="119">
        <v>153</v>
      </c>
      <c r="B173" s="120" t="s">
        <v>49</v>
      </c>
      <c r="C173" s="120" t="s">
        <v>943</v>
      </c>
      <c r="D173" s="122">
        <v>1267</v>
      </c>
      <c r="E173" s="121">
        <v>854</v>
      </c>
      <c r="F173" s="121">
        <v>969</v>
      </c>
      <c r="G173" s="122">
        <v>2160</v>
      </c>
      <c r="H173" s="123">
        <v>5250</v>
      </c>
      <c r="K173" s="11"/>
      <c r="L173" s="98"/>
      <c r="M173" s="98"/>
      <c r="O173" s="10"/>
      <c r="P173" s="10"/>
    </row>
    <row r="174" spans="1:16" ht="12.75" x14ac:dyDescent="0.2">
      <c r="A174" s="119">
        <v>154</v>
      </c>
      <c r="B174" s="120" t="s">
        <v>49</v>
      </c>
      <c r="C174" s="120" t="s">
        <v>944</v>
      </c>
      <c r="D174" s="121">
        <v>91</v>
      </c>
      <c r="E174" s="121">
        <v>64</v>
      </c>
      <c r="F174" s="121">
        <v>75</v>
      </c>
      <c r="G174" s="121">
        <v>172</v>
      </c>
      <c r="H174" s="124">
        <v>402</v>
      </c>
      <c r="K174" s="11"/>
      <c r="L174" s="98"/>
      <c r="M174" s="98"/>
      <c r="O174" s="10"/>
      <c r="P174" s="10"/>
    </row>
    <row r="175" spans="1:16" ht="12.75" x14ac:dyDescent="0.2">
      <c r="A175" s="119">
        <v>155</v>
      </c>
      <c r="B175" s="120" t="s">
        <v>49</v>
      </c>
      <c r="C175" s="120" t="s">
        <v>945</v>
      </c>
      <c r="D175" s="121">
        <v>543</v>
      </c>
      <c r="E175" s="121">
        <v>383</v>
      </c>
      <c r="F175" s="121">
        <v>433</v>
      </c>
      <c r="G175" s="121">
        <v>982</v>
      </c>
      <c r="H175" s="123">
        <v>2341</v>
      </c>
      <c r="K175" s="11"/>
      <c r="L175" s="98"/>
      <c r="M175" s="98"/>
      <c r="O175" s="10"/>
      <c r="P175" s="10"/>
    </row>
    <row r="176" spans="1:16" ht="12.75" x14ac:dyDescent="0.2">
      <c r="A176" s="119">
        <v>156</v>
      </c>
      <c r="B176" s="120" t="s">
        <v>49</v>
      </c>
      <c r="C176" s="120" t="s">
        <v>946</v>
      </c>
      <c r="D176" s="121">
        <v>21</v>
      </c>
      <c r="E176" s="121">
        <v>14</v>
      </c>
      <c r="F176" s="121">
        <v>16</v>
      </c>
      <c r="G176" s="121">
        <v>32</v>
      </c>
      <c r="H176" s="124">
        <v>83</v>
      </c>
      <c r="K176" s="11"/>
      <c r="L176" s="98"/>
      <c r="M176" s="98"/>
      <c r="O176" s="10"/>
      <c r="P176" s="10"/>
    </row>
    <row r="177" spans="1:16" ht="12.75" x14ac:dyDescent="0.2">
      <c r="A177" s="119">
        <v>157</v>
      </c>
      <c r="B177" s="120" t="s">
        <v>49</v>
      </c>
      <c r="C177" s="120" t="s">
        <v>947</v>
      </c>
      <c r="D177" s="121">
        <v>141</v>
      </c>
      <c r="E177" s="121">
        <v>95</v>
      </c>
      <c r="F177" s="121">
        <v>110</v>
      </c>
      <c r="G177" s="121">
        <v>254</v>
      </c>
      <c r="H177" s="124">
        <v>600</v>
      </c>
      <c r="K177" s="11"/>
      <c r="L177" s="98"/>
      <c r="M177" s="98"/>
      <c r="O177" s="10"/>
      <c r="P177" s="10"/>
    </row>
    <row r="178" spans="1:16" ht="12.75" x14ac:dyDescent="0.2">
      <c r="A178" s="119">
        <v>158</v>
      </c>
      <c r="B178" s="120" t="s">
        <v>49</v>
      </c>
      <c r="C178" s="120" t="s">
        <v>948</v>
      </c>
      <c r="D178" s="122">
        <v>1555</v>
      </c>
      <c r="E178" s="122">
        <v>1059</v>
      </c>
      <c r="F178" s="122">
        <v>1212</v>
      </c>
      <c r="G178" s="122">
        <v>2945</v>
      </c>
      <c r="H178" s="123">
        <v>6771</v>
      </c>
      <c r="K178" s="11"/>
      <c r="L178" s="98"/>
      <c r="M178" s="98"/>
      <c r="O178" s="10"/>
      <c r="P178" s="10"/>
    </row>
    <row r="179" spans="1:16" ht="12.75" x14ac:dyDescent="0.2">
      <c r="A179" s="119">
        <v>159</v>
      </c>
      <c r="B179" s="120" t="s">
        <v>49</v>
      </c>
      <c r="C179" s="120" t="s">
        <v>949</v>
      </c>
      <c r="D179" s="121">
        <v>192</v>
      </c>
      <c r="E179" s="121">
        <v>128</v>
      </c>
      <c r="F179" s="121">
        <v>142</v>
      </c>
      <c r="G179" s="121">
        <v>308</v>
      </c>
      <c r="H179" s="124">
        <v>770</v>
      </c>
      <c r="K179" s="11"/>
      <c r="L179" s="98"/>
      <c r="M179" s="98"/>
      <c r="O179" s="10"/>
      <c r="P179" s="10"/>
    </row>
    <row r="180" spans="1:16" ht="12.75" x14ac:dyDescent="0.2">
      <c r="A180" s="119">
        <v>160</v>
      </c>
      <c r="B180" s="120" t="s">
        <v>49</v>
      </c>
      <c r="C180" s="120" t="s">
        <v>950</v>
      </c>
      <c r="D180" s="121">
        <v>946</v>
      </c>
      <c r="E180" s="121">
        <v>661</v>
      </c>
      <c r="F180" s="121">
        <v>772</v>
      </c>
      <c r="G180" s="122">
        <v>1817</v>
      </c>
      <c r="H180" s="123">
        <v>4196</v>
      </c>
      <c r="K180" s="11"/>
      <c r="L180" s="98"/>
      <c r="M180" s="98"/>
      <c r="O180" s="10"/>
      <c r="P180" s="10"/>
    </row>
    <row r="181" spans="1:16" ht="12.75" x14ac:dyDescent="0.2">
      <c r="A181" s="119">
        <v>161</v>
      </c>
      <c r="B181" s="120" t="s">
        <v>49</v>
      </c>
      <c r="C181" s="136" t="s">
        <v>951</v>
      </c>
      <c r="D181" s="121">
        <v>374</v>
      </c>
      <c r="E181" s="121">
        <v>250</v>
      </c>
      <c r="F181" s="121">
        <v>274</v>
      </c>
      <c r="G181" s="121">
        <v>565</v>
      </c>
      <c r="H181" s="123">
        <v>1463</v>
      </c>
      <c r="K181" s="11"/>
      <c r="L181" s="98"/>
      <c r="M181" s="98"/>
      <c r="O181" s="10"/>
      <c r="P181" s="10"/>
    </row>
    <row r="182" spans="1:16" ht="12.75" x14ac:dyDescent="0.2">
      <c r="A182" s="119">
        <v>162</v>
      </c>
      <c r="B182" s="120" t="s">
        <v>49</v>
      </c>
      <c r="C182" s="120" t="s">
        <v>952</v>
      </c>
      <c r="D182" s="121">
        <v>134</v>
      </c>
      <c r="E182" s="121">
        <v>96</v>
      </c>
      <c r="F182" s="121">
        <v>112</v>
      </c>
      <c r="G182" s="121">
        <v>262</v>
      </c>
      <c r="H182" s="124">
        <v>604</v>
      </c>
      <c r="K182" s="11"/>
      <c r="L182" s="98"/>
      <c r="M182" s="98"/>
      <c r="O182" s="10"/>
      <c r="P182" s="10"/>
    </row>
    <row r="183" spans="1:16" ht="12.75" x14ac:dyDescent="0.2">
      <c r="A183" s="119">
        <v>163</v>
      </c>
      <c r="B183" s="120" t="s">
        <v>49</v>
      </c>
      <c r="C183" s="120" t="s">
        <v>953</v>
      </c>
      <c r="D183" s="121">
        <v>40</v>
      </c>
      <c r="E183" s="121">
        <v>27</v>
      </c>
      <c r="F183" s="121">
        <v>31</v>
      </c>
      <c r="G183" s="121">
        <v>62</v>
      </c>
      <c r="H183" s="124">
        <v>160</v>
      </c>
      <c r="K183" s="11"/>
      <c r="L183" s="98"/>
      <c r="M183" s="98"/>
      <c r="O183" s="10"/>
      <c r="P183" s="10"/>
    </row>
    <row r="184" spans="1:16" ht="12.75" x14ac:dyDescent="0.2">
      <c r="A184" s="119">
        <v>164</v>
      </c>
      <c r="B184" s="120" t="s">
        <v>49</v>
      </c>
      <c r="C184" s="120" t="s">
        <v>954</v>
      </c>
      <c r="D184" s="121">
        <v>714</v>
      </c>
      <c r="E184" s="121">
        <v>487</v>
      </c>
      <c r="F184" s="121">
        <v>553</v>
      </c>
      <c r="G184" s="122">
        <v>1271</v>
      </c>
      <c r="H184" s="123">
        <v>3025</v>
      </c>
      <c r="K184" s="11"/>
      <c r="L184" s="98"/>
      <c r="M184" s="98"/>
      <c r="O184" s="10"/>
      <c r="P184" s="10"/>
    </row>
    <row r="185" spans="1:16" ht="12.75" x14ac:dyDescent="0.2">
      <c r="A185" s="119">
        <v>165</v>
      </c>
      <c r="B185" s="120" t="s">
        <v>49</v>
      </c>
      <c r="C185" s="120" t="s">
        <v>955</v>
      </c>
      <c r="D185" s="121">
        <v>409</v>
      </c>
      <c r="E185" s="121">
        <v>275</v>
      </c>
      <c r="F185" s="121">
        <v>307</v>
      </c>
      <c r="G185" s="121">
        <v>721</v>
      </c>
      <c r="H185" s="123">
        <v>1712</v>
      </c>
      <c r="K185" s="11"/>
      <c r="L185" s="98"/>
      <c r="M185" s="98"/>
      <c r="O185" s="10"/>
      <c r="P185" s="10"/>
    </row>
    <row r="186" spans="1:16" ht="12.75" x14ac:dyDescent="0.2">
      <c r="A186" s="119">
        <v>166</v>
      </c>
      <c r="B186" s="120" t="s">
        <v>49</v>
      </c>
      <c r="C186" s="120" t="s">
        <v>956</v>
      </c>
      <c r="D186" s="121">
        <v>91</v>
      </c>
      <c r="E186" s="121">
        <v>61</v>
      </c>
      <c r="F186" s="121">
        <v>66</v>
      </c>
      <c r="G186" s="121">
        <v>146</v>
      </c>
      <c r="H186" s="124">
        <v>364</v>
      </c>
      <c r="K186" s="11"/>
      <c r="L186" s="98"/>
      <c r="M186" s="98"/>
      <c r="O186" s="10"/>
      <c r="P186" s="10"/>
    </row>
    <row r="187" spans="1:16" ht="12.75" x14ac:dyDescent="0.2">
      <c r="A187" s="119">
        <v>167</v>
      </c>
      <c r="B187" s="120" t="s">
        <v>49</v>
      </c>
      <c r="C187" s="120" t="s">
        <v>957</v>
      </c>
      <c r="D187" s="122">
        <v>1196</v>
      </c>
      <c r="E187" s="121">
        <v>801</v>
      </c>
      <c r="F187" s="121">
        <v>897</v>
      </c>
      <c r="G187" s="122">
        <v>2035</v>
      </c>
      <c r="H187" s="123">
        <v>4929</v>
      </c>
      <c r="K187" s="11"/>
      <c r="L187" s="98"/>
      <c r="M187" s="98"/>
      <c r="O187" s="10"/>
      <c r="P187" s="10"/>
    </row>
    <row r="188" spans="1:16" ht="12.75" x14ac:dyDescent="0.2">
      <c r="A188" s="119">
        <v>168</v>
      </c>
      <c r="B188" s="120" t="s">
        <v>49</v>
      </c>
      <c r="C188" s="120" t="s">
        <v>958</v>
      </c>
      <c r="D188" s="122">
        <v>1488</v>
      </c>
      <c r="E188" s="122">
        <v>1007</v>
      </c>
      <c r="F188" s="122">
        <v>1140</v>
      </c>
      <c r="G188" s="122">
        <v>2610</v>
      </c>
      <c r="H188" s="123">
        <v>6245</v>
      </c>
      <c r="K188" s="11"/>
      <c r="L188" s="98"/>
      <c r="M188" s="98"/>
      <c r="O188" s="10"/>
      <c r="P188" s="10"/>
    </row>
    <row r="189" spans="1:16" ht="12.75" x14ac:dyDescent="0.2">
      <c r="A189" s="119">
        <v>169</v>
      </c>
      <c r="B189" s="120" t="s">
        <v>49</v>
      </c>
      <c r="C189" s="120" t="s">
        <v>959</v>
      </c>
      <c r="D189" s="122">
        <v>1500</v>
      </c>
      <c r="E189" s="121">
        <v>993</v>
      </c>
      <c r="F189" s="122">
        <v>1112</v>
      </c>
      <c r="G189" s="122">
        <v>2564</v>
      </c>
      <c r="H189" s="123">
        <v>6169</v>
      </c>
      <c r="K189" s="11"/>
      <c r="L189" s="98"/>
      <c r="M189" s="98"/>
      <c r="O189" s="10"/>
      <c r="P189" s="10"/>
    </row>
    <row r="190" spans="1:16" ht="12.75" x14ac:dyDescent="0.2">
      <c r="A190" s="119">
        <v>170</v>
      </c>
      <c r="B190" s="120" t="s">
        <v>49</v>
      </c>
      <c r="C190" s="120" t="s">
        <v>960</v>
      </c>
      <c r="D190" s="121">
        <v>395</v>
      </c>
      <c r="E190" s="121">
        <v>262</v>
      </c>
      <c r="F190" s="121">
        <v>289</v>
      </c>
      <c r="G190" s="121">
        <v>627</v>
      </c>
      <c r="H190" s="123">
        <v>1573</v>
      </c>
      <c r="K190" s="11"/>
      <c r="L190" s="98"/>
      <c r="M190" s="98"/>
      <c r="O190" s="10"/>
      <c r="P190" s="10"/>
    </row>
    <row r="191" spans="1:16" ht="12.75" x14ac:dyDescent="0.2">
      <c r="A191" s="119">
        <v>171</v>
      </c>
      <c r="B191" s="120" t="s">
        <v>49</v>
      </c>
      <c r="C191" s="120" t="s">
        <v>961</v>
      </c>
      <c r="D191" s="121">
        <v>205</v>
      </c>
      <c r="E191" s="121">
        <v>136</v>
      </c>
      <c r="F191" s="121">
        <v>151</v>
      </c>
      <c r="G191" s="121">
        <v>326</v>
      </c>
      <c r="H191" s="124">
        <v>818</v>
      </c>
      <c r="K191" s="11"/>
      <c r="L191" s="98"/>
      <c r="M191" s="98"/>
      <c r="O191" s="10"/>
      <c r="P191" s="10"/>
    </row>
    <row r="192" spans="1:16" ht="12.75" x14ac:dyDescent="0.2">
      <c r="A192" s="119">
        <v>172</v>
      </c>
      <c r="B192" s="120" t="s">
        <v>49</v>
      </c>
      <c r="C192" s="120" t="s">
        <v>962</v>
      </c>
      <c r="D192" s="121">
        <v>98</v>
      </c>
      <c r="E192" s="121">
        <v>67</v>
      </c>
      <c r="F192" s="121">
        <v>76</v>
      </c>
      <c r="G192" s="121">
        <v>172</v>
      </c>
      <c r="H192" s="124">
        <v>413</v>
      </c>
      <c r="K192" s="11"/>
      <c r="L192" s="98"/>
      <c r="M192" s="98"/>
      <c r="O192" s="10"/>
      <c r="P192" s="10"/>
    </row>
    <row r="193" spans="1:16" ht="12.75" x14ac:dyDescent="0.2">
      <c r="A193" s="119">
        <v>173</v>
      </c>
      <c r="B193" s="120" t="s">
        <v>49</v>
      </c>
      <c r="C193" s="120" t="s">
        <v>963</v>
      </c>
      <c r="D193" s="121">
        <v>63</v>
      </c>
      <c r="E193" s="121">
        <v>43</v>
      </c>
      <c r="F193" s="121">
        <v>50</v>
      </c>
      <c r="G193" s="121">
        <v>116</v>
      </c>
      <c r="H193" s="124">
        <v>272</v>
      </c>
      <c r="K193" s="11"/>
      <c r="L193" s="98"/>
      <c r="M193" s="98"/>
      <c r="O193" s="10"/>
      <c r="P193" s="10"/>
    </row>
    <row r="194" spans="1:16" ht="12.75" x14ac:dyDescent="0.2">
      <c r="A194" s="119">
        <v>174</v>
      </c>
      <c r="B194" s="120" t="s">
        <v>49</v>
      </c>
      <c r="C194" s="120" t="s">
        <v>964</v>
      </c>
      <c r="D194" s="122">
        <v>1026</v>
      </c>
      <c r="E194" s="121">
        <v>681</v>
      </c>
      <c r="F194" s="121">
        <v>759</v>
      </c>
      <c r="G194" s="122">
        <v>1814</v>
      </c>
      <c r="H194" s="123">
        <v>4280</v>
      </c>
      <c r="K194" s="11"/>
      <c r="L194" s="98"/>
      <c r="M194" s="98"/>
      <c r="O194" s="10"/>
      <c r="P194" s="10"/>
    </row>
    <row r="195" spans="1:16" ht="12.75" x14ac:dyDescent="0.2">
      <c r="A195" s="119">
        <v>175</v>
      </c>
      <c r="B195" s="120" t="s">
        <v>49</v>
      </c>
      <c r="C195" s="120" t="s">
        <v>965</v>
      </c>
      <c r="D195" s="121">
        <v>23</v>
      </c>
      <c r="E195" s="121">
        <v>15</v>
      </c>
      <c r="F195" s="121">
        <v>18</v>
      </c>
      <c r="G195" s="121">
        <v>39</v>
      </c>
      <c r="H195" s="124">
        <v>95</v>
      </c>
      <c r="K195" s="11"/>
      <c r="L195" s="98"/>
      <c r="M195" s="98"/>
      <c r="O195" s="10"/>
      <c r="P195" s="10"/>
    </row>
    <row r="196" spans="1:16" ht="12.75" x14ac:dyDescent="0.2">
      <c r="A196" s="119">
        <v>176</v>
      </c>
      <c r="B196" s="120" t="s">
        <v>49</v>
      </c>
      <c r="C196" s="120" t="s">
        <v>49</v>
      </c>
      <c r="D196" s="122">
        <v>2002</v>
      </c>
      <c r="E196" s="122">
        <v>1336</v>
      </c>
      <c r="F196" s="122">
        <v>1503</v>
      </c>
      <c r="G196" s="122">
        <v>3442</v>
      </c>
      <c r="H196" s="123">
        <v>8283</v>
      </c>
      <c r="K196" s="11"/>
      <c r="L196" s="98"/>
      <c r="M196" s="98"/>
      <c r="O196" s="10"/>
      <c r="P196" s="10"/>
    </row>
    <row r="197" spans="1:16" ht="12.75" x14ac:dyDescent="0.2">
      <c r="A197" s="119">
        <v>177</v>
      </c>
      <c r="B197" s="120" t="s">
        <v>49</v>
      </c>
      <c r="C197" s="120" t="s">
        <v>966</v>
      </c>
      <c r="D197" s="121">
        <v>562</v>
      </c>
      <c r="E197" s="121">
        <v>394</v>
      </c>
      <c r="F197" s="121">
        <v>441</v>
      </c>
      <c r="G197" s="122">
        <v>1036</v>
      </c>
      <c r="H197" s="123">
        <v>2433</v>
      </c>
      <c r="K197" s="11"/>
      <c r="L197" s="98"/>
      <c r="M197" s="98"/>
      <c r="O197" s="10"/>
      <c r="P197" s="10"/>
    </row>
    <row r="198" spans="1:16" ht="12.75" x14ac:dyDescent="0.2">
      <c r="A198" s="119">
        <v>178</v>
      </c>
      <c r="B198" s="120" t="s">
        <v>49</v>
      </c>
      <c r="C198" s="120" t="s">
        <v>967</v>
      </c>
      <c r="D198" s="121">
        <v>375</v>
      </c>
      <c r="E198" s="121">
        <v>251</v>
      </c>
      <c r="F198" s="121">
        <v>271</v>
      </c>
      <c r="G198" s="121">
        <v>596</v>
      </c>
      <c r="H198" s="123">
        <v>1493</v>
      </c>
      <c r="K198" s="11"/>
      <c r="L198" s="98"/>
      <c r="M198" s="98"/>
      <c r="O198" s="10"/>
      <c r="P198" s="10"/>
    </row>
    <row r="199" spans="1:16" ht="12.75" x14ac:dyDescent="0.2">
      <c r="A199" s="119">
        <v>179</v>
      </c>
      <c r="B199" s="120" t="s">
        <v>49</v>
      </c>
      <c r="C199" s="120" t="s">
        <v>968</v>
      </c>
      <c r="D199" s="121">
        <v>621</v>
      </c>
      <c r="E199" s="121">
        <v>415</v>
      </c>
      <c r="F199" s="121">
        <v>461</v>
      </c>
      <c r="G199" s="122">
        <v>1038</v>
      </c>
      <c r="H199" s="123">
        <v>2535</v>
      </c>
      <c r="K199" s="11"/>
      <c r="L199" s="98"/>
      <c r="M199" s="98"/>
      <c r="O199" s="10"/>
      <c r="P199" s="10"/>
    </row>
    <row r="200" spans="1:16" ht="12.75" x14ac:dyDescent="0.2">
      <c r="A200" s="119">
        <v>180</v>
      </c>
      <c r="B200" s="120" t="s">
        <v>49</v>
      </c>
      <c r="C200" s="120" t="s">
        <v>807</v>
      </c>
      <c r="D200" s="122">
        <v>7173</v>
      </c>
      <c r="E200" s="122">
        <v>4871</v>
      </c>
      <c r="F200" s="122">
        <v>5534</v>
      </c>
      <c r="G200" s="122">
        <v>12725</v>
      </c>
      <c r="H200" s="123">
        <v>30303</v>
      </c>
      <c r="K200" s="11"/>
      <c r="L200" s="98"/>
      <c r="M200" s="98"/>
      <c r="O200" s="10"/>
      <c r="P200" s="10"/>
    </row>
    <row r="201" spans="1:16" ht="12.75" x14ac:dyDescent="0.2">
      <c r="A201" s="99"/>
      <c r="B201" s="116" t="s">
        <v>52</v>
      </c>
      <c r="C201" s="117"/>
      <c r="D201" s="115">
        <v>13399</v>
      </c>
      <c r="E201" s="115">
        <v>9265</v>
      </c>
      <c r="F201" s="115">
        <v>10490</v>
      </c>
      <c r="G201" s="115">
        <v>24053</v>
      </c>
      <c r="H201" s="115">
        <v>57207</v>
      </c>
      <c r="K201" s="11"/>
      <c r="L201" s="98"/>
      <c r="M201" s="98"/>
      <c r="O201" s="10"/>
      <c r="P201" s="10"/>
    </row>
    <row r="202" spans="1:16" ht="12.75" x14ac:dyDescent="0.2">
      <c r="A202" s="119">
        <v>181</v>
      </c>
      <c r="B202" s="120" t="s">
        <v>52</v>
      </c>
      <c r="C202" s="120" t="s">
        <v>969</v>
      </c>
      <c r="D202" s="121">
        <v>633</v>
      </c>
      <c r="E202" s="121">
        <v>459</v>
      </c>
      <c r="F202" s="121">
        <v>513</v>
      </c>
      <c r="G202" s="122">
        <v>1236</v>
      </c>
      <c r="H202" s="123">
        <v>2841</v>
      </c>
      <c r="K202" s="11"/>
      <c r="L202" s="98"/>
      <c r="M202" s="98"/>
      <c r="O202" s="10"/>
      <c r="P202" s="10"/>
    </row>
    <row r="203" spans="1:16" ht="12.75" x14ac:dyDescent="0.2">
      <c r="A203" s="119">
        <v>182</v>
      </c>
      <c r="B203" s="120" t="s">
        <v>52</v>
      </c>
      <c r="C203" s="120" t="s">
        <v>970</v>
      </c>
      <c r="D203" s="121">
        <v>764</v>
      </c>
      <c r="E203" s="121">
        <v>541</v>
      </c>
      <c r="F203" s="121">
        <v>622</v>
      </c>
      <c r="G203" s="122">
        <v>1407</v>
      </c>
      <c r="H203" s="123">
        <v>3334</v>
      </c>
      <c r="K203" s="11"/>
      <c r="L203" s="98"/>
      <c r="M203" s="98"/>
      <c r="O203" s="10"/>
      <c r="P203" s="10"/>
    </row>
    <row r="204" spans="1:16" ht="12.75" x14ac:dyDescent="0.2">
      <c r="A204" s="119">
        <v>183</v>
      </c>
      <c r="B204" s="120" t="s">
        <v>52</v>
      </c>
      <c r="C204" s="120" t="s">
        <v>971</v>
      </c>
      <c r="D204" s="121">
        <v>188</v>
      </c>
      <c r="E204" s="121">
        <v>138</v>
      </c>
      <c r="F204" s="121">
        <v>154</v>
      </c>
      <c r="G204" s="121">
        <v>363</v>
      </c>
      <c r="H204" s="124">
        <v>843</v>
      </c>
      <c r="K204" s="11"/>
      <c r="L204" s="98"/>
      <c r="M204" s="98"/>
      <c r="O204" s="10"/>
      <c r="P204" s="10"/>
    </row>
    <row r="205" spans="1:16" ht="12.75" x14ac:dyDescent="0.2">
      <c r="A205" s="119">
        <v>184</v>
      </c>
      <c r="B205" s="120" t="s">
        <v>52</v>
      </c>
      <c r="C205" s="120" t="s">
        <v>972</v>
      </c>
      <c r="D205" s="121">
        <v>1</v>
      </c>
      <c r="E205" s="121">
        <v>1</v>
      </c>
      <c r="F205" s="121" t="s">
        <v>831</v>
      </c>
      <c r="G205" s="121" t="s">
        <v>831</v>
      </c>
      <c r="H205" s="124">
        <v>2</v>
      </c>
      <c r="K205" s="11"/>
      <c r="L205" s="98"/>
      <c r="M205" s="98"/>
      <c r="O205" s="10"/>
      <c r="P205" s="10"/>
    </row>
    <row r="206" spans="1:16" ht="12.75" x14ac:dyDescent="0.2">
      <c r="A206" s="119">
        <v>185</v>
      </c>
      <c r="B206" s="120" t="s">
        <v>52</v>
      </c>
      <c r="C206" s="120" t="s">
        <v>973</v>
      </c>
      <c r="D206" s="121">
        <v>707</v>
      </c>
      <c r="E206" s="121">
        <v>478</v>
      </c>
      <c r="F206" s="121">
        <v>533</v>
      </c>
      <c r="G206" s="122">
        <v>1176</v>
      </c>
      <c r="H206" s="123">
        <v>2894</v>
      </c>
      <c r="K206" s="11"/>
      <c r="L206" s="98"/>
      <c r="M206" s="98"/>
      <c r="O206" s="10"/>
      <c r="P206" s="10"/>
    </row>
    <row r="207" spans="1:16" ht="12.75" x14ac:dyDescent="0.2">
      <c r="A207" s="119">
        <v>186</v>
      </c>
      <c r="B207" s="120" t="s">
        <v>52</v>
      </c>
      <c r="C207" s="120" t="s">
        <v>974</v>
      </c>
      <c r="D207" s="121">
        <v>217</v>
      </c>
      <c r="E207" s="121">
        <v>148</v>
      </c>
      <c r="F207" s="121">
        <v>164</v>
      </c>
      <c r="G207" s="121">
        <v>333</v>
      </c>
      <c r="H207" s="124">
        <v>862</v>
      </c>
      <c r="K207" s="11"/>
      <c r="L207" s="98"/>
      <c r="M207" s="98"/>
      <c r="O207" s="10"/>
      <c r="P207" s="10"/>
    </row>
    <row r="208" spans="1:16" ht="12.75" x14ac:dyDescent="0.2">
      <c r="A208" s="119">
        <v>187</v>
      </c>
      <c r="B208" s="120" t="s">
        <v>52</v>
      </c>
      <c r="C208" s="120" t="s">
        <v>975</v>
      </c>
      <c r="D208" s="121">
        <v>443</v>
      </c>
      <c r="E208" s="121">
        <v>302</v>
      </c>
      <c r="F208" s="121">
        <v>347</v>
      </c>
      <c r="G208" s="121">
        <v>831</v>
      </c>
      <c r="H208" s="123">
        <v>1923</v>
      </c>
      <c r="K208" s="11"/>
      <c r="L208" s="98"/>
      <c r="M208" s="98"/>
      <c r="O208" s="10"/>
      <c r="P208" s="10"/>
    </row>
    <row r="209" spans="1:16" ht="12.75" x14ac:dyDescent="0.2">
      <c r="A209" s="119">
        <v>188</v>
      </c>
      <c r="B209" s="120" t="s">
        <v>52</v>
      </c>
      <c r="C209" s="120" t="s">
        <v>976</v>
      </c>
      <c r="D209" s="122">
        <v>1442</v>
      </c>
      <c r="E209" s="121">
        <v>974</v>
      </c>
      <c r="F209" s="122">
        <v>1090</v>
      </c>
      <c r="G209" s="122">
        <v>2471</v>
      </c>
      <c r="H209" s="123">
        <v>5977</v>
      </c>
      <c r="K209" s="11"/>
      <c r="L209" s="98"/>
      <c r="M209" s="98"/>
      <c r="O209" s="10"/>
      <c r="P209" s="10"/>
    </row>
    <row r="210" spans="1:16" ht="12.75" x14ac:dyDescent="0.2">
      <c r="A210" s="119">
        <v>189</v>
      </c>
      <c r="B210" s="120" t="s">
        <v>52</v>
      </c>
      <c r="C210" s="120" t="s">
        <v>977</v>
      </c>
      <c r="D210" s="121">
        <v>28</v>
      </c>
      <c r="E210" s="121">
        <v>19</v>
      </c>
      <c r="F210" s="121">
        <v>22</v>
      </c>
      <c r="G210" s="121">
        <v>49</v>
      </c>
      <c r="H210" s="124">
        <v>118</v>
      </c>
      <c r="K210" s="11"/>
      <c r="L210" s="98"/>
      <c r="M210" s="98"/>
      <c r="O210" s="10"/>
      <c r="P210" s="10"/>
    </row>
    <row r="211" spans="1:16" ht="12.75" x14ac:dyDescent="0.2">
      <c r="A211" s="119">
        <v>190</v>
      </c>
      <c r="B211" s="120" t="s">
        <v>52</v>
      </c>
      <c r="C211" s="120" t="s">
        <v>978</v>
      </c>
      <c r="D211" s="121">
        <v>398</v>
      </c>
      <c r="E211" s="121">
        <v>274</v>
      </c>
      <c r="F211" s="121">
        <v>314</v>
      </c>
      <c r="G211" s="121">
        <v>729</v>
      </c>
      <c r="H211" s="123">
        <v>1715</v>
      </c>
      <c r="K211" s="11"/>
      <c r="L211" s="98"/>
      <c r="M211" s="98"/>
      <c r="O211" s="10"/>
      <c r="P211" s="10"/>
    </row>
    <row r="212" spans="1:16" ht="12.75" x14ac:dyDescent="0.2">
      <c r="A212" s="119">
        <v>191</v>
      </c>
      <c r="B212" s="120" t="s">
        <v>52</v>
      </c>
      <c r="C212" s="120" t="s">
        <v>979</v>
      </c>
      <c r="D212" s="121">
        <v>349</v>
      </c>
      <c r="E212" s="121">
        <v>246</v>
      </c>
      <c r="F212" s="121">
        <v>280</v>
      </c>
      <c r="G212" s="121">
        <v>625</v>
      </c>
      <c r="H212" s="123">
        <v>1500</v>
      </c>
      <c r="K212" s="11"/>
      <c r="L212" s="98"/>
      <c r="M212" s="98"/>
      <c r="O212" s="10"/>
      <c r="P212" s="10"/>
    </row>
    <row r="213" spans="1:16" ht="12.75" x14ac:dyDescent="0.2">
      <c r="A213" s="119">
        <v>192</v>
      </c>
      <c r="B213" s="120" t="s">
        <v>52</v>
      </c>
      <c r="C213" s="120" t="s">
        <v>980</v>
      </c>
      <c r="D213" s="121">
        <v>254</v>
      </c>
      <c r="E213" s="121">
        <v>177</v>
      </c>
      <c r="F213" s="121">
        <v>202</v>
      </c>
      <c r="G213" s="121">
        <v>462</v>
      </c>
      <c r="H213" s="123">
        <v>1095</v>
      </c>
      <c r="K213" s="11"/>
      <c r="L213" s="98"/>
      <c r="M213" s="98"/>
      <c r="O213" s="10"/>
      <c r="P213" s="10"/>
    </row>
    <row r="214" spans="1:16" ht="12.75" x14ac:dyDescent="0.2">
      <c r="A214" s="119">
        <v>193</v>
      </c>
      <c r="B214" s="120" t="s">
        <v>52</v>
      </c>
      <c r="C214" s="120" t="s">
        <v>981</v>
      </c>
      <c r="D214" s="121">
        <v>164</v>
      </c>
      <c r="E214" s="121">
        <v>114</v>
      </c>
      <c r="F214" s="121">
        <v>125</v>
      </c>
      <c r="G214" s="121">
        <v>294</v>
      </c>
      <c r="H214" s="124">
        <v>697</v>
      </c>
      <c r="K214" s="11"/>
      <c r="L214" s="98"/>
      <c r="M214" s="98"/>
      <c r="O214" s="10"/>
      <c r="P214" s="10"/>
    </row>
    <row r="215" spans="1:16" ht="12.75" x14ac:dyDescent="0.2">
      <c r="A215" s="119">
        <v>194</v>
      </c>
      <c r="B215" s="120" t="s">
        <v>52</v>
      </c>
      <c r="C215" s="120" t="s">
        <v>982</v>
      </c>
      <c r="D215" s="121">
        <v>38</v>
      </c>
      <c r="E215" s="121">
        <v>29</v>
      </c>
      <c r="F215" s="121">
        <v>34</v>
      </c>
      <c r="G215" s="121">
        <v>80</v>
      </c>
      <c r="H215" s="124">
        <v>181</v>
      </c>
      <c r="K215" s="11"/>
      <c r="L215" s="98"/>
      <c r="M215" s="98"/>
      <c r="O215" s="10"/>
      <c r="P215" s="10"/>
    </row>
    <row r="216" spans="1:16" ht="12.75" x14ac:dyDescent="0.2">
      <c r="A216" s="119">
        <v>195</v>
      </c>
      <c r="B216" s="120" t="s">
        <v>52</v>
      </c>
      <c r="C216" s="120" t="s">
        <v>983</v>
      </c>
      <c r="D216" s="122">
        <v>2592</v>
      </c>
      <c r="E216" s="122">
        <v>1745</v>
      </c>
      <c r="F216" s="122">
        <v>1977</v>
      </c>
      <c r="G216" s="122">
        <v>4547</v>
      </c>
      <c r="H216" s="123">
        <v>10861</v>
      </c>
      <c r="K216" s="11"/>
      <c r="L216" s="98"/>
      <c r="M216" s="98"/>
      <c r="O216" s="10"/>
      <c r="P216" s="10"/>
    </row>
    <row r="217" spans="1:16" ht="12.75" x14ac:dyDescent="0.2">
      <c r="A217" s="119">
        <v>196</v>
      </c>
      <c r="B217" s="120" t="s">
        <v>52</v>
      </c>
      <c r="C217" s="120" t="s">
        <v>984</v>
      </c>
      <c r="D217" s="121">
        <v>209</v>
      </c>
      <c r="E217" s="121">
        <v>141</v>
      </c>
      <c r="F217" s="121">
        <v>158</v>
      </c>
      <c r="G217" s="121">
        <v>340</v>
      </c>
      <c r="H217" s="124">
        <v>848</v>
      </c>
      <c r="K217" s="11"/>
      <c r="L217" s="98"/>
      <c r="M217" s="98"/>
      <c r="O217" s="10"/>
      <c r="P217" s="10"/>
    </row>
    <row r="218" spans="1:16" ht="12.75" x14ac:dyDescent="0.2">
      <c r="A218" s="119">
        <v>197</v>
      </c>
      <c r="B218" s="120" t="s">
        <v>52</v>
      </c>
      <c r="C218" s="120" t="s">
        <v>985</v>
      </c>
      <c r="D218" s="121">
        <v>579</v>
      </c>
      <c r="E218" s="121">
        <v>396</v>
      </c>
      <c r="F218" s="121">
        <v>453</v>
      </c>
      <c r="G218" s="122">
        <v>1001</v>
      </c>
      <c r="H218" s="123">
        <v>2429</v>
      </c>
      <c r="K218" s="11"/>
      <c r="L218" s="98"/>
      <c r="M218" s="98"/>
      <c r="O218" s="10"/>
      <c r="P218" s="10"/>
    </row>
    <row r="219" spans="1:16" ht="12.75" x14ac:dyDescent="0.2">
      <c r="A219" s="119">
        <v>198</v>
      </c>
      <c r="B219" s="120" t="s">
        <v>52</v>
      </c>
      <c r="C219" s="120" t="s">
        <v>986</v>
      </c>
      <c r="D219" s="121">
        <v>636</v>
      </c>
      <c r="E219" s="121">
        <v>432</v>
      </c>
      <c r="F219" s="121">
        <v>496</v>
      </c>
      <c r="G219" s="122">
        <v>1151</v>
      </c>
      <c r="H219" s="123">
        <v>2715</v>
      </c>
      <c r="K219" s="11"/>
      <c r="L219" s="98"/>
      <c r="M219" s="98"/>
      <c r="O219" s="10"/>
      <c r="P219" s="10"/>
    </row>
    <row r="220" spans="1:16" ht="12.75" x14ac:dyDescent="0.2">
      <c r="A220" s="119">
        <v>199</v>
      </c>
      <c r="B220" s="120" t="s">
        <v>52</v>
      </c>
      <c r="C220" s="120" t="s">
        <v>52</v>
      </c>
      <c r="D220" s="121">
        <v>980</v>
      </c>
      <c r="E220" s="121">
        <v>696</v>
      </c>
      <c r="F220" s="121">
        <v>808</v>
      </c>
      <c r="G220" s="122">
        <v>1900</v>
      </c>
      <c r="H220" s="123">
        <v>4384</v>
      </c>
      <c r="K220" s="11"/>
      <c r="L220" s="98"/>
      <c r="M220" s="98"/>
      <c r="O220" s="10"/>
      <c r="P220" s="10"/>
    </row>
    <row r="221" spans="1:16" ht="12.75" x14ac:dyDescent="0.2">
      <c r="A221" s="119">
        <v>200</v>
      </c>
      <c r="B221" s="120" t="s">
        <v>52</v>
      </c>
      <c r="C221" s="120" t="s">
        <v>987</v>
      </c>
      <c r="D221" s="121">
        <v>103</v>
      </c>
      <c r="E221" s="121">
        <v>72</v>
      </c>
      <c r="F221" s="121">
        <v>84</v>
      </c>
      <c r="G221" s="121">
        <v>195</v>
      </c>
      <c r="H221" s="124">
        <v>454</v>
      </c>
      <c r="K221" s="11"/>
      <c r="L221" s="98"/>
      <c r="M221" s="98"/>
      <c r="O221" s="10"/>
      <c r="P221" s="10"/>
    </row>
    <row r="222" spans="1:16" ht="12.75" x14ac:dyDescent="0.2">
      <c r="A222" s="119">
        <v>201</v>
      </c>
      <c r="B222" s="120" t="s">
        <v>52</v>
      </c>
      <c r="C222" s="120" t="s">
        <v>988</v>
      </c>
      <c r="D222" s="121">
        <v>382</v>
      </c>
      <c r="E222" s="121">
        <v>260</v>
      </c>
      <c r="F222" s="121">
        <v>294</v>
      </c>
      <c r="G222" s="121">
        <v>653</v>
      </c>
      <c r="H222" s="123">
        <v>1589</v>
      </c>
      <c r="K222" s="11"/>
      <c r="L222" s="98"/>
      <c r="M222" s="98"/>
      <c r="O222" s="10"/>
      <c r="P222" s="10"/>
    </row>
    <row r="223" spans="1:16" ht="12.75" x14ac:dyDescent="0.2">
      <c r="A223" s="119">
        <v>202</v>
      </c>
      <c r="B223" s="120" t="s">
        <v>52</v>
      </c>
      <c r="C223" s="120" t="s">
        <v>989</v>
      </c>
      <c r="D223" s="122">
        <v>1698</v>
      </c>
      <c r="E223" s="122">
        <v>1207</v>
      </c>
      <c r="F223" s="122">
        <v>1342</v>
      </c>
      <c r="G223" s="122">
        <v>3124</v>
      </c>
      <c r="H223" s="123">
        <v>7371</v>
      </c>
      <c r="K223" s="11"/>
      <c r="L223" s="98"/>
      <c r="M223" s="98"/>
      <c r="O223" s="10"/>
      <c r="P223" s="10"/>
    </row>
    <row r="224" spans="1:16" ht="12.75" x14ac:dyDescent="0.2">
      <c r="A224" s="119">
        <v>203</v>
      </c>
      <c r="B224" s="120" t="s">
        <v>52</v>
      </c>
      <c r="C224" s="120" t="s">
        <v>990</v>
      </c>
      <c r="D224" s="121">
        <v>376</v>
      </c>
      <c r="E224" s="121">
        <v>261</v>
      </c>
      <c r="F224" s="121">
        <v>299</v>
      </c>
      <c r="G224" s="121">
        <v>669</v>
      </c>
      <c r="H224" s="123">
        <v>1605</v>
      </c>
      <c r="K224" s="11"/>
      <c r="L224" s="98"/>
      <c r="M224" s="98"/>
      <c r="O224" s="10"/>
      <c r="P224" s="10"/>
    </row>
    <row r="225" spans="1:16" ht="12.75" x14ac:dyDescent="0.2">
      <c r="A225" s="119">
        <v>204</v>
      </c>
      <c r="B225" s="120" t="s">
        <v>52</v>
      </c>
      <c r="C225" s="120" t="s">
        <v>991</v>
      </c>
      <c r="D225" s="121">
        <v>209</v>
      </c>
      <c r="E225" s="121">
        <v>149</v>
      </c>
      <c r="F225" s="121">
        <v>172</v>
      </c>
      <c r="G225" s="121">
        <v>400</v>
      </c>
      <c r="H225" s="124">
        <v>930</v>
      </c>
      <c r="K225" s="11"/>
      <c r="L225" s="98"/>
      <c r="M225" s="98"/>
      <c r="O225" s="10"/>
      <c r="P225" s="10"/>
    </row>
    <row r="226" spans="1:16" ht="12.75" x14ac:dyDescent="0.2">
      <c r="A226" s="119">
        <v>205</v>
      </c>
      <c r="B226" s="120" t="s">
        <v>52</v>
      </c>
      <c r="C226" s="120" t="s">
        <v>807</v>
      </c>
      <c r="D226" s="121">
        <v>9</v>
      </c>
      <c r="E226" s="121">
        <v>6</v>
      </c>
      <c r="F226" s="121">
        <v>7</v>
      </c>
      <c r="G226" s="121">
        <v>17</v>
      </c>
      <c r="H226" s="124">
        <v>39</v>
      </c>
      <c r="K226" s="11"/>
      <c r="L226" s="98"/>
      <c r="M226" s="98"/>
      <c r="O226" s="10"/>
      <c r="P226" s="10"/>
    </row>
    <row r="227" spans="1:16" ht="12.75" x14ac:dyDescent="0.2">
      <c r="A227" s="99"/>
      <c r="B227" s="116" t="s">
        <v>60</v>
      </c>
      <c r="C227" s="117"/>
      <c r="D227" s="115">
        <v>4516</v>
      </c>
      <c r="E227" s="115">
        <v>3095</v>
      </c>
      <c r="F227" s="115">
        <v>3544</v>
      </c>
      <c r="G227" s="115">
        <v>8003</v>
      </c>
      <c r="H227" s="115">
        <v>19158</v>
      </c>
      <c r="K227" s="11"/>
      <c r="L227" s="98"/>
      <c r="M227" s="98"/>
      <c r="O227" s="10"/>
      <c r="P227" s="10"/>
    </row>
    <row r="228" spans="1:16" ht="12.75" x14ac:dyDescent="0.2">
      <c r="A228" s="119">
        <v>206</v>
      </c>
      <c r="B228" s="120" t="s">
        <v>60</v>
      </c>
      <c r="C228" s="120" t="s">
        <v>992</v>
      </c>
      <c r="D228" s="121">
        <v>539</v>
      </c>
      <c r="E228" s="121">
        <v>366</v>
      </c>
      <c r="F228" s="121">
        <v>411</v>
      </c>
      <c r="G228" s="121">
        <v>908</v>
      </c>
      <c r="H228" s="123">
        <v>2224</v>
      </c>
      <c r="K228" s="11"/>
      <c r="L228" s="98"/>
      <c r="M228" s="98"/>
      <c r="O228" s="10"/>
      <c r="P228" s="10"/>
    </row>
    <row r="229" spans="1:16" ht="12.75" x14ac:dyDescent="0.2">
      <c r="A229" s="119">
        <v>207</v>
      </c>
      <c r="B229" s="120" t="s">
        <v>60</v>
      </c>
      <c r="C229" s="120" t="s">
        <v>993</v>
      </c>
      <c r="D229" s="121">
        <v>160</v>
      </c>
      <c r="E229" s="121">
        <v>112</v>
      </c>
      <c r="F229" s="121">
        <v>128</v>
      </c>
      <c r="G229" s="121">
        <v>294</v>
      </c>
      <c r="H229" s="124">
        <v>694</v>
      </c>
      <c r="K229" s="11"/>
      <c r="L229" s="98"/>
      <c r="M229" s="98"/>
      <c r="O229" s="10"/>
      <c r="P229" s="10"/>
    </row>
    <row r="230" spans="1:16" ht="12.75" x14ac:dyDescent="0.2">
      <c r="A230" s="119">
        <v>208</v>
      </c>
      <c r="B230" s="120" t="s">
        <v>60</v>
      </c>
      <c r="C230" s="120" t="s">
        <v>994</v>
      </c>
      <c r="D230" s="121">
        <v>289</v>
      </c>
      <c r="E230" s="121">
        <v>197</v>
      </c>
      <c r="F230" s="121">
        <v>216</v>
      </c>
      <c r="G230" s="121">
        <v>462</v>
      </c>
      <c r="H230" s="123">
        <v>1164</v>
      </c>
      <c r="K230" s="11"/>
      <c r="L230" s="98"/>
      <c r="M230" s="98"/>
      <c r="O230" s="10"/>
      <c r="P230" s="10"/>
    </row>
    <row r="231" spans="1:16" ht="12.75" x14ac:dyDescent="0.2">
      <c r="A231" s="119">
        <v>209</v>
      </c>
      <c r="B231" s="120" t="s">
        <v>60</v>
      </c>
      <c r="C231" s="120" t="s">
        <v>995</v>
      </c>
      <c r="D231" s="121">
        <v>87</v>
      </c>
      <c r="E231" s="121">
        <v>59</v>
      </c>
      <c r="F231" s="121">
        <v>70</v>
      </c>
      <c r="G231" s="121">
        <v>155</v>
      </c>
      <c r="H231" s="124">
        <v>371</v>
      </c>
      <c r="K231" s="11"/>
      <c r="L231" s="98"/>
      <c r="M231" s="98"/>
      <c r="O231" s="10"/>
      <c r="P231" s="10"/>
    </row>
    <row r="232" spans="1:16" ht="12.75" x14ac:dyDescent="0.2">
      <c r="A232" s="119">
        <v>210</v>
      </c>
      <c r="B232" s="120" t="s">
        <v>60</v>
      </c>
      <c r="C232" s="120" t="s">
        <v>996</v>
      </c>
      <c r="D232" s="122">
        <v>1688</v>
      </c>
      <c r="E232" s="122">
        <v>1160</v>
      </c>
      <c r="F232" s="122">
        <v>1351</v>
      </c>
      <c r="G232" s="122">
        <v>3102</v>
      </c>
      <c r="H232" s="123">
        <v>7301</v>
      </c>
      <c r="K232" s="11"/>
      <c r="L232" s="98"/>
      <c r="M232" s="98"/>
      <c r="O232" s="10"/>
      <c r="P232" s="10"/>
    </row>
    <row r="233" spans="1:16" ht="12.75" x14ac:dyDescent="0.2">
      <c r="A233" s="119">
        <v>211</v>
      </c>
      <c r="B233" s="120" t="s">
        <v>60</v>
      </c>
      <c r="C233" s="120" t="s">
        <v>997</v>
      </c>
      <c r="D233" s="121">
        <v>1</v>
      </c>
      <c r="E233" s="121">
        <v>1</v>
      </c>
      <c r="F233" s="121" t="s">
        <v>831</v>
      </c>
      <c r="G233" s="121" t="s">
        <v>831</v>
      </c>
      <c r="H233" s="124">
        <v>2</v>
      </c>
      <c r="K233" s="11"/>
      <c r="L233" s="98"/>
      <c r="M233" s="98"/>
      <c r="O233" s="10"/>
      <c r="P233" s="10"/>
    </row>
    <row r="234" spans="1:16" ht="12.75" x14ac:dyDescent="0.2">
      <c r="A234" s="119">
        <v>212</v>
      </c>
      <c r="B234" s="120" t="s">
        <v>60</v>
      </c>
      <c r="C234" s="120" t="s">
        <v>998</v>
      </c>
      <c r="D234" s="121">
        <v>861</v>
      </c>
      <c r="E234" s="121">
        <v>591</v>
      </c>
      <c r="F234" s="121">
        <v>673</v>
      </c>
      <c r="G234" s="122">
        <v>1529</v>
      </c>
      <c r="H234" s="123">
        <v>3654</v>
      </c>
      <c r="K234" s="11"/>
      <c r="L234" s="98"/>
      <c r="M234" s="98"/>
      <c r="O234" s="10"/>
      <c r="P234" s="10"/>
    </row>
    <row r="235" spans="1:16" ht="12.75" x14ac:dyDescent="0.2">
      <c r="A235" s="119">
        <v>213</v>
      </c>
      <c r="B235" s="120" t="s">
        <v>60</v>
      </c>
      <c r="C235" s="120" t="s">
        <v>999</v>
      </c>
      <c r="D235" s="121">
        <v>288</v>
      </c>
      <c r="E235" s="121">
        <v>201</v>
      </c>
      <c r="F235" s="121">
        <v>241</v>
      </c>
      <c r="G235" s="121">
        <v>555</v>
      </c>
      <c r="H235" s="123">
        <v>1285</v>
      </c>
      <c r="K235" s="11"/>
      <c r="L235" s="98"/>
      <c r="M235" s="98"/>
      <c r="O235" s="10"/>
      <c r="P235" s="10"/>
    </row>
    <row r="236" spans="1:16" ht="12.75" x14ac:dyDescent="0.2">
      <c r="A236" s="119">
        <v>214</v>
      </c>
      <c r="B236" s="120" t="s">
        <v>60</v>
      </c>
      <c r="C236" s="120" t="s">
        <v>1000</v>
      </c>
      <c r="D236" s="121">
        <v>310</v>
      </c>
      <c r="E236" s="121">
        <v>208</v>
      </c>
      <c r="F236" s="121">
        <v>229</v>
      </c>
      <c r="G236" s="121">
        <v>509</v>
      </c>
      <c r="H236" s="123">
        <v>1256</v>
      </c>
      <c r="K236" s="11"/>
      <c r="L236" s="98"/>
      <c r="M236" s="98"/>
      <c r="O236" s="10"/>
      <c r="P236" s="10"/>
    </row>
    <row r="237" spans="1:16" ht="12.75" x14ac:dyDescent="0.2">
      <c r="A237" s="119">
        <v>215</v>
      </c>
      <c r="B237" s="120" t="s">
        <v>60</v>
      </c>
      <c r="C237" s="120" t="s">
        <v>1001</v>
      </c>
      <c r="D237" s="121">
        <v>47</v>
      </c>
      <c r="E237" s="121">
        <v>32</v>
      </c>
      <c r="F237" s="121">
        <v>36</v>
      </c>
      <c r="G237" s="121">
        <v>77</v>
      </c>
      <c r="H237" s="124">
        <v>192</v>
      </c>
      <c r="K237" s="11"/>
      <c r="L237" s="98"/>
      <c r="M237" s="98"/>
      <c r="O237" s="10"/>
      <c r="P237" s="10"/>
    </row>
    <row r="238" spans="1:16" ht="12.75" x14ac:dyDescent="0.2">
      <c r="A238" s="119">
        <v>216</v>
      </c>
      <c r="B238" s="120" t="s">
        <v>60</v>
      </c>
      <c r="C238" s="120" t="s">
        <v>807</v>
      </c>
      <c r="D238" s="121">
        <v>246</v>
      </c>
      <c r="E238" s="121">
        <v>168</v>
      </c>
      <c r="F238" s="121">
        <v>189</v>
      </c>
      <c r="G238" s="121">
        <v>412</v>
      </c>
      <c r="H238" s="123">
        <v>1015</v>
      </c>
      <c r="K238" s="11"/>
      <c r="L238" s="98"/>
      <c r="M238" s="98"/>
      <c r="O238" s="10"/>
      <c r="P238" s="10"/>
    </row>
    <row r="239" spans="1:16" ht="15" x14ac:dyDescent="0.25">
      <c r="A239" s="99"/>
      <c r="B239" s="125" t="s">
        <v>773</v>
      </c>
      <c r="C239" s="137"/>
      <c r="D239" s="138">
        <v>46680</v>
      </c>
      <c r="E239" s="138">
        <v>28940</v>
      </c>
      <c r="F239" s="138">
        <v>33420</v>
      </c>
      <c r="G239" s="138">
        <v>78950</v>
      </c>
      <c r="H239" s="138">
        <v>187990</v>
      </c>
      <c r="K239" s="11"/>
      <c r="L239" s="98"/>
      <c r="M239" s="98"/>
      <c r="O239" s="10"/>
      <c r="P239" s="10"/>
    </row>
    <row r="240" spans="1:16" x14ac:dyDescent="0.25">
      <c r="A240" s="99"/>
      <c r="B240" s="139"/>
      <c r="C240" s="128" t="s">
        <v>1002</v>
      </c>
      <c r="D240" s="129">
        <v>9912</v>
      </c>
      <c r="E240" s="129">
        <v>6604</v>
      </c>
      <c r="F240" s="129">
        <v>7924</v>
      </c>
      <c r="G240" s="129">
        <v>19596</v>
      </c>
      <c r="H240" s="129">
        <v>44036</v>
      </c>
      <c r="K240" s="11"/>
      <c r="L240" s="98"/>
      <c r="M240" s="98"/>
      <c r="O240" s="10"/>
      <c r="P240" s="10"/>
    </row>
    <row r="241" spans="1:16" x14ac:dyDescent="0.25">
      <c r="A241" s="99"/>
      <c r="B241" s="139"/>
      <c r="C241" s="128" t="s">
        <v>1003</v>
      </c>
      <c r="D241" s="129">
        <v>5264</v>
      </c>
      <c r="E241" s="129">
        <v>3086</v>
      </c>
      <c r="F241" s="129">
        <v>3496</v>
      </c>
      <c r="G241" s="129">
        <v>8784</v>
      </c>
      <c r="H241" s="129">
        <v>20630</v>
      </c>
      <c r="K241" s="11"/>
      <c r="L241" s="98"/>
      <c r="M241" s="98"/>
      <c r="O241" s="10"/>
      <c r="P241" s="10"/>
    </row>
    <row r="242" spans="1:16" x14ac:dyDescent="0.25">
      <c r="A242" s="99"/>
      <c r="B242" s="139"/>
      <c r="C242" s="128" t="s">
        <v>1004</v>
      </c>
      <c r="D242" s="140">
        <v>618</v>
      </c>
      <c r="E242" s="140">
        <v>367</v>
      </c>
      <c r="F242" s="140">
        <v>423</v>
      </c>
      <c r="G242" s="140">
        <v>890</v>
      </c>
      <c r="H242" s="129">
        <v>2298</v>
      </c>
      <c r="K242" s="11"/>
      <c r="L242" s="98"/>
      <c r="M242" s="98"/>
      <c r="O242" s="10"/>
      <c r="P242" s="10"/>
    </row>
    <row r="243" spans="1:16" x14ac:dyDescent="0.25">
      <c r="A243" s="99"/>
      <c r="B243" s="139"/>
      <c r="C243" s="128" t="s">
        <v>1005</v>
      </c>
      <c r="D243" s="140">
        <v>370</v>
      </c>
      <c r="E243" s="140">
        <v>199</v>
      </c>
      <c r="F243" s="140">
        <v>243</v>
      </c>
      <c r="G243" s="140">
        <v>670</v>
      </c>
      <c r="H243" s="129">
        <v>1482</v>
      </c>
      <c r="K243" s="11"/>
      <c r="L243" s="98"/>
      <c r="M243" s="98"/>
      <c r="O243" s="10"/>
      <c r="P243" s="10"/>
    </row>
    <row r="244" spans="1:16" x14ac:dyDescent="0.25">
      <c r="A244" s="99"/>
      <c r="B244" s="139"/>
      <c r="C244" s="128" t="s">
        <v>1006</v>
      </c>
      <c r="D244" s="129">
        <v>6234</v>
      </c>
      <c r="E244" s="129">
        <v>4639</v>
      </c>
      <c r="F244" s="129">
        <v>5460</v>
      </c>
      <c r="G244" s="129">
        <v>12536</v>
      </c>
      <c r="H244" s="129">
        <v>28869</v>
      </c>
      <c r="K244" s="11"/>
      <c r="L244" s="98"/>
      <c r="M244" s="98"/>
      <c r="O244" s="10"/>
      <c r="P244" s="10"/>
    </row>
    <row r="245" spans="1:16" x14ac:dyDescent="0.25">
      <c r="A245" s="99"/>
      <c r="B245" s="139"/>
      <c r="C245" s="128" t="s">
        <v>1007</v>
      </c>
      <c r="D245" s="129">
        <v>4595</v>
      </c>
      <c r="E245" s="129">
        <v>2507</v>
      </c>
      <c r="F245" s="129">
        <v>2830</v>
      </c>
      <c r="G245" s="129">
        <v>6486</v>
      </c>
      <c r="H245" s="129">
        <v>16418</v>
      </c>
      <c r="K245" s="11"/>
      <c r="L245" s="98"/>
      <c r="M245" s="98"/>
      <c r="O245" s="10"/>
      <c r="P245" s="10"/>
    </row>
    <row r="246" spans="1:16" x14ac:dyDescent="0.25">
      <c r="A246" s="99"/>
      <c r="B246" s="139"/>
      <c r="C246" s="128" t="s">
        <v>1008</v>
      </c>
      <c r="D246" s="129">
        <v>16158</v>
      </c>
      <c r="E246" s="129">
        <v>9542</v>
      </c>
      <c r="F246" s="129">
        <v>10636</v>
      </c>
      <c r="G246" s="129">
        <v>22500</v>
      </c>
      <c r="H246" s="129">
        <v>58836</v>
      </c>
      <c r="K246" s="11"/>
      <c r="L246" s="98"/>
      <c r="M246" s="98"/>
      <c r="O246" s="10"/>
      <c r="P246" s="10"/>
    </row>
    <row r="247" spans="1:16" x14ac:dyDescent="0.25">
      <c r="A247" s="99"/>
      <c r="B247" s="139"/>
      <c r="C247" s="128" t="s">
        <v>1009</v>
      </c>
      <c r="D247" s="129">
        <v>1711</v>
      </c>
      <c r="E247" s="140">
        <v>902</v>
      </c>
      <c r="F247" s="129">
        <v>1053</v>
      </c>
      <c r="G247" s="129">
        <v>3311</v>
      </c>
      <c r="H247" s="129">
        <v>6977</v>
      </c>
      <c r="K247" s="11"/>
      <c r="L247" s="98"/>
      <c r="M247" s="98"/>
      <c r="O247" s="10"/>
      <c r="P247" s="10"/>
    </row>
    <row r="248" spans="1:16" x14ac:dyDescent="0.25">
      <c r="A248" s="99"/>
      <c r="B248" s="141"/>
      <c r="C248" s="131" t="s">
        <v>1010</v>
      </c>
      <c r="D248" s="129">
        <v>1818</v>
      </c>
      <c r="E248" s="129">
        <v>1094</v>
      </c>
      <c r="F248" s="129">
        <v>1355</v>
      </c>
      <c r="G248" s="129">
        <v>4177</v>
      </c>
      <c r="H248" s="129">
        <v>8444</v>
      </c>
      <c r="K248" s="11"/>
      <c r="L248" s="98"/>
      <c r="M248" s="98"/>
      <c r="O248" s="10"/>
      <c r="P248" s="10"/>
    </row>
    <row r="249" spans="1:16" ht="12.75" x14ac:dyDescent="0.2">
      <c r="A249" s="142"/>
      <c r="B249" s="116" t="s">
        <v>51</v>
      </c>
      <c r="C249" s="117"/>
      <c r="D249" s="115">
        <v>9912</v>
      </c>
      <c r="E249" s="115">
        <v>6604</v>
      </c>
      <c r="F249" s="115">
        <v>7924</v>
      </c>
      <c r="G249" s="115">
        <v>19596</v>
      </c>
      <c r="H249" s="115">
        <v>44036</v>
      </c>
      <c r="K249" s="11"/>
      <c r="L249" s="98"/>
      <c r="M249" s="98"/>
      <c r="O249" s="10"/>
      <c r="P249" s="10"/>
    </row>
    <row r="250" spans="1:16" ht="12.75" x14ac:dyDescent="0.2">
      <c r="A250" s="119">
        <v>217</v>
      </c>
      <c r="B250" s="120" t="s">
        <v>51</v>
      </c>
      <c r="C250" s="120" t="s">
        <v>51</v>
      </c>
      <c r="D250" s="121">
        <v>444</v>
      </c>
      <c r="E250" s="121">
        <v>248</v>
      </c>
      <c r="F250" s="121">
        <v>283</v>
      </c>
      <c r="G250" s="121">
        <v>748</v>
      </c>
      <c r="H250" s="123">
        <v>1723</v>
      </c>
      <c r="K250" s="11"/>
      <c r="L250" s="98"/>
      <c r="M250" s="98"/>
      <c r="O250" s="10"/>
      <c r="P250" s="10"/>
    </row>
    <row r="251" spans="1:16" ht="12.75" x14ac:dyDescent="0.2">
      <c r="A251" s="119">
        <v>218</v>
      </c>
      <c r="B251" s="120" t="s">
        <v>51</v>
      </c>
      <c r="C251" s="120" t="s">
        <v>1011</v>
      </c>
      <c r="D251" s="121">
        <v>80</v>
      </c>
      <c r="E251" s="121">
        <v>53</v>
      </c>
      <c r="F251" s="121">
        <v>57</v>
      </c>
      <c r="G251" s="121">
        <v>145</v>
      </c>
      <c r="H251" s="124">
        <v>335</v>
      </c>
      <c r="K251" s="11"/>
      <c r="L251" s="98"/>
      <c r="M251" s="98"/>
      <c r="O251" s="10"/>
      <c r="P251" s="10"/>
    </row>
    <row r="252" spans="1:16" ht="12.75" x14ac:dyDescent="0.2">
      <c r="A252" s="119">
        <v>219</v>
      </c>
      <c r="B252" s="120" t="s">
        <v>51</v>
      </c>
      <c r="C252" s="120" t="s">
        <v>1012</v>
      </c>
      <c r="D252" s="121">
        <v>532</v>
      </c>
      <c r="E252" s="121">
        <v>442</v>
      </c>
      <c r="F252" s="121">
        <v>584</v>
      </c>
      <c r="G252" s="122">
        <v>1401</v>
      </c>
      <c r="H252" s="123">
        <v>2959</v>
      </c>
      <c r="K252" s="11"/>
      <c r="L252" s="98"/>
      <c r="M252" s="98"/>
      <c r="O252" s="10"/>
      <c r="P252" s="10"/>
    </row>
    <row r="253" spans="1:16" ht="12.75" x14ac:dyDescent="0.2">
      <c r="A253" s="119">
        <v>220</v>
      </c>
      <c r="B253" s="120" t="s">
        <v>51</v>
      </c>
      <c r="C253" s="120" t="s">
        <v>1013</v>
      </c>
      <c r="D253" s="121">
        <v>796</v>
      </c>
      <c r="E253" s="121">
        <v>446</v>
      </c>
      <c r="F253" s="121">
        <v>425</v>
      </c>
      <c r="G253" s="121">
        <v>618</v>
      </c>
      <c r="H253" s="123">
        <v>2285</v>
      </c>
      <c r="K253" s="11"/>
      <c r="L253" s="98"/>
      <c r="M253" s="98"/>
      <c r="O253" s="10"/>
      <c r="P253" s="10"/>
    </row>
    <row r="254" spans="1:16" ht="12.75" x14ac:dyDescent="0.2">
      <c r="A254" s="119">
        <v>221</v>
      </c>
      <c r="B254" s="120" t="s">
        <v>51</v>
      </c>
      <c r="C254" s="120" t="s">
        <v>1014</v>
      </c>
      <c r="D254" s="121">
        <v>276</v>
      </c>
      <c r="E254" s="121">
        <v>211</v>
      </c>
      <c r="F254" s="121">
        <v>259</v>
      </c>
      <c r="G254" s="121">
        <v>752</v>
      </c>
      <c r="H254" s="123">
        <v>1498</v>
      </c>
      <c r="K254" s="11"/>
      <c r="L254" s="98"/>
      <c r="M254" s="98"/>
      <c r="O254" s="10"/>
      <c r="P254" s="10"/>
    </row>
    <row r="255" spans="1:16" ht="12.75" x14ac:dyDescent="0.2">
      <c r="A255" s="119">
        <v>222</v>
      </c>
      <c r="B255" s="120" t="s">
        <v>51</v>
      </c>
      <c r="C255" s="120" t="s">
        <v>1015</v>
      </c>
      <c r="D255" s="122">
        <v>1714</v>
      </c>
      <c r="E255" s="121">
        <v>926</v>
      </c>
      <c r="F255" s="121">
        <v>978</v>
      </c>
      <c r="G255" s="122">
        <v>1837</v>
      </c>
      <c r="H255" s="123">
        <v>5455</v>
      </c>
      <c r="K255" s="11"/>
      <c r="L255" s="98"/>
      <c r="M255" s="98"/>
      <c r="O255" s="10"/>
      <c r="P255" s="10"/>
    </row>
    <row r="256" spans="1:16" ht="12.75" x14ac:dyDescent="0.2">
      <c r="A256" s="119">
        <v>223</v>
      </c>
      <c r="B256" s="120" t="s">
        <v>51</v>
      </c>
      <c r="C256" s="120" t="s">
        <v>1016</v>
      </c>
      <c r="D256" s="121">
        <v>851</v>
      </c>
      <c r="E256" s="121">
        <v>480</v>
      </c>
      <c r="F256" s="121">
        <v>608</v>
      </c>
      <c r="G256" s="122">
        <v>1981</v>
      </c>
      <c r="H256" s="123">
        <v>3920</v>
      </c>
      <c r="K256" s="11"/>
      <c r="L256" s="98"/>
      <c r="M256" s="98"/>
      <c r="O256" s="10"/>
      <c r="P256" s="10"/>
    </row>
    <row r="257" spans="1:16" ht="12.75" x14ac:dyDescent="0.2">
      <c r="A257" s="119">
        <v>224</v>
      </c>
      <c r="B257" s="120" t="s">
        <v>51</v>
      </c>
      <c r="C257" s="120" t="s">
        <v>1017</v>
      </c>
      <c r="D257" s="121">
        <v>839</v>
      </c>
      <c r="E257" s="121">
        <v>474</v>
      </c>
      <c r="F257" s="121">
        <v>496</v>
      </c>
      <c r="G257" s="121">
        <v>920</v>
      </c>
      <c r="H257" s="123">
        <v>2729</v>
      </c>
      <c r="K257" s="11"/>
      <c r="L257" s="98"/>
      <c r="M257" s="98"/>
      <c r="O257" s="10"/>
      <c r="P257" s="10"/>
    </row>
    <row r="258" spans="1:16" ht="12.75" x14ac:dyDescent="0.2">
      <c r="A258" s="119">
        <v>225</v>
      </c>
      <c r="B258" s="120" t="s">
        <v>51</v>
      </c>
      <c r="C258" s="120" t="s">
        <v>1018</v>
      </c>
      <c r="D258" s="121">
        <v>330</v>
      </c>
      <c r="E258" s="121">
        <v>167</v>
      </c>
      <c r="F258" s="121">
        <v>158</v>
      </c>
      <c r="G258" s="121">
        <v>423</v>
      </c>
      <c r="H258" s="123">
        <v>1078</v>
      </c>
      <c r="K258" s="11"/>
      <c r="L258" s="98"/>
      <c r="M258" s="98"/>
      <c r="O258" s="10"/>
      <c r="P258" s="10"/>
    </row>
    <row r="259" spans="1:16" ht="12.75" x14ac:dyDescent="0.2">
      <c r="A259" s="119">
        <v>226</v>
      </c>
      <c r="B259" s="120" t="s">
        <v>51</v>
      </c>
      <c r="C259" s="120" t="s">
        <v>1019</v>
      </c>
      <c r="D259" s="122">
        <v>2059</v>
      </c>
      <c r="E259" s="122">
        <v>2075</v>
      </c>
      <c r="F259" s="122">
        <v>2815</v>
      </c>
      <c r="G259" s="122">
        <v>7816</v>
      </c>
      <c r="H259" s="123">
        <v>14765</v>
      </c>
      <c r="K259" s="11"/>
      <c r="L259" s="98"/>
      <c r="M259" s="98"/>
      <c r="O259" s="10"/>
      <c r="P259" s="10"/>
    </row>
    <row r="260" spans="1:16" ht="12.75" x14ac:dyDescent="0.2">
      <c r="A260" s="119">
        <v>227</v>
      </c>
      <c r="B260" s="120" t="s">
        <v>51</v>
      </c>
      <c r="C260" s="120" t="s">
        <v>1020</v>
      </c>
      <c r="D260" s="121">
        <v>24</v>
      </c>
      <c r="E260" s="121">
        <v>14</v>
      </c>
      <c r="F260" s="121">
        <v>15</v>
      </c>
      <c r="G260" s="121">
        <v>7</v>
      </c>
      <c r="H260" s="124">
        <v>60</v>
      </c>
      <c r="K260" s="11"/>
      <c r="L260" s="98"/>
      <c r="M260" s="98"/>
      <c r="O260" s="10"/>
      <c r="P260" s="10"/>
    </row>
    <row r="261" spans="1:16" ht="12.75" x14ac:dyDescent="0.2">
      <c r="A261" s="119">
        <v>228</v>
      </c>
      <c r="B261" s="120" t="s">
        <v>51</v>
      </c>
      <c r="C261" s="120" t="s">
        <v>1021</v>
      </c>
      <c r="D261" s="121">
        <v>716</v>
      </c>
      <c r="E261" s="121">
        <v>391</v>
      </c>
      <c r="F261" s="121">
        <v>407</v>
      </c>
      <c r="G261" s="121">
        <v>553</v>
      </c>
      <c r="H261" s="123">
        <v>2067</v>
      </c>
      <c r="K261" s="11"/>
      <c r="L261" s="98"/>
      <c r="M261" s="98"/>
      <c r="O261" s="10"/>
      <c r="P261" s="10"/>
    </row>
    <row r="262" spans="1:16" ht="12.75" x14ac:dyDescent="0.2">
      <c r="A262" s="119">
        <v>229</v>
      </c>
      <c r="B262" s="120" t="s">
        <v>51</v>
      </c>
      <c r="C262" s="120" t="s">
        <v>1022</v>
      </c>
      <c r="D262" s="121">
        <v>504</v>
      </c>
      <c r="E262" s="121">
        <v>270</v>
      </c>
      <c r="F262" s="121">
        <v>352</v>
      </c>
      <c r="G262" s="122">
        <v>1161</v>
      </c>
      <c r="H262" s="123">
        <v>2287</v>
      </c>
      <c r="K262" s="11"/>
      <c r="L262" s="98"/>
      <c r="M262" s="98"/>
      <c r="O262" s="10"/>
      <c r="P262" s="10"/>
    </row>
    <row r="263" spans="1:16" ht="12.75" x14ac:dyDescent="0.2">
      <c r="A263" s="119">
        <v>230</v>
      </c>
      <c r="B263" s="120" t="s">
        <v>51</v>
      </c>
      <c r="C263" s="120" t="s">
        <v>1023</v>
      </c>
      <c r="D263" s="121">
        <v>317</v>
      </c>
      <c r="E263" s="121">
        <v>180</v>
      </c>
      <c r="F263" s="121">
        <v>192</v>
      </c>
      <c r="G263" s="121">
        <v>417</v>
      </c>
      <c r="H263" s="123">
        <v>1106</v>
      </c>
      <c r="K263" s="11"/>
      <c r="L263" s="98"/>
      <c r="M263" s="98"/>
      <c r="O263" s="10"/>
      <c r="P263" s="10"/>
    </row>
    <row r="264" spans="1:16" ht="12.75" x14ac:dyDescent="0.2">
      <c r="A264" s="119">
        <v>231</v>
      </c>
      <c r="B264" s="120" t="s">
        <v>51</v>
      </c>
      <c r="C264" s="120" t="s">
        <v>807</v>
      </c>
      <c r="D264" s="121">
        <v>430</v>
      </c>
      <c r="E264" s="121">
        <v>227</v>
      </c>
      <c r="F264" s="121">
        <v>295</v>
      </c>
      <c r="G264" s="121">
        <v>817</v>
      </c>
      <c r="H264" s="123">
        <v>1769</v>
      </c>
      <c r="K264" s="11"/>
      <c r="L264" s="98"/>
      <c r="M264" s="98"/>
      <c r="O264" s="10"/>
      <c r="P264" s="10"/>
    </row>
    <row r="265" spans="1:16" ht="12.75" x14ac:dyDescent="0.2">
      <c r="A265" s="99"/>
      <c r="B265" s="116" t="s">
        <v>62</v>
      </c>
      <c r="C265" s="117"/>
      <c r="D265" s="115">
        <v>5264</v>
      </c>
      <c r="E265" s="115">
        <v>3086</v>
      </c>
      <c r="F265" s="115">
        <v>3496</v>
      </c>
      <c r="G265" s="115">
        <v>8784</v>
      </c>
      <c r="H265" s="115">
        <v>20630</v>
      </c>
      <c r="K265" s="11"/>
      <c r="L265" s="98"/>
      <c r="M265" s="98"/>
      <c r="O265" s="10"/>
      <c r="P265" s="10"/>
    </row>
    <row r="266" spans="1:16" ht="12.75" x14ac:dyDescent="0.2">
      <c r="A266" s="119">
        <v>232</v>
      </c>
      <c r="B266" s="120" t="s">
        <v>62</v>
      </c>
      <c r="C266" s="120" t="s">
        <v>1024</v>
      </c>
      <c r="D266" s="121">
        <v>349</v>
      </c>
      <c r="E266" s="121">
        <v>205</v>
      </c>
      <c r="F266" s="121">
        <v>214</v>
      </c>
      <c r="G266" s="121">
        <v>680</v>
      </c>
      <c r="H266" s="123">
        <v>1448</v>
      </c>
      <c r="K266" s="11"/>
      <c r="L266" s="98"/>
      <c r="M266" s="98"/>
      <c r="O266" s="10"/>
      <c r="P266" s="10"/>
    </row>
    <row r="267" spans="1:16" ht="12.75" x14ac:dyDescent="0.2">
      <c r="A267" s="119">
        <v>233</v>
      </c>
      <c r="B267" s="120" t="s">
        <v>62</v>
      </c>
      <c r="C267" s="120" t="s">
        <v>1025</v>
      </c>
      <c r="D267" s="121">
        <v>234</v>
      </c>
      <c r="E267" s="121">
        <v>124</v>
      </c>
      <c r="F267" s="121">
        <v>123</v>
      </c>
      <c r="G267" s="121">
        <v>279</v>
      </c>
      <c r="H267" s="124">
        <v>760</v>
      </c>
      <c r="K267" s="11"/>
      <c r="L267" s="98"/>
      <c r="M267" s="98"/>
      <c r="O267" s="10"/>
      <c r="P267" s="10"/>
    </row>
    <row r="268" spans="1:16" ht="12.75" x14ac:dyDescent="0.2">
      <c r="A268" s="119">
        <v>234</v>
      </c>
      <c r="B268" s="120" t="s">
        <v>62</v>
      </c>
      <c r="C268" s="120" t="s">
        <v>1026</v>
      </c>
      <c r="D268" s="121">
        <v>51</v>
      </c>
      <c r="E268" s="121">
        <v>25</v>
      </c>
      <c r="F268" s="121">
        <v>31</v>
      </c>
      <c r="G268" s="121">
        <v>34</v>
      </c>
      <c r="H268" s="124">
        <v>141</v>
      </c>
      <c r="K268" s="11"/>
      <c r="L268" s="98"/>
      <c r="M268" s="98"/>
      <c r="O268" s="10"/>
      <c r="P268" s="10"/>
    </row>
    <row r="269" spans="1:16" ht="12.75" x14ac:dyDescent="0.2">
      <c r="A269" s="119">
        <v>235</v>
      </c>
      <c r="B269" s="120" t="s">
        <v>62</v>
      </c>
      <c r="C269" s="120" t="s">
        <v>1027</v>
      </c>
      <c r="D269" s="121">
        <v>798</v>
      </c>
      <c r="E269" s="121">
        <v>444</v>
      </c>
      <c r="F269" s="121">
        <v>559</v>
      </c>
      <c r="G269" s="122">
        <v>1677</v>
      </c>
      <c r="H269" s="123">
        <v>3478</v>
      </c>
      <c r="K269" s="11"/>
      <c r="L269" s="98"/>
      <c r="M269" s="98"/>
      <c r="O269" s="10"/>
      <c r="P269" s="10"/>
    </row>
    <row r="270" spans="1:16" ht="12.75" x14ac:dyDescent="0.2">
      <c r="A270" s="119">
        <v>236</v>
      </c>
      <c r="B270" s="120" t="s">
        <v>62</v>
      </c>
      <c r="C270" s="120" t="s">
        <v>1028</v>
      </c>
      <c r="D270" s="121">
        <v>196</v>
      </c>
      <c r="E270" s="121">
        <v>111</v>
      </c>
      <c r="F270" s="121">
        <v>124</v>
      </c>
      <c r="G270" s="121">
        <v>126</v>
      </c>
      <c r="H270" s="124">
        <v>557</v>
      </c>
      <c r="K270" s="11"/>
      <c r="L270" s="98"/>
      <c r="M270" s="98"/>
      <c r="O270" s="10"/>
      <c r="P270" s="10"/>
    </row>
    <row r="271" spans="1:16" ht="12.75" x14ac:dyDescent="0.2">
      <c r="A271" s="119">
        <v>237</v>
      </c>
      <c r="B271" s="120" t="s">
        <v>62</v>
      </c>
      <c r="C271" s="120" t="s">
        <v>1029</v>
      </c>
      <c r="D271" s="121">
        <v>100</v>
      </c>
      <c r="E271" s="121">
        <v>63</v>
      </c>
      <c r="F271" s="121">
        <v>69</v>
      </c>
      <c r="G271" s="121">
        <v>166</v>
      </c>
      <c r="H271" s="124">
        <v>398</v>
      </c>
      <c r="K271" s="11"/>
      <c r="L271" s="98"/>
      <c r="M271" s="98"/>
      <c r="O271" s="10"/>
      <c r="P271" s="10"/>
    </row>
    <row r="272" spans="1:16" ht="12.75" x14ac:dyDescent="0.2">
      <c r="A272" s="119">
        <v>238</v>
      </c>
      <c r="B272" s="120" t="s">
        <v>62</v>
      </c>
      <c r="C272" s="120" t="s">
        <v>1030</v>
      </c>
      <c r="D272" s="121">
        <v>220</v>
      </c>
      <c r="E272" s="121">
        <v>118</v>
      </c>
      <c r="F272" s="121">
        <v>100</v>
      </c>
      <c r="G272" s="121">
        <v>244</v>
      </c>
      <c r="H272" s="124">
        <v>682</v>
      </c>
      <c r="K272" s="11"/>
      <c r="L272" s="98"/>
      <c r="M272" s="98"/>
      <c r="O272" s="10"/>
      <c r="P272" s="10"/>
    </row>
    <row r="273" spans="1:16" ht="12.75" x14ac:dyDescent="0.2">
      <c r="A273" s="119">
        <v>239</v>
      </c>
      <c r="B273" s="120" t="s">
        <v>62</v>
      </c>
      <c r="C273" s="120" t="s">
        <v>1031</v>
      </c>
      <c r="D273" s="121">
        <v>138</v>
      </c>
      <c r="E273" s="121">
        <v>78</v>
      </c>
      <c r="F273" s="121">
        <v>85</v>
      </c>
      <c r="G273" s="121">
        <v>99</v>
      </c>
      <c r="H273" s="124">
        <v>400</v>
      </c>
      <c r="K273" s="11"/>
      <c r="L273" s="98"/>
      <c r="M273" s="98"/>
      <c r="O273" s="10"/>
      <c r="P273" s="10"/>
    </row>
    <row r="274" spans="1:16" ht="12.75" x14ac:dyDescent="0.2">
      <c r="A274" s="119">
        <v>240</v>
      </c>
      <c r="B274" s="120" t="s">
        <v>62</v>
      </c>
      <c r="C274" s="120" t="s">
        <v>1032</v>
      </c>
      <c r="D274" s="121">
        <v>124</v>
      </c>
      <c r="E274" s="121">
        <v>72</v>
      </c>
      <c r="F274" s="121">
        <v>78</v>
      </c>
      <c r="G274" s="121">
        <v>195</v>
      </c>
      <c r="H274" s="124">
        <v>469</v>
      </c>
      <c r="K274" s="11"/>
      <c r="L274" s="98"/>
      <c r="M274" s="98"/>
      <c r="O274" s="10"/>
      <c r="P274" s="10"/>
    </row>
    <row r="275" spans="1:16" ht="12.75" x14ac:dyDescent="0.2">
      <c r="A275" s="119">
        <v>241</v>
      </c>
      <c r="B275" s="120" t="s">
        <v>62</v>
      </c>
      <c r="C275" s="120" t="s">
        <v>1033</v>
      </c>
      <c r="D275" s="121">
        <v>75</v>
      </c>
      <c r="E275" s="121">
        <v>44</v>
      </c>
      <c r="F275" s="121">
        <v>50</v>
      </c>
      <c r="G275" s="121">
        <v>60</v>
      </c>
      <c r="H275" s="124">
        <v>229</v>
      </c>
      <c r="K275" s="11"/>
      <c r="L275" s="98"/>
      <c r="M275" s="98"/>
      <c r="O275" s="10"/>
      <c r="P275" s="10"/>
    </row>
    <row r="276" spans="1:16" ht="12.75" x14ac:dyDescent="0.2">
      <c r="A276" s="119">
        <v>242</v>
      </c>
      <c r="B276" s="120" t="s">
        <v>62</v>
      </c>
      <c r="C276" s="120" t="s">
        <v>1034</v>
      </c>
      <c r="D276" s="121">
        <v>317</v>
      </c>
      <c r="E276" s="121">
        <v>174</v>
      </c>
      <c r="F276" s="121">
        <v>175</v>
      </c>
      <c r="G276" s="121">
        <v>502</v>
      </c>
      <c r="H276" s="123">
        <v>1168</v>
      </c>
      <c r="K276" s="11"/>
      <c r="L276" s="98"/>
      <c r="M276" s="98"/>
      <c r="O276" s="10"/>
      <c r="P276" s="10"/>
    </row>
    <row r="277" spans="1:16" ht="12.75" x14ac:dyDescent="0.2">
      <c r="A277" s="119">
        <v>243</v>
      </c>
      <c r="B277" s="120" t="s">
        <v>62</v>
      </c>
      <c r="C277" s="120" t="s">
        <v>1035</v>
      </c>
      <c r="D277" s="121">
        <v>84</v>
      </c>
      <c r="E277" s="121">
        <v>47</v>
      </c>
      <c r="F277" s="121">
        <v>54</v>
      </c>
      <c r="G277" s="121">
        <v>42</v>
      </c>
      <c r="H277" s="124">
        <v>227</v>
      </c>
      <c r="K277" s="11"/>
      <c r="L277" s="98"/>
      <c r="M277" s="98"/>
      <c r="O277" s="10"/>
      <c r="P277" s="10"/>
    </row>
    <row r="278" spans="1:16" ht="12.75" x14ac:dyDescent="0.2">
      <c r="A278" s="119">
        <v>244</v>
      </c>
      <c r="B278" s="120" t="s">
        <v>62</v>
      </c>
      <c r="C278" s="120" t="s">
        <v>1036</v>
      </c>
      <c r="D278" s="121">
        <v>80</v>
      </c>
      <c r="E278" s="121">
        <v>48</v>
      </c>
      <c r="F278" s="121">
        <v>43</v>
      </c>
      <c r="G278" s="121">
        <v>126</v>
      </c>
      <c r="H278" s="124">
        <v>297</v>
      </c>
      <c r="K278" s="11"/>
      <c r="L278" s="98"/>
      <c r="M278" s="98"/>
      <c r="O278" s="10"/>
      <c r="P278" s="10"/>
    </row>
    <row r="279" spans="1:16" ht="12.75" x14ac:dyDescent="0.2">
      <c r="A279" s="119">
        <v>245</v>
      </c>
      <c r="B279" s="120" t="s">
        <v>62</v>
      </c>
      <c r="C279" s="120" t="s">
        <v>1037</v>
      </c>
      <c r="D279" s="121">
        <v>392</v>
      </c>
      <c r="E279" s="121">
        <v>254</v>
      </c>
      <c r="F279" s="121">
        <v>316</v>
      </c>
      <c r="G279" s="122">
        <v>1063</v>
      </c>
      <c r="H279" s="123">
        <v>2025</v>
      </c>
      <c r="K279" s="11"/>
      <c r="L279" s="98"/>
      <c r="M279" s="98"/>
      <c r="O279" s="10"/>
      <c r="P279" s="10"/>
    </row>
    <row r="280" spans="1:16" ht="12.75" x14ac:dyDescent="0.2">
      <c r="A280" s="119">
        <v>246</v>
      </c>
      <c r="B280" s="120" t="s">
        <v>62</v>
      </c>
      <c r="C280" s="120" t="s">
        <v>1038</v>
      </c>
      <c r="D280" s="121">
        <v>118</v>
      </c>
      <c r="E280" s="121">
        <v>69</v>
      </c>
      <c r="F280" s="121">
        <v>84</v>
      </c>
      <c r="G280" s="121">
        <v>177</v>
      </c>
      <c r="H280" s="124">
        <v>448</v>
      </c>
      <c r="K280" s="11"/>
      <c r="L280" s="98"/>
      <c r="M280" s="98"/>
      <c r="O280" s="10"/>
      <c r="P280" s="10"/>
    </row>
    <row r="281" spans="1:16" ht="12.75" x14ac:dyDescent="0.2">
      <c r="A281" s="119">
        <v>247</v>
      </c>
      <c r="B281" s="120" t="s">
        <v>62</v>
      </c>
      <c r="C281" s="120" t="s">
        <v>1039</v>
      </c>
      <c r="D281" s="121">
        <v>438</v>
      </c>
      <c r="E281" s="121">
        <v>305</v>
      </c>
      <c r="F281" s="121">
        <v>410</v>
      </c>
      <c r="G281" s="122">
        <v>1282</v>
      </c>
      <c r="H281" s="123">
        <v>2435</v>
      </c>
      <c r="K281" s="11"/>
      <c r="L281" s="98"/>
      <c r="M281" s="98"/>
      <c r="O281" s="10"/>
      <c r="P281" s="10"/>
    </row>
    <row r="282" spans="1:16" ht="12.75" x14ac:dyDescent="0.2">
      <c r="A282" s="119">
        <v>248</v>
      </c>
      <c r="B282" s="120" t="s">
        <v>62</v>
      </c>
      <c r="C282" s="120" t="s">
        <v>1040</v>
      </c>
      <c r="D282" s="121">
        <v>56</v>
      </c>
      <c r="E282" s="121">
        <v>53</v>
      </c>
      <c r="F282" s="121">
        <v>75</v>
      </c>
      <c r="G282" s="121">
        <v>265</v>
      </c>
      <c r="H282" s="124">
        <v>449</v>
      </c>
      <c r="K282" s="11"/>
      <c r="L282" s="98"/>
      <c r="M282" s="98"/>
      <c r="O282" s="10"/>
      <c r="P282" s="10"/>
    </row>
    <row r="283" spans="1:16" ht="12.75" x14ac:dyDescent="0.2">
      <c r="A283" s="119">
        <v>249</v>
      </c>
      <c r="B283" s="120" t="s">
        <v>62</v>
      </c>
      <c r="C283" s="120" t="s">
        <v>1041</v>
      </c>
      <c r="D283" s="121">
        <v>516</v>
      </c>
      <c r="E283" s="121">
        <v>279</v>
      </c>
      <c r="F283" s="121">
        <v>282</v>
      </c>
      <c r="G283" s="121">
        <v>340</v>
      </c>
      <c r="H283" s="123">
        <v>1417</v>
      </c>
      <c r="K283" s="11"/>
      <c r="L283" s="98"/>
      <c r="M283" s="98"/>
      <c r="O283" s="10"/>
      <c r="P283" s="10"/>
    </row>
    <row r="284" spans="1:16" ht="12.75" x14ac:dyDescent="0.2">
      <c r="A284" s="119">
        <v>250</v>
      </c>
      <c r="B284" s="120" t="s">
        <v>62</v>
      </c>
      <c r="C284" s="120" t="s">
        <v>1042</v>
      </c>
      <c r="D284" s="121">
        <v>604</v>
      </c>
      <c r="E284" s="121">
        <v>355</v>
      </c>
      <c r="F284" s="121">
        <v>381</v>
      </c>
      <c r="G284" s="121">
        <v>895</v>
      </c>
      <c r="H284" s="123">
        <v>2235</v>
      </c>
      <c r="K284" s="11"/>
      <c r="L284" s="98"/>
      <c r="M284" s="98"/>
      <c r="O284" s="10"/>
      <c r="P284" s="10"/>
    </row>
    <row r="285" spans="1:16" ht="12.75" x14ac:dyDescent="0.2">
      <c r="A285" s="119">
        <v>251</v>
      </c>
      <c r="B285" s="120" t="s">
        <v>62</v>
      </c>
      <c r="C285" s="120" t="s">
        <v>807</v>
      </c>
      <c r="D285" s="121">
        <v>374</v>
      </c>
      <c r="E285" s="121">
        <v>218</v>
      </c>
      <c r="F285" s="121">
        <v>243</v>
      </c>
      <c r="G285" s="121">
        <v>532</v>
      </c>
      <c r="H285" s="123">
        <v>1367</v>
      </c>
      <c r="K285" s="11"/>
      <c r="L285" s="98"/>
      <c r="M285" s="98"/>
      <c r="O285" s="10"/>
      <c r="P285" s="10"/>
    </row>
    <row r="286" spans="1:16" ht="12.75" x14ac:dyDescent="0.2">
      <c r="A286" s="99"/>
      <c r="B286" s="116" t="s">
        <v>83</v>
      </c>
      <c r="C286" s="117"/>
      <c r="D286" s="143">
        <v>618</v>
      </c>
      <c r="E286" s="143">
        <v>367</v>
      </c>
      <c r="F286" s="143">
        <v>423</v>
      </c>
      <c r="G286" s="143">
        <v>890</v>
      </c>
      <c r="H286" s="115">
        <v>2298</v>
      </c>
      <c r="K286" s="11"/>
      <c r="L286" s="98"/>
      <c r="M286" s="98"/>
      <c r="O286" s="10"/>
      <c r="P286" s="10"/>
    </row>
    <row r="287" spans="1:16" ht="12.75" x14ac:dyDescent="0.2">
      <c r="A287" s="119">
        <v>252</v>
      </c>
      <c r="B287" s="120" t="s">
        <v>83</v>
      </c>
      <c r="C287" s="120" t="s">
        <v>1043</v>
      </c>
      <c r="D287" s="121">
        <v>4</v>
      </c>
      <c r="E287" s="121">
        <v>3</v>
      </c>
      <c r="F287" s="121">
        <v>4</v>
      </c>
      <c r="G287" s="121">
        <v>5</v>
      </c>
      <c r="H287" s="124">
        <v>16</v>
      </c>
      <c r="K287" s="11"/>
      <c r="L287" s="98"/>
      <c r="M287" s="98"/>
      <c r="O287" s="10"/>
      <c r="P287" s="10"/>
    </row>
    <row r="288" spans="1:16" ht="12.75" x14ac:dyDescent="0.2">
      <c r="A288" s="119">
        <v>253</v>
      </c>
      <c r="B288" s="120" t="s">
        <v>83</v>
      </c>
      <c r="C288" s="120" t="s">
        <v>1044</v>
      </c>
      <c r="D288" s="121">
        <v>22</v>
      </c>
      <c r="E288" s="121">
        <v>13</v>
      </c>
      <c r="F288" s="121">
        <v>13</v>
      </c>
      <c r="G288" s="121">
        <v>24</v>
      </c>
      <c r="H288" s="124">
        <v>72</v>
      </c>
      <c r="K288" s="11"/>
      <c r="L288" s="98"/>
      <c r="M288" s="98"/>
      <c r="O288" s="10"/>
      <c r="P288" s="10"/>
    </row>
    <row r="289" spans="1:16" ht="12.75" x14ac:dyDescent="0.2">
      <c r="A289" s="119">
        <v>254</v>
      </c>
      <c r="B289" s="120" t="s">
        <v>83</v>
      </c>
      <c r="C289" s="120" t="s">
        <v>1045</v>
      </c>
      <c r="D289" s="121">
        <v>16</v>
      </c>
      <c r="E289" s="121">
        <v>11</v>
      </c>
      <c r="F289" s="121">
        <v>11</v>
      </c>
      <c r="G289" s="121">
        <v>23</v>
      </c>
      <c r="H289" s="124">
        <v>61</v>
      </c>
      <c r="K289" s="11"/>
      <c r="L289" s="98"/>
      <c r="M289" s="98"/>
      <c r="O289" s="10"/>
      <c r="P289" s="10"/>
    </row>
    <row r="290" spans="1:16" ht="12.75" x14ac:dyDescent="0.2">
      <c r="A290" s="119">
        <v>255</v>
      </c>
      <c r="B290" s="120" t="s">
        <v>83</v>
      </c>
      <c r="C290" s="120" t="s">
        <v>1046</v>
      </c>
      <c r="D290" s="121">
        <v>40</v>
      </c>
      <c r="E290" s="121">
        <v>20</v>
      </c>
      <c r="F290" s="121">
        <v>21</v>
      </c>
      <c r="G290" s="121">
        <v>51</v>
      </c>
      <c r="H290" s="124">
        <v>132</v>
      </c>
      <c r="K290" s="11"/>
      <c r="L290" s="98"/>
      <c r="M290" s="98"/>
      <c r="O290" s="10"/>
      <c r="P290" s="10"/>
    </row>
    <row r="291" spans="1:16" ht="12.75" x14ac:dyDescent="0.2">
      <c r="A291" s="119">
        <v>256</v>
      </c>
      <c r="B291" s="120" t="s">
        <v>83</v>
      </c>
      <c r="C291" s="120" t="s">
        <v>1047</v>
      </c>
      <c r="D291" s="121">
        <v>41</v>
      </c>
      <c r="E291" s="121">
        <v>24</v>
      </c>
      <c r="F291" s="121">
        <v>26</v>
      </c>
      <c r="G291" s="121">
        <v>38</v>
      </c>
      <c r="H291" s="124">
        <v>129</v>
      </c>
      <c r="K291" s="11"/>
      <c r="L291" s="98"/>
      <c r="M291" s="98"/>
      <c r="O291" s="10"/>
      <c r="P291" s="10"/>
    </row>
    <row r="292" spans="1:16" ht="12.75" x14ac:dyDescent="0.2">
      <c r="A292" s="119">
        <v>257</v>
      </c>
      <c r="B292" s="120" t="s">
        <v>83</v>
      </c>
      <c r="C292" s="120" t="s">
        <v>1048</v>
      </c>
      <c r="D292" s="121">
        <v>111</v>
      </c>
      <c r="E292" s="121">
        <v>65</v>
      </c>
      <c r="F292" s="121">
        <v>72</v>
      </c>
      <c r="G292" s="121">
        <v>167</v>
      </c>
      <c r="H292" s="124">
        <v>415</v>
      </c>
      <c r="K292" s="11"/>
      <c r="L292" s="98"/>
      <c r="M292" s="98"/>
      <c r="O292" s="10"/>
      <c r="P292" s="10"/>
    </row>
    <row r="293" spans="1:16" ht="12.75" x14ac:dyDescent="0.2">
      <c r="A293" s="119">
        <v>258</v>
      </c>
      <c r="B293" s="120" t="s">
        <v>83</v>
      </c>
      <c r="C293" s="120" t="s">
        <v>1049</v>
      </c>
      <c r="D293" s="121">
        <v>6</v>
      </c>
      <c r="E293" s="121">
        <v>4</v>
      </c>
      <c r="F293" s="121">
        <v>4</v>
      </c>
      <c r="G293" s="121">
        <v>4</v>
      </c>
      <c r="H293" s="124">
        <v>18</v>
      </c>
      <c r="K293" s="11"/>
      <c r="L293" s="98"/>
      <c r="M293" s="98"/>
      <c r="O293" s="10"/>
      <c r="P293" s="10"/>
    </row>
    <row r="294" spans="1:16" ht="12.75" x14ac:dyDescent="0.2">
      <c r="A294" s="119">
        <v>259</v>
      </c>
      <c r="B294" s="120" t="s">
        <v>83</v>
      </c>
      <c r="C294" s="120" t="s">
        <v>1050</v>
      </c>
      <c r="D294" s="121">
        <v>33</v>
      </c>
      <c r="E294" s="121">
        <v>17</v>
      </c>
      <c r="F294" s="121">
        <v>19</v>
      </c>
      <c r="G294" s="121">
        <v>37</v>
      </c>
      <c r="H294" s="124">
        <v>106</v>
      </c>
      <c r="K294" s="11"/>
      <c r="L294" s="98"/>
      <c r="M294" s="98"/>
      <c r="O294" s="10"/>
      <c r="P294" s="10"/>
    </row>
    <row r="295" spans="1:16" ht="12.75" x14ac:dyDescent="0.2">
      <c r="A295" s="119">
        <v>260</v>
      </c>
      <c r="B295" s="120" t="s">
        <v>83</v>
      </c>
      <c r="C295" s="120" t="s">
        <v>1051</v>
      </c>
      <c r="D295" s="121">
        <v>240</v>
      </c>
      <c r="E295" s="121">
        <v>148</v>
      </c>
      <c r="F295" s="121">
        <v>181</v>
      </c>
      <c r="G295" s="121">
        <v>438</v>
      </c>
      <c r="H295" s="123">
        <v>1007</v>
      </c>
      <c r="K295" s="11"/>
      <c r="L295" s="98"/>
      <c r="M295" s="98"/>
      <c r="O295" s="10"/>
      <c r="P295" s="10"/>
    </row>
    <row r="296" spans="1:16" ht="12.75" x14ac:dyDescent="0.2">
      <c r="A296" s="119">
        <v>261</v>
      </c>
      <c r="B296" s="120" t="s">
        <v>83</v>
      </c>
      <c r="C296" s="120" t="s">
        <v>1052</v>
      </c>
      <c r="D296" s="121">
        <v>26</v>
      </c>
      <c r="E296" s="121">
        <v>14</v>
      </c>
      <c r="F296" s="121">
        <v>16</v>
      </c>
      <c r="G296" s="121">
        <v>23</v>
      </c>
      <c r="H296" s="124">
        <v>79</v>
      </c>
      <c r="K296" s="11"/>
      <c r="L296" s="98"/>
      <c r="M296" s="98"/>
      <c r="O296" s="10"/>
      <c r="P296" s="10"/>
    </row>
    <row r="297" spans="1:16" ht="12.75" x14ac:dyDescent="0.2">
      <c r="A297" s="119">
        <v>262</v>
      </c>
      <c r="B297" s="120" t="s">
        <v>83</v>
      </c>
      <c r="C297" s="120" t="s">
        <v>1053</v>
      </c>
      <c r="D297" s="121">
        <v>24</v>
      </c>
      <c r="E297" s="121">
        <v>16</v>
      </c>
      <c r="F297" s="121">
        <v>19</v>
      </c>
      <c r="G297" s="121">
        <v>19</v>
      </c>
      <c r="H297" s="124">
        <v>78</v>
      </c>
      <c r="K297" s="11"/>
      <c r="L297" s="98"/>
      <c r="M297" s="98"/>
      <c r="O297" s="10"/>
      <c r="P297" s="10"/>
    </row>
    <row r="298" spans="1:16" ht="12.75" x14ac:dyDescent="0.2">
      <c r="A298" s="119">
        <v>263</v>
      </c>
      <c r="B298" s="120" t="s">
        <v>83</v>
      </c>
      <c r="C298" s="120" t="s">
        <v>807</v>
      </c>
      <c r="D298" s="121">
        <v>55</v>
      </c>
      <c r="E298" s="121">
        <v>32</v>
      </c>
      <c r="F298" s="121">
        <v>37</v>
      </c>
      <c r="G298" s="121">
        <v>61</v>
      </c>
      <c r="H298" s="124">
        <v>185</v>
      </c>
      <c r="K298" s="11"/>
      <c r="L298" s="98"/>
      <c r="M298" s="98"/>
      <c r="O298" s="10"/>
      <c r="P298" s="10"/>
    </row>
    <row r="299" spans="1:16" ht="12.75" x14ac:dyDescent="0.2">
      <c r="A299" s="99"/>
      <c r="B299" s="116" t="s">
        <v>89</v>
      </c>
      <c r="C299" s="117"/>
      <c r="D299" s="143">
        <v>370</v>
      </c>
      <c r="E299" s="143">
        <v>199</v>
      </c>
      <c r="F299" s="143">
        <v>243</v>
      </c>
      <c r="G299" s="143">
        <v>670</v>
      </c>
      <c r="H299" s="115">
        <v>1482</v>
      </c>
      <c r="K299" s="11"/>
      <c r="L299" s="98"/>
      <c r="M299" s="98"/>
      <c r="O299" s="10"/>
      <c r="P299" s="10"/>
    </row>
    <row r="300" spans="1:16" ht="12.75" x14ac:dyDescent="0.2">
      <c r="A300" s="119">
        <v>264</v>
      </c>
      <c r="B300" s="120" t="s">
        <v>89</v>
      </c>
      <c r="C300" s="120" t="s">
        <v>1054</v>
      </c>
      <c r="D300" s="121">
        <v>116</v>
      </c>
      <c r="E300" s="121">
        <v>54</v>
      </c>
      <c r="F300" s="121">
        <v>58</v>
      </c>
      <c r="G300" s="121">
        <v>164</v>
      </c>
      <c r="H300" s="124">
        <v>392</v>
      </c>
      <c r="K300" s="11"/>
      <c r="L300" s="98"/>
      <c r="M300" s="98"/>
      <c r="O300" s="10"/>
      <c r="P300" s="10"/>
    </row>
    <row r="301" spans="1:16" ht="12.75" x14ac:dyDescent="0.2">
      <c r="A301" s="119">
        <v>265</v>
      </c>
      <c r="B301" s="120" t="s">
        <v>89</v>
      </c>
      <c r="C301" s="120" t="s">
        <v>1055</v>
      </c>
      <c r="D301" s="121">
        <v>6</v>
      </c>
      <c r="E301" s="121">
        <v>2</v>
      </c>
      <c r="F301" s="121">
        <v>4</v>
      </c>
      <c r="G301" s="121">
        <v>15</v>
      </c>
      <c r="H301" s="124">
        <v>27</v>
      </c>
      <c r="K301" s="11"/>
      <c r="L301" s="98"/>
      <c r="M301" s="98"/>
      <c r="O301" s="10"/>
      <c r="P301" s="10"/>
    </row>
    <row r="302" spans="1:16" ht="12.75" x14ac:dyDescent="0.2">
      <c r="A302" s="119">
        <v>266</v>
      </c>
      <c r="B302" s="120" t="s">
        <v>89</v>
      </c>
      <c r="C302" s="120" t="s">
        <v>89</v>
      </c>
      <c r="D302" s="121">
        <v>185</v>
      </c>
      <c r="E302" s="121">
        <v>106</v>
      </c>
      <c r="F302" s="121">
        <v>141</v>
      </c>
      <c r="G302" s="121">
        <v>403</v>
      </c>
      <c r="H302" s="124">
        <v>835</v>
      </c>
      <c r="K302" s="11"/>
      <c r="L302" s="98"/>
      <c r="M302" s="98"/>
      <c r="O302" s="10"/>
      <c r="P302" s="10"/>
    </row>
    <row r="303" spans="1:16" ht="12.75" x14ac:dyDescent="0.2">
      <c r="A303" s="119">
        <v>267</v>
      </c>
      <c r="B303" s="120" t="s">
        <v>89</v>
      </c>
      <c r="C303" s="120" t="s">
        <v>1056</v>
      </c>
      <c r="D303" s="121">
        <v>8</v>
      </c>
      <c r="E303" s="121">
        <v>5</v>
      </c>
      <c r="F303" s="121">
        <v>5</v>
      </c>
      <c r="G303" s="121">
        <v>13</v>
      </c>
      <c r="H303" s="124">
        <v>31</v>
      </c>
      <c r="K303" s="11"/>
      <c r="L303" s="98"/>
      <c r="M303" s="98"/>
      <c r="O303" s="10"/>
      <c r="P303" s="10"/>
    </row>
    <row r="304" spans="1:16" ht="12.75" x14ac:dyDescent="0.2">
      <c r="A304" s="119">
        <v>268</v>
      </c>
      <c r="B304" s="120" t="s">
        <v>89</v>
      </c>
      <c r="C304" s="120" t="s">
        <v>1057</v>
      </c>
      <c r="D304" s="121">
        <v>4</v>
      </c>
      <c r="E304" s="121">
        <v>2</v>
      </c>
      <c r="F304" s="121">
        <v>3</v>
      </c>
      <c r="G304" s="121">
        <v>8</v>
      </c>
      <c r="H304" s="124">
        <v>17</v>
      </c>
      <c r="K304" s="11"/>
      <c r="L304" s="98"/>
      <c r="M304" s="98"/>
      <c r="O304" s="10"/>
      <c r="P304" s="10"/>
    </row>
    <row r="305" spans="1:16" ht="12.75" x14ac:dyDescent="0.2">
      <c r="A305" s="119">
        <v>269</v>
      </c>
      <c r="B305" s="120" t="s">
        <v>89</v>
      </c>
      <c r="C305" s="120" t="s">
        <v>807</v>
      </c>
      <c r="D305" s="121">
        <v>51</v>
      </c>
      <c r="E305" s="121">
        <v>30</v>
      </c>
      <c r="F305" s="121">
        <v>32</v>
      </c>
      <c r="G305" s="121">
        <v>67</v>
      </c>
      <c r="H305" s="124">
        <v>180</v>
      </c>
      <c r="K305" s="11"/>
      <c r="L305" s="98"/>
      <c r="M305" s="98"/>
      <c r="O305" s="10"/>
      <c r="P305" s="10"/>
    </row>
    <row r="306" spans="1:16" ht="12.75" x14ac:dyDescent="0.2">
      <c r="A306" s="119">
        <v>270</v>
      </c>
      <c r="B306" s="116" t="s">
        <v>57</v>
      </c>
      <c r="C306" s="117"/>
      <c r="D306" s="144">
        <v>6234</v>
      </c>
      <c r="E306" s="144">
        <v>4639</v>
      </c>
      <c r="F306" s="144">
        <v>5460</v>
      </c>
      <c r="G306" s="144">
        <v>12536</v>
      </c>
      <c r="H306" s="115">
        <v>28869</v>
      </c>
      <c r="K306" s="11"/>
      <c r="L306" s="98"/>
      <c r="M306" s="98"/>
      <c r="O306" s="10"/>
      <c r="P306" s="10"/>
    </row>
    <row r="307" spans="1:16" ht="12.75" x14ac:dyDescent="0.2">
      <c r="A307" s="99"/>
      <c r="B307" s="116" t="s">
        <v>65</v>
      </c>
      <c r="C307" s="117"/>
      <c r="D307" s="115">
        <v>4595</v>
      </c>
      <c r="E307" s="115">
        <v>2507</v>
      </c>
      <c r="F307" s="115">
        <v>2830</v>
      </c>
      <c r="G307" s="115">
        <v>6486</v>
      </c>
      <c r="H307" s="115">
        <v>16418</v>
      </c>
      <c r="K307" s="11"/>
      <c r="L307" s="98"/>
      <c r="M307" s="98"/>
      <c r="O307" s="10"/>
      <c r="P307" s="10"/>
    </row>
    <row r="308" spans="1:16" ht="12.75" x14ac:dyDescent="0.2">
      <c r="A308" s="119">
        <v>271</v>
      </c>
      <c r="B308" s="120" t="s">
        <v>65</v>
      </c>
      <c r="C308" s="120" t="s">
        <v>1058</v>
      </c>
      <c r="D308" s="121">
        <v>35</v>
      </c>
      <c r="E308" s="121">
        <v>26</v>
      </c>
      <c r="F308" s="121">
        <v>29</v>
      </c>
      <c r="G308" s="121">
        <v>3</v>
      </c>
      <c r="H308" s="124">
        <v>93</v>
      </c>
      <c r="K308" s="11"/>
      <c r="L308" s="98"/>
      <c r="M308" s="98"/>
      <c r="O308" s="10"/>
      <c r="P308" s="10"/>
    </row>
    <row r="309" spans="1:16" ht="12.75" x14ac:dyDescent="0.2">
      <c r="A309" s="119">
        <v>272</v>
      </c>
      <c r="B309" s="120" t="s">
        <v>65</v>
      </c>
      <c r="C309" s="120" t="s">
        <v>1059</v>
      </c>
      <c r="D309" s="121">
        <v>116</v>
      </c>
      <c r="E309" s="121">
        <v>63</v>
      </c>
      <c r="F309" s="121">
        <v>67</v>
      </c>
      <c r="G309" s="121">
        <v>222</v>
      </c>
      <c r="H309" s="124">
        <v>468</v>
      </c>
      <c r="K309" s="11"/>
      <c r="L309" s="98"/>
      <c r="M309" s="98"/>
      <c r="O309" s="10"/>
      <c r="P309" s="10"/>
    </row>
    <row r="310" spans="1:16" ht="12.75" x14ac:dyDescent="0.2">
      <c r="A310" s="119">
        <v>273</v>
      </c>
      <c r="B310" s="120" t="s">
        <v>65</v>
      </c>
      <c r="C310" s="120" t="s">
        <v>1060</v>
      </c>
      <c r="D310" s="121">
        <v>25</v>
      </c>
      <c r="E310" s="121">
        <v>13</v>
      </c>
      <c r="F310" s="121">
        <v>15</v>
      </c>
      <c r="G310" s="121">
        <v>30</v>
      </c>
      <c r="H310" s="124">
        <v>83</v>
      </c>
      <c r="K310" s="11"/>
      <c r="L310" s="98"/>
      <c r="M310" s="98"/>
      <c r="O310" s="10"/>
      <c r="P310" s="10"/>
    </row>
    <row r="311" spans="1:16" ht="12.75" x14ac:dyDescent="0.2">
      <c r="A311" s="119">
        <v>274</v>
      </c>
      <c r="B311" s="120" t="s">
        <v>65</v>
      </c>
      <c r="C311" s="120" t="s">
        <v>1061</v>
      </c>
      <c r="D311" s="121">
        <v>276</v>
      </c>
      <c r="E311" s="121">
        <v>144</v>
      </c>
      <c r="F311" s="121">
        <v>155</v>
      </c>
      <c r="G311" s="121">
        <v>288</v>
      </c>
      <c r="H311" s="124">
        <v>863</v>
      </c>
      <c r="K311" s="11"/>
      <c r="L311" s="98"/>
      <c r="M311" s="98"/>
      <c r="O311" s="10"/>
      <c r="P311" s="10"/>
    </row>
    <row r="312" spans="1:16" ht="12.75" x14ac:dyDescent="0.2">
      <c r="A312" s="119">
        <v>275</v>
      </c>
      <c r="B312" s="120" t="s">
        <v>65</v>
      </c>
      <c r="C312" s="120" t="s">
        <v>1062</v>
      </c>
      <c r="D312" s="121">
        <v>20</v>
      </c>
      <c r="E312" s="121">
        <v>8</v>
      </c>
      <c r="F312" s="121">
        <v>9</v>
      </c>
      <c r="G312" s="121">
        <v>22</v>
      </c>
      <c r="H312" s="124">
        <v>59</v>
      </c>
      <c r="K312" s="11"/>
      <c r="L312" s="98"/>
      <c r="M312" s="98"/>
      <c r="O312" s="10"/>
      <c r="P312" s="10"/>
    </row>
    <row r="313" spans="1:16" ht="12.75" x14ac:dyDescent="0.2">
      <c r="A313" s="119">
        <v>276</v>
      </c>
      <c r="B313" s="120" t="s">
        <v>65</v>
      </c>
      <c r="C313" s="120" t="s">
        <v>1063</v>
      </c>
      <c r="D313" s="121">
        <v>400</v>
      </c>
      <c r="E313" s="121">
        <v>188</v>
      </c>
      <c r="F313" s="121">
        <v>221</v>
      </c>
      <c r="G313" s="121">
        <v>541</v>
      </c>
      <c r="H313" s="123">
        <v>1350</v>
      </c>
      <c r="K313" s="11"/>
      <c r="L313" s="98"/>
      <c r="M313" s="98"/>
      <c r="O313" s="10"/>
      <c r="P313" s="10"/>
    </row>
    <row r="314" spans="1:16" ht="12.75" x14ac:dyDescent="0.2">
      <c r="A314" s="119">
        <v>277</v>
      </c>
      <c r="B314" s="120" t="s">
        <v>65</v>
      </c>
      <c r="C314" s="120" t="s">
        <v>1064</v>
      </c>
      <c r="D314" s="121">
        <v>64</v>
      </c>
      <c r="E314" s="121">
        <v>54</v>
      </c>
      <c r="F314" s="121">
        <v>83</v>
      </c>
      <c r="G314" s="121">
        <v>266</v>
      </c>
      <c r="H314" s="124">
        <v>467</v>
      </c>
      <c r="K314" s="11"/>
      <c r="L314" s="98"/>
      <c r="M314" s="98"/>
      <c r="O314" s="10"/>
      <c r="P314" s="10"/>
    </row>
    <row r="315" spans="1:16" ht="12.75" x14ac:dyDescent="0.2">
      <c r="A315" s="119">
        <v>278</v>
      </c>
      <c r="B315" s="120" t="s">
        <v>65</v>
      </c>
      <c r="C315" s="120" t="s">
        <v>1065</v>
      </c>
      <c r="D315" s="121">
        <v>148</v>
      </c>
      <c r="E315" s="121">
        <v>87</v>
      </c>
      <c r="F315" s="121">
        <v>76</v>
      </c>
      <c r="G315" s="121">
        <v>119</v>
      </c>
      <c r="H315" s="124">
        <v>430</v>
      </c>
      <c r="K315" s="11"/>
      <c r="L315" s="98"/>
      <c r="M315" s="98"/>
      <c r="O315" s="10"/>
      <c r="P315" s="10"/>
    </row>
    <row r="316" spans="1:16" ht="12.75" x14ac:dyDescent="0.2">
      <c r="A316" s="119">
        <v>279</v>
      </c>
      <c r="B316" s="120" t="s">
        <v>65</v>
      </c>
      <c r="C316" s="120" t="s">
        <v>1066</v>
      </c>
      <c r="D316" s="121">
        <v>52</v>
      </c>
      <c r="E316" s="121">
        <v>31</v>
      </c>
      <c r="F316" s="121">
        <v>36</v>
      </c>
      <c r="G316" s="121">
        <v>121</v>
      </c>
      <c r="H316" s="124">
        <v>240</v>
      </c>
      <c r="K316" s="11"/>
      <c r="L316" s="98"/>
      <c r="M316" s="98"/>
      <c r="O316" s="10"/>
      <c r="P316" s="10"/>
    </row>
    <row r="317" spans="1:16" ht="12.75" x14ac:dyDescent="0.2">
      <c r="A317" s="119">
        <v>280</v>
      </c>
      <c r="B317" s="120" t="s">
        <v>65</v>
      </c>
      <c r="C317" s="120" t="s">
        <v>1067</v>
      </c>
      <c r="D317" s="121">
        <v>32</v>
      </c>
      <c r="E317" s="121">
        <v>17</v>
      </c>
      <c r="F317" s="121">
        <v>21</v>
      </c>
      <c r="G317" s="121">
        <v>21</v>
      </c>
      <c r="H317" s="124">
        <v>91</v>
      </c>
      <c r="K317" s="11"/>
      <c r="L317" s="98"/>
      <c r="M317" s="98"/>
      <c r="O317" s="10"/>
      <c r="P317" s="10"/>
    </row>
    <row r="318" spans="1:16" ht="12.75" x14ac:dyDescent="0.2">
      <c r="A318" s="119">
        <v>281</v>
      </c>
      <c r="B318" s="120" t="s">
        <v>65</v>
      </c>
      <c r="C318" s="120" t="s">
        <v>1068</v>
      </c>
      <c r="D318" s="121">
        <v>233</v>
      </c>
      <c r="E318" s="121">
        <v>129</v>
      </c>
      <c r="F318" s="121">
        <v>143</v>
      </c>
      <c r="G318" s="121">
        <v>150</v>
      </c>
      <c r="H318" s="124">
        <v>655</v>
      </c>
      <c r="K318" s="11"/>
      <c r="L318" s="98"/>
      <c r="M318" s="98"/>
      <c r="O318" s="10"/>
      <c r="P318" s="10"/>
    </row>
    <row r="319" spans="1:16" ht="12.75" x14ac:dyDescent="0.2">
      <c r="A319" s="119">
        <v>282</v>
      </c>
      <c r="B319" s="120" t="s">
        <v>65</v>
      </c>
      <c r="C319" s="120" t="s">
        <v>1069</v>
      </c>
      <c r="D319" s="121">
        <v>193</v>
      </c>
      <c r="E319" s="121">
        <v>101</v>
      </c>
      <c r="F319" s="121">
        <v>112</v>
      </c>
      <c r="G319" s="121">
        <v>257</v>
      </c>
      <c r="H319" s="124">
        <v>663</v>
      </c>
      <c r="K319" s="11"/>
      <c r="L319" s="98"/>
      <c r="M319" s="98"/>
      <c r="O319" s="10"/>
      <c r="P319" s="10"/>
    </row>
    <row r="320" spans="1:16" ht="12.75" x14ac:dyDescent="0.2">
      <c r="A320" s="119">
        <v>283</v>
      </c>
      <c r="B320" s="120" t="s">
        <v>65</v>
      </c>
      <c r="C320" s="120" t="s">
        <v>1070</v>
      </c>
      <c r="D320" s="121">
        <v>121</v>
      </c>
      <c r="E320" s="121">
        <v>68</v>
      </c>
      <c r="F320" s="121">
        <v>70</v>
      </c>
      <c r="G320" s="121">
        <v>154</v>
      </c>
      <c r="H320" s="124">
        <v>413</v>
      </c>
      <c r="K320" s="11"/>
      <c r="L320" s="98"/>
      <c r="M320" s="98"/>
      <c r="O320" s="10"/>
      <c r="P320" s="10"/>
    </row>
    <row r="321" spans="1:16" ht="12.75" x14ac:dyDescent="0.2">
      <c r="A321" s="119">
        <v>284</v>
      </c>
      <c r="B321" s="120" t="s">
        <v>65</v>
      </c>
      <c r="C321" s="120" t="s">
        <v>1071</v>
      </c>
      <c r="D321" s="121">
        <v>21</v>
      </c>
      <c r="E321" s="121">
        <v>15</v>
      </c>
      <c r="F321" s="121">
        <v>15</v>
      </c>
      <c r="G321" s="121">
        <v>13</v>
      </c>
      <c r="H321" s="124">
        <v>64</v>
      </c>
      <c r="K321" s="11"/>
      <c r="L321" s="98"/>
      <c r="M321" s="98"/>
      <c r="O321" s="10"/>
      <c r="P321" s="10"/>
    </row>
    <row r="322" spans="1:16" ht="12.75" x14ac:dyDescent="0.2">
      <c r="A322" s="119">
        <v>285</v>
      </c>
      <c r="B322" s="120" t="s">
        <v>65</v>
      </c>
      <c r="C322" s="120" t="s">
        <v>1072</v>
      </c>
      <c r="D322" s="121">
        <v>706</v>
      </c>
      <c r="E322" s="121">
        <v>429</v>
      </c>
      <c r="F322" s="121">
        <v>502</v>
      </c>
      <c r="G322" s="122">
        <v>1152</v>
      </c>
      <c r="H322" s="123">
        <v>2789</v>
      </c>
      <c r="K322" s="11"/>
      <c r="L322" s="98"/>
      <c r="M322" s="98"/>
      <c r="O322" s="10"/>
      <c r="P322" s="10"/>
    </row>
    <row r="323" spans="1:16" ht="12.75" x14ac:dyDescent="0.2">
      <c r="A323" s="119">
        <v>286</v>
      </c>
      <c r="B323" s="120" t="s">
        <v>65</v>
      </c>
      <c r="C323" s="120" t="s">
        <v>1073</v>
      </c>
      <c r="D323" s="121">
        <v>358</v>
      </c>
      <c r="E323" s="121">
        <v>161</v>
      </c>
      <c r="F323" s="121">
        <v>205</v>
      </c>
      <c r="G323" s="121">
        <v>431</v>
      </c>
      <c r="H323" s="123">
        <v>1155</v>
      </c>
      <c r="K323" s="11"/>
      <c r="L323" s="98"/>
      <c r="M323" s="98"/>
      <c r="O323" s="10"/>
      <c r="P323" s="10"/>
    </row>
    <row r="324" spans="1:16" ht="12.75" x14ac:dyDescent="0.2">
      <c r="A324" s="119">
        <v>287</v>
      </c>
      <c r="B324" s="120" t="s">
        <v>65</v>
      </c>
      <c r="C324" s="120" t="s">
        <v>1074</v>
      </c>
      <c r="D324" s="121">
        <v>195</v>
      </c>
      <c r="E324" s="121">
        <v>107</v>
      </c>
      <c r="F324" s="121">
        <v>111</v>
      </c>
      <c r="G324" s="121">
        <v>183</v>
      </c>
      <c r="H324" s="124">
        <v>596</v>
      </c>
      <c r="K324" s="11"/>
      <c r="L324" s="98"/>
      <c r="M324" s="98"/>
      <c r="O324" s="10"/>
      <c r="P324" s="10"/>
    </row>
    <row r="325" spans="1:16" ht="12.75" x14ac:dyDescent="0.2">
      <c r="A325" s="119">
        <v>288</v>
      </c>
      <c r="B325" s="120" t="s">
        <v>65</v>
      </c>
      <c r="C325" s="120" t="s">
        <v>65</v>
      </c>
      <c r="D325" s="121">
        <v>859</v>
      </c>
      <c r="E325" s="121">
        <v>469</v>
      </c>
      <c r="F325" s="121">
        <v>530</v>
      </c>
      <c r="G325" s="122">
        <v>1242</v>
      </c>
      <c r="H325" s="123">
        <v>3100</v>
      </c>
      <c r="K325" s="11"/>
      <c r="L325" s="98"/>
      <c r="M325" s="98"/>
      <c r="O325" s="10"/>
      <c r="P325" s="10"/>
    </row>
    <row r="326" spans="1:16" ht="12.75" x14ac:dyDescent="0.2">
      <c r="A326" s="119">
        <v>289</v>
      </c>
      <c r="B326" s="120" t="s">
        <v>65</v>
      </c>
      <c r="C326" s="120" t="s">
        <v>1075</v>
      </c>
      <c r="D326" s="121">
        <v>565</v>
      </c>
      <c r="E326" s="121">
        <v>281</v>
      </c>
      <c r="F326" s="121">
        <v>313</v>
      </c>
      <c r="G326" s="121">
        <v>705</v>
      </c>
      <c r="H326" s="123">
        <v>1864</v>
      </c>
      <c r="K326" s="11"/>
      <c r="L326" s="98"/>
      <c r="M326" s="98"/>
      <c r="O326" s="10"/>
      <c r="P326" s="10"/>
    </row>
    <row r="327" spans="1:16" ht="12.75" x14ac:dyDescent="0.2">
      <c r="A327" s="119">
        <v>290</v>
      </c>
      <c r="B327" s="120" t="s">
        <v>65</v>
      </c>
      <c r="C327" s="120" t="s">
        <v>1076</v>
      </c>
      <c r="D327" s="121">
        <v>23</v>
      </c>
      <c r="E327" s="121">
        <v>13</v>
      </c>
      <c r="F327" s="121">
        <v>15</v>
      </c>
      <c r="G327" s="121">
        <v>11</v>
      </c>
      <c r="H327" s="124">
        <v>62</v>
      </c>
      <c r="K327" s="11"/>
      <c r="L327" s="98"/>
      <c r="M327" s="98"/>
      <c r="O327" s="10"/>
      <c r="P327" s="10"/>
    </row>
    <row r="328" spans="1:16" ht="12.75" x14ac:dyDescent="0.2">
      <c r="A328" s="119">
        <v>291</v>
      </c>
      <c r="B328" s="120" t="s">
        <v>65</v>
      </c>
      <c r="C328" s="120" t="s">
        <v>807</v>
      </c>
      <c r="D328" s="121">
        <v>153</v>
      </c>
      <c r="E328" s="121">
        <v>103</v>
      </c>
      <c r="F328" s="121">
        <v>102</v>
      </c>
      <c r="G328" s="121">
        <v>555</v>
      </c>
      <c r="H328" s="124">
        <v>913</v>
      </c>
      <c r="K328" s="11"/>
      <c r="L328" s="98"/>
      <c r="M328" s="98"/>
      <c r="O328" s="10"/>
      <c r="P328" s="10"/>
    </row>
    <row r="329" spans="1:16" ht="12.75" x14ac:dyDescent="0.2">
      <c r="A329" s="99"/>
      <c r="B329" s="116" t="s">
        <v>50</v>
      </c>
      <c r="C329" s="117"/>
      <c r="D329" s="115">
        <v>16158</v>
      </c>
      <c r="E329" s="115">
        <v>9542</v>
      </c>
      <c r="F329" s="115">
        <v>10636</v>
      </c>
      <c r="G329" s="115">
        <v>22500</v>
      </c>
      <c r="H329" s="115">
        <v>58836</v>
      </c>
      <c r="K329" s="11"/>
      <c r="L329" s="98"/>
      <c r="M329" s="98"/>
      <c r="O329" s="10"/>
      <c r="P329" s="10"/>
    </row>
    <row r="330" spans="1:16" ht="12.75" x14ac:dyDescent="0.2">
      <c r="A330" s="119">
        <v>292</v>
      </c>
      <c r="B330" s="120" t="s">
        <v>50</v>
      </c>
      <c r="C330" s="120" t="s">
        <v>1077</v>
      </c>
      <c r="D330" s="121">
        <v>253</v>
      </c>
      <c r="E330" s="121">
        <v>138</v>
      </c>
      <c r="F330" s="121">
        <v>151</v>
      </c>
      <c r="G330" s="121">
        <v>391</v>
      </c>
      <c r="H330" s="124">
        <v>933</v>
      </c>
      <c r="K330" s="11"/>
      <c r="L330" s="98"/>
      <c r="M330" s="98"/>
      <c r="O330" s="10"/>
      <c r="P330" s="10"/>
    </row>
    <row r="331" spans="1:16" ht="12.75" x14ac:dyDescent="0.2">
      <c r="A331" s="119">
        <v>293</v>
      </c>
      <c r="B331" s="120" t="s">
        <v>50</v>
      </c>
      <c r="C331" s="120" t="s">
        <v>1078</v>
      </c>
      <c r="D331" s="121">
        <v>356</v>
      </c>
      <c r="E331" s="121">
        <v>207</v>
      </c>
      <c r="F331" s="121">
        <v>231</v>
      </c>
      <c r="G331" s="121">
        <v>270</v>
      </c>
      <c r="H331" s="123">
        <v>1064</v>
      </c>
      <c r="K331" s="11"/>
      <c r="L331" s="98"/>
      <c r="M331" s="98"/>
      <c r="O331" s="10"/>
      <c r="P331" s="10"/>
    </row>
    <row r="332" spans="1:16" ht="12.75" x14ac:dyDescent="0.2">
      <c r="A332" s="119">
        <v>294</v>
      </c>
      <c r="B332" s="120" t="s">
        <v>50</v>
      </c>
      <c r="C332" s="120" t="s">
        <v>1079</v>
      </c>
      <c r="D332" s="121">
        <v>236</v>
      </c>
      <c r="E332" s="121">
        <v>160</v>
      </c>
      <c r="F332" s="121">
        <v>217</v>
      </c>
      <c r="G332" s="121">
        <v>475</v>
      </c>
      <c r="H332" s="123">
        <v>1088</v>
      </c>
      <c r="K332" s="11"/>
      <c r="L332" s="98"/>
      <c r="M332" s="98"/>
      <c r="O332" s="10"/>
      <c r="P332" s="10"/>
    </row>
    <row r="333" spans="1:16" ht="12.75" x14ac:dyDescent="0.2">
      <c r="A333" s="119">
        <v>295</v>
      </c>
      <c r="B333" s="120" t="s">
        <v>50</v>
      </c>
      <c r="C333" s="120" t="s">
        <v>1080</v>
      </c>
      <c r="D333" s="121">
        <v>169</v>
      </c>
      <c r="E333" s="121">
        <v>99</v>
      </c>
      <c r="F333" s="121">
        <v>112</v>
      </c>
      <c r="G333" s="121">
        <v>97</v>
      </c>
      <c r="H333" s="124">
        <v>477</v>
      </c>
      <c r="K333" s="11"/>
      <c r="L333" s="98"/>
      <c r="M333" s="98"/>
      <c r="O333" s="10"/>
      <c r="P333" s="10"/>
    </row>
    <row r="334" spans="1:16" ht="12.75" x14ac:dyDescent="0.2">
      <c r="A334" s="119">
        <v>296</v>
      </c>
      <c r="B334" s="120" t="s">
        <v>50</v>
      </c>
      <c r="C334" s="120" t="s">
        <v>1081</v>
      </c>
      <c r="D334" s="121">
        <v>46</v>
      </c>
      <c r="E334" s="121">
        <v>28</v>
      </c>
      <c r="F334" s="121">
        <v>32</v>
      </c>
      <c r="G334" s="121">
        <v>15</v>
      </c>
      <c r="H334" s="124">
        <v>121</v>
      </c>
      <c r="K334" s="11"/>
      <c r="L334" s="98"/>
      <c r="M334" s="98"/>
      <c r="O334" s="10"/>
      <c r="P334" s="10"/>
    </row>
    <row r="335" spans="1:16" ht="12.75" x14ac:dyDescent="0.2">
      <c r="A335" s="119">
        <v>297</v>
      </c>
      <c r="B335" s="120" t="s">
        <v>50</v>
      </c>
      <c r="C335" s="120" t="s">
        <v>1082</v>
      </c>
      <c r="D335" s="121">
        <v>201</v>
      </c>
      <c r="E335" s="121">
        <v>112</v>
      </c>
      <c r="F335" s="121">
        <v>132</v>
      </c>
      <c r="G335" s="121">
        <v>174</v>
      </c>
      <c r="H335" s="124">
        <v>619</v>
      </c>
      <c r="K335" s="11"/>
      <c r="L335" s="98"/>
      <c r="M335" s="98"/>
      <c r="O335" s="10"/>
      <c r="P335" s="10"/>
    </row>
    <row r="336" spans="1:16" ht="12.75" x14ac:dyDescent="0.2">
      <c r="A336" s="119">
        <v>298</v>
      </c>
      <c r="B336" s="120" t="s">
        <v>50</v>
      </c>
      <c r="C336" s="120" t="s">
        <v>1083</v>
      </c>
      <c r="D336" s="122">
        <v>1004</v>
      </c>
      <c r="E336" s="121">
        <v>570</v>
      </c>
      <c r="F336" s="121">
        <v>565</v>
      </c>
      <c r="G336" s="122">
        <v>1151</v>
      </c>
      <c r="H336" s="123">
        <v>3290</v>
      </c>
      <c r="K336" s="11"/>
      <c r="L336" s="98"/>
      <c r="M336" s="98"/>
      <c r="O336" s="10"/>
      <c r="P336" s="10"/>
    </row>
    <row r="337" spans="1:16" ht="12.75" x14ac:dyDescent="0.2">
      <c r="A337" s="119">
        <v>299</v>
      </c>
      <c r="B337" s="120" t="s">
        <v>50</v>
      </c>
      <c r="C337" s="120" t="s">
        <v>1084</v>
      </c>
      <c r="D337" s="121">
        <v>23</v>
      </c>
      <c r="E337" s="121">
        <v>13</v>
      </c>
      <c r="F337" s="121">
        <v>13</v>
      </c>
      <c r="G337" s="121">
        <v>12</v>
      </c>
      <c r="H337" s="124">
        <v>61</v>
      </c>
      <c r="K337" s="11"/>
      <c r="L337" s="98"/>
      <c r="M337" s="98"/>
      <c r="O337" s="10"/>
      <c r="P337" s="10"/>
    </row>
    <row r="338" spans="1:16" ht="12.75" x14ac:dyDescent="0.2">
      <c r="A338" s="119">
        <v>300</v>
      </c>
      <c r="B338" s="120" t="s">
        <v>50</v>
      </c>
      <c r="C338" s="120" t="s">
        <v>1085</v>
      </c>
      <c r="D338" s="121">
        <v>273</v>
      </c>
      <c r="E338" s="121">
        <v>154</v>
      </c>
      <c r="F338" s="121">
        <v>185</v>
      </c>
      <c r="G338" s="121">
        <v>316</v>
      </c>
      <c r="H338" s="124">
        <v>928</v>
      </c>
      <c r="K338" s="11"/>
      <c r="L338" s="98"/>
      <c r="M338" s="98"/>
      <c r="O338" s="10"/>
      <c r="P338" s="10"/>
    </row>
    <row r="339" spans="1:16" ht="12.75" x14ac:dyDescent="0.2">
      <c r="A339" s="119">
        <v>301</v>
      </c>
      <c r="B339" s="120" t="s">
        <v>50</v>
      </c>
      <c r="C339" s="120" t="s">
        <v>1086</v>
      </c>
      <c r="D339" s="121">
        <v>814</v>
      </c>
      <c r="E339" s="121">
        <v>492</v>
      </c>
      <c r="F339" s="121">
        <v>527</v>
      </c>
      <c r="G339" s="122">
        <v>1093</v>
      </c>
      <c r="H339" s="123">
        <v>2926</v>
      </c>
      <c r="K339" s="11"/>
      <c r="L339" s="98"/>
      <c r="M339" s="98"/>
      <c r="O339" s="10"/>
      <c r="P339" s="10"/>
    </row>
    <row r="340" spans="1:16" ht="12.75" x14ac:dyDescent="0.2">
      <c r="A340" s="119">
        <v>302</v>
      </c>
      <c r="B340" s="120" t="s">
        <v>50</v>
      </c>
      <c r="C340" s="120" t="s">
        <v>1087</v>
      </c>
      <c r="D340" s="121">
        <v>691</v>
      </c>
      <c r="E340" s="121">
        <v>432</v>
      </c>
      <c r="F340" s="121">
        <v>278</v>
      </c>
      <c r="G340" s="121">
        <v>587</v>
      </c>
      <c r="H340" s="123">
        <v>1988</v>
      </c>
      <c r="K340" s="11"/>
      <c r="L340" s="98"/>
      <c r="M340" s="98"/>
      <c r="O340" s="10"/>
      <c r="P340" s="10"/>
    </row>
    <row r="341" spans="1:16" ht="12.75" x14ac:dyDescent="0.2">
      <c r="A341" s="119">
        <v>303</v>
      </c>
      <c r="B341" s="120" t="s">
        <v>50</v>
      </c>
      <c r="C341" s="120" t="s">
        <v>1088</v>
      </c>
      <c r="D341" s="122">
        <v>9233</v>
      </c>
      <c r="E341" s="122">
        <v>5428</v>
      </c>
      <c r="F341" s="122">
        <v>6188</v>
      </c>
      <c r="G341" s="122">
        <v>14231</v>
      </c>
      <c r="H341" s="123">
        <v>35080</v>
      </c>
      <c r="K341" s="11"/>
      <c r="L341" s="98"/>
      <c r="M341" s="98"/>
      <c r="O341" s="10"/>
      <c r="P341" s="10"/>
    </row>
    <row r="342" spans="1:16" ht="12.75" x14ac:dyDescent="0.2">
      <c r="A342" s="119">
        <v>304</v>
      </c>
      <c r="B342" s="120" t="s">
        <v>50</v>
      </c>
      <c r="C342" s="120" t="s">
        <v>50</v>
      </c>
      <c r="D342" s="122">
        <v>1050</v>
      </c>
      <c r="E342" s="121">
        <v>695</v>
      </c>
      <c r="F342" s="121">
        <v>755</v>
      </c>
      <c r="G342" s="122">
        <v>1593</v>
      </c>
      <c r="H342" s="123">
        <v>4093</v>
      </c>
      <c r="K342" s="11"/>
      <c r="L342" s="98"/>
      <c r="M342" s="98"/>
      <c r="O342" s="10"/>
      <c r="P342" s="10"/>
    </row>
    <row r="343" spans="1:16" ht="12.75" x14ac:dyDescent="0.2">
      <c r="A343" s="119">
        <v>305</v>
      </c>
      <c r="B343" s="120" t="s">
        <v>50</v>
      </c>
      <c r="C343" s="120" t="s">
        <v>1089</v>
      </c>
      <c r="D343" s="121">
        <v>147</v>
      </c>
      <c r="E343" s="121">
        <v>95</v>
      </c>
      <c r="F343" s="121">
        <v>104</v>
      </c>
      <c r="G343" s="121">
        <v>93</v>
      </c>
      <c r="H343" s="124">
        <v>439</v>
      </c>
      <c r="K343" s="11"/>
      <c r="L343" s="98"/>
      <c r="M343" s="98"/>
      <c r="O343" s="10"/>
      <c r="P343" s="10"/>
    </row>
    <row r="344" spans="1:16" ht="12.75" x14ac:dyDescent="0.2">
      <c r="A344" s="119">
        <v>306</v>
      </c>
      <c r="B344" s="120" t="s">
        <v>50</v>
      </c>
      <c r="C344" s="120" t="s">
        <v>1090</v>
      </c>
      <c r="D344" s="122">
        <v>1640</v>
      </c>
      <c r="E344" s="121">
        <v>906</v>
      </c>
      <c r="F344" s="121">
        <v>932</v>
      </c>
      <c r="G344" s="122">
        <v>1974</v>
      </c>
      <c r="H344" s="123">
        <v>5452</v>
      </c>
      <c r="K344" s="11"/>
      <c r="L344" s="98"/>
      <c r="M344" s="98"/>
      <c r="O344" s="10"/>
      <c r="P344" s="10"/>
    </row>
    <row r="345" spans="1:16" ht="12.75" x14ac:dyDescent="0.2">
      <c r="A345" s="119">
        <v>307</v>
      </c>
      <c r="B345" s="120" t="s">
        <v>50</v>
      </c>
      <c r="C345" s="120" t="s">
        <v>807</v>
      </c>
      <c r="D345" s="121">
        <v>22</v>
      </c>
      <c r="E345" s="121">
        <v>13</v>
      </c>
      <c r="F345" s="121">
        <v>214</v>
      </c>
      <c r="G345" s="121">
        <v>28</v>
      </c>
      <c r="H345" s="124">
        <v>277</v>
      </c>
      <c r="K345" s="11"/>
      <c r="L345" s="98"/>
      <c r="M345" s="98"/>
      <c r="O345" s="10"/>
      <c r="P345" s="10"/>
    </row>
    <row r="346" spans="1:16" ht="12.75" x14ac:dyDescent="0.2">
      <c r="A346" s="99"/>
      <c r="B346" s="116" t="s">
        <v>77</v>
      </c>
      <c r="C346" s="117"/>
      <c r="D346" s="115">
        <v>1711</v>
      </c>
      <c r="E346" s="143">
        <v>902</v>
      </c>
      <c r="F346" s="115">
        <v>1053</v>
      </c>
      <c r="G346" s="115">
        <v>3311</v>
      </c>
      <c r="H346" s="115">
        <v>6977</v>
      </c>
      <c r="K346" s="11"/>
      <c r="L346" s="98"/>
      <c r="M346" s="98"/>
      <c r="O346" s="10"/>
      <c r="P346" s="10"/>
    </row>
    <row r="347" spans="1:16" ht="12.75" x14ac:dyDescent="0.2">
      <c r="A347" s="119">
        <v>308</v>
      </c>
      <c r="B347" s="120" t="s">
        <v>77</v>
      </c>
      <c r="C347" s="120" t="s">
        <v>1091</v>
      </c>
      <c r="D347" s="121">
        <v>94</v>
      </c>
      <c r="E347" s="121">
        <v>54</v>
      </c>
      <c r="F347" s="121">
        <v>56</v>
      </c>
      <c r="G347" s="121">
        <v>123</v>
      </c>
      <c r="H347" s="124">
        <v>327</v>
      </c>
      <c r="K347" s="11"/>
      <c r="L347" s="98"/>
      <c r="M347" s="98"/>
      <c r="O347" s="10"/>
      <c r="P347" s="10"/>
    </row>
    <row r="348" spans="1:16" ht="12.75" x14ac:dyDescent="0.2">
      <c r="A348" s="119">
        <v>309</v>
      </c>
      <c r="B348" s="120" t="s">
        <v>77</v>
      </c>
      <c r="C348" s="120" t="s">
        <v>1092</v>
      </c>
      <c r="D348" s="121">
        <v>50</v>
      </c>
      <c r="E348" s="121">
        <v>24</v>
      </c>
      <c r="F348" s="121">
        <v>30</v>
      </c>
      <c r="G348" s="121">
        <v>93</v>
      </c>
      <c r="H348" s="124">
        <v>197</v>
      </c>
      <c r="K348" s="11"/>
      <c r="L348" s="98"/>
      <c r="M348" s="98"/>
      <c r="O348" s="10"/>
      <c r="P348" s="10"/>
    </row>
    <row r="349" spans="1:16" ht="12.75" x14ac:dyDescent="0.2">
      <c r="A349" s="119">
        <v>310</v>
      </c>
      <c r="B349" s="120" t="s">
        <v>77</v>
      </c>
      <c r="C349" s="120" t="s">
        <v>1093</v>
      </c>
      <c r="D349" s="121">
        <v>779</v>
      </c>
      <c r="E349" s="121">
        <v>404</v>
      </c>
      <c r="F349" s="121">
        <v>456</v>
      </c>
      <c r="G349" s="122">
        <v>1461</v>
      </c>
      <c r="H349" s="123">
        <v>3100</v>
      </c>
      <c r="K349" s="11"/>
      <c r="L349" s="98"/>
      <c r="M349" s="98"/>
      <c r="O349" s="10"/>
      <c r="P349" s="10"/>
    </row>
    <row r="350" spans="1:16" ht="12.75" x14ac:dyDescent="0.2">
      <c r="A350" s="119">
        <v>311</v>
      </c>
      <c r="B350" s="120" t="s">
        <v>77</v>
      </c>
      <c r="C350" s="120" t="s">
        <v>1094</v>
      </c>
      <c r="D350" s="121">
        <v>45</v>
      </c>
      <c r="E350" s="121">
        <v>36</v>
      </c>
      <c r="F350" s="121">
        <v>48</v>
      </c>
      <c r="G350" s="121">
        <v>170</v>
      </c>
      <c r="H350" s="124">
        <v>299</v>
      </c>
      <c r="K350" s="11"/>
      <c r="L350" s="98"/>
      <c r="M350" s="98"/>
      <c r="O350" s="10"/>
      <c r="P350" s="10"/>
    </row>
    <row r="351" spans="1:16" ht="12.75" x14ac:dyDescent="0.2">
      <c r="A351" s="119">
        <v>312</v>
      </c>
      <c r="B351" s="120" t="s">
        <v>77</v>
      </c>
      <c r="C351" s="120" t="s">
        <v>1095</v>
      </c>
      <c r="D351" s="121">
        <v>147</v>
      </c>
      <c r="E351" s="121">
        <v>57</v>
      </c>
      <c r="F351" s="121">
        <v>60</v>
      </c>
      <c r="G351" s="121">
        <v>241</v>
      </c>
      <c r="H351" s="124">
        <v>505</v>
      </c>
      <c r="K351" s="11"/>
      <c r="L351" s="98"/>
      <c r="M351" s="98"/>
      <c r="O351" s="10"/>
      <c r="P351" s="10"/>
    </row>
    <row r="352" spans="1:16" ht="12.75" x14ac:dyDescent="0.2">
      <c r="A352" s="119">
        <v>313</v>
      </c>
      <c r="B352" s="120" t="s">
        <v>77</v>
      </c>
      <c r="C352" s="120" t="s">
        <v>1096</v>
      </c>
      <c r="D352" s="121">
        <v>287</v>
      </c>
      <c r="E352" s="121">
        <v>134</v>
      </c>
      <c r="F352" s="121">
        <v>173</v>
      </c>
      <c r="G352" s="121">
        <v>490</v>
      </c>
      <c r="H352" s="123">
        <v>1084</v>
      </c>
      <c r="K352" s="11"/>
      <c r="L352" s="98"/>
      <c r="M352" s="98"/>
      <c r="O352" s="10"/>
      <c r="P352" s="10"/>
    </row>
    <row r="353" spans="1:16" ht="12.75" x14ac:dyDescent="0.2">
      <c r="A353" s="119">
        <v>314</v>
      </c>
      <c r="B353" s="120" t="s">
        <v>77</v>
      </c>
      <c r="C353" s="120" t="s">
        <v>1097</v>
      </c>
      <c r="D353" s="121">
        <v>283</v>
      </c>
      <c r="E353" s="121">
        <v>178</v>
      </c>
      <c r="F353" s="121">
        <v>211</v>
      </c>
      <c r="G353" s="121">
        <v>690</v>
      </c>
      <c r="H353" s="123">
        <v>1362</v>
      </c>
      <c r="K353" s="11"/>
      <c r="L353" s="98"/>
      <c r="M353" s="98"/>
      <c r="O353" s="10"/>
      <c r="P353" s="10"/>
    </row>
    <row r="354" spans="1:16" ht="12.75" x14ac:dyDescent="0.2">
      <c r="A354" s="119">
        <v>315</v>
      </c>
      <c r="B354" s="120" t="s">
        <v>77</v>
      </c>
      <c r="C354" s="120" t="s">
        <v>807</v>
      </c>
      <c r="D354" s="121">
        <v>26</v>
      </c>
      <c r="E354" s="121">
        <v>15</v>
      </c>
      <c r="F354" s="121">
        <v>19</v>
      </c>
      <c r="G354" s="121">
        <v>43</v>
      </c>
      <c r="H354" s="124">
        <v>103</v>
      </c>
      <c r="K354" s="11"/>
      <c r="L354" s="98"/>
      <c r="M354" s="98"/>
      <c r="O354" s="10"/>
      <c r="P354" s="10"/>
    </row>
    <row r="355" spans="1:16" ht="12.75" x14ac:dyDescent="0.2">
      <c r="A355" s="99"/>
      <c r="B355" s="116" t="s">
        <v>70</v>
      </c>
      <c r="C355" s="117"/>
      <c r="D355" s="115">
        <v>1818</v>
      </c>
      <c r="E355" s="115">
        <v>1094</v>
      </c>
      <c r="F355" s="115">
        <v>1355</v>
      </c>
      <c r="G355" s="115">
        <v>4177</v>
      </c>
      <c r="H355" s="115">
        <v>8444</v>
      </c>
      <c r="K355" s="11"/>
      <c r="L355" s="98"/>
      <c r="M355" s="98"/>
      <c r="O355" s="10"/>
      <c r="P355" s="10"/>
    </row>
    <row r="356" spans="1:16" ht="12.75" x14ac:dyDescent="0.2">
      <c r="A356" s="119">
        <v>316</v>
      </c>
      <c r="B356" s="120" t="s">
        <v>70</v>
      </c>
      <c r="C356" s="120" t="s">
        <v>1098</v>
      </c>
      <c r="D356" s="121">
        <v>39</v>
      </c>
      <c r="E356" s="121">
        <v>29</v>
      </c>
      <c r="F356" s="121">
        <v>31</v>
      </c>
      <c r="G356" s="121">
        <v>112</v>
      </c>
      <c r="H356" s="124">
        <v>211</v>
      </c>
      <c r="K356" s="11"/>
      <c r="L356" s="98"/>
      <c r="M356" s="98"/>
      <c r="O356" s="10"/>
      <c r="P356" s="10"/>
    </row>
    <row r="357" spans="1:16" ht="12.75" x14ac:dyDescent="0.2">
      <c r="A357" s="119">
        <v>317</v>
      </c>
      <c r="B357" s="120" t="s">
        <v>70</v>
      </c>
      <c r="C357" s="120" t="s">
        <v>1099</v>
      </c>
      <c r="D357" s="121">
        <v>35</v>
      </c>
      <c r="E357" s="121">
        <v>18</v>
      </c>
      <c r="F357" s="121">
        <v>18</v>
      </c>
      <c r="G357" s="121">
        <v>66</v>
      </c>
      <c r="H357" s="124">
        <v>137</v>
      </c>
      <c r="K357" s="11"/>
      <c r="L357" s="98"/>
      <c r="M357" s="98"/>
      <c r="O357" s="10"/>
      <c r="P357" s="10"/>
    </row>
    <row r="358" spans="1:16" ht="12.75" x14ac:dyDescent="0.2">
      <c r="A358" s="119">
        <v>318</v>
      </c>
      <c r="B358" s="120" t="s">
        <v>70</v>
      </c>
      <c r="C358" s="120" t="s">
        <v>1100</v>
      </c>
      <c r="D358" s="121">
        <v>31</v>
      </c>
      <c r="E358" s="121">
        <v>24</v>
      </c>
      <c r="F358" s="121">
        <v>26</v>
      </c>
      <c r="G358" s="121">
        <v>76</v>
      </c>
      <c r="H358" s="124">
        <v>157</v>
      </c>
      <c r="K358" s="11"/>
      <c r="L358" s="98"/>
      <c r="M358" s="98"/>
      <c r="O358" s="10"/>
      <c r="P358" s="10"/>
    </row>
    <row r="359" spans="1:16" ht="12.75" x14ac:dyDescent="0.2">
      <c r="A359" s="119">
        <v>319</v>
      </c>
      <c r="B359" s="120" t="s">
        <v>70</v>
      </c>
      <c r="C359" s="120" t="s">
        <v>1101</v>
      </c>
      <c r="D359" s="121">
        <v>199</v>
      </c>
      <c r="E359" s="121">
        <v>103</v>
      </c>
      <c r="F359" s="121">
        <v>121</v>
      </c>
      <c r="G359" s="121">
        <v>322</v>
      </c>
      <c r="H359" s="124">
        <v>745</v>
      </c>
      <c r="K359" s="11"/>
      <c r="L359" s="98"/>
      <c r="M359" s="98"/>
      <c r="O359" s="10"/>
      <c r="P359" s="10"/>
    </row>
    <row r="360" spans="1:16" ht="12.75" x14ac:dyDescent="0.2">
      <c r="A360" s="119">
        <v>320</v>
      </c>
      <c r="B360" s="120" t="s">
        <v>70</v>
      </c>
      <c r="C360" s="120" t="s">
        <v>1102</v>
      </c>
      <c r="D360" s="121">
        <v>181</v>
      </c>
      <c r="E360" s="121">
        <v>107</v>
      </c>
      <c r="F360" s="121">
        <v>127</v>
      </c>
      <c r="G360" s="121">
        <v>484</v>
      </c>
      <c r="H360" s="124">
        <v>899</v>
      </c>
      <c r="K360" s="11"/>
      <c r="L360" s="98"/>
      <c r="M360" s="98"/>
      <c r="O360" s="10"/>
      <c r="P360" s="10"/>
    </row>
    <row r="361" spans="1:16" ht="12.75" x14ac:dyDescent="0.2">
      <c r="A361" s="119">
        <v>321</v>
      </c>
      <c r="B361" s="120" t="s">
        <v>70</v>
      </c>
      <c r="C361" s="120" t="s">
        <v>1103</v>
      </c>
      <c r="D361" s="122">
        <v>1041</v>
      </c>
      <c r="E361" s="121">
        <v>671</v>
      </c>
      <c r="F361" s="121">
        <v>759</v>
      </c>
      <c r="G361" s="122">
        <v>2612</v>
      </c>
      <c r="H361" s="123">
        <v>5083</v>
      </c>
      <c r="K361" s="11"/>
      <c r="L361" s="98"/>
      <c r="M361" s="98"/>
      <c r="O361" s="10"/>
      <c r="P361" s="10"/>
    </row>
    <row r="362" spans="1:16" ht="12.75" x14ac:dyDescent="0.2">
      <c r="A362" s="119">
        <v>322</v>
      </c>
      <c r="B362" s="120" t="s">
        <v>70</v>
      </c>
      <c r="C362" s="120" t="s">
        <v>1104</v>
      </c>
      <c r="D362" s="121">
        <v>22</v>
      </c>
      <c r="E362" s="121">
        <v>17</v>
      </c>
      <c r="F362" s="121">
        <v>19</v>
      </c>
      <c r="G362" s="121">
        <v>62</v>
      </c>
      <c r="H362" s="124">
        <v>120</v>
      </c>
      <c r="K362" s="11"/>
      <c r="L362" s="98"/>
      <c r="M362" s="98"/>
      <c r="O362" s="10"/>
      <c r="P362" s="10"/>
    </row>
    <row r="363" spans="1:16" ht="12.75" x14ac:dyDescent="0.2">
      <c r="A363" s="119">
        <v>323</v>
      </c>
      <c r="B363" s="120" t="s">
        <v>70</v>
      </c>
      <c r="C363" s="120" t="s">
        <v>70</v>
      </c>
      <c r="D363" s="121">
        <v>24</v>
      </c>
      <c r="E363" s="121">
        <v>23</v>
      </c>
      <c r="F363" s="121">
        <v>27</v>
      </c>
      <c r="G363" s="121">
        <v>63</v>
      </c>
      <c r="H363" s="124">
        <v>137</v>
      </c>
      <c r="K363" s="11"/>
      <c r="L363" s="98"/>
      <c r="M363" s="98"/>
      <c r="O363" s="10"/>
      <c r="P363" s="10"/>
    </row>
    <row r="364" spans="1:16" ht="12.75" x14ac:dyDescent="0.2">
      <c r="A364" s="119">
        <v>324</v>
      </c>
      <c r="B364" s="120" t="s">
        <v>70</v>
      </c>
      <c r="C364" s="120" t="s">
        <v>1105</v>
      </c>
      <c r="D364" s="121">
        <v>120</v>
      </c>
      <c r="E364" s="121">
        <v>65</v>
      </c>
      <c r="F364" s="121">
        <v>67</v>
      </c>
      <c r="G364" s="121">
        <v>188</v>
      </c>
      <c r="H364" s="124">
        <v>440</v>
      </c>
      <c r="K364" s="11"/>
      <c r="L364" s="98"/>
      <c r="M364" s="98"/>
      <c r="O364" s="10"/>
      <c r="P364" s="10"/>
    </row>
    <row r="365" spans="1:16" ht="12.75" x14ac:dyDescent="0.2">
      <c r="A365" s="119">
        <v>325</v>
      </c>
      <c r="B365" s="120" t="s">
        <v>70</v>
      </c>
      <c r="C365" s="120" t="s">
        <v>807</v>
      </c>
      <c r="D365" s="121">
        <v>126</v>
      </c>
      <c r="E365" s="121">
        <v>37</v>
      </c>
      <c r="F365" s="121">
        <v>160</v>
      </c>
      <c r="G365" s="121">
        <v>192</v>
      </c>
      <c r="H365" s="124">
        <v>515</v>
      </c>
      <c r="K365" s="11"/>
      <c r="L365" s="98"/>
      <c r="M365" s="98"/>
      <c r="O365" s="10"/>
      <c r="P365" s="10"/>
    </row>
    <row r="366" spans="1:16" ht="15" x14ac:dyDescent="0.25">
      <c r="A366" s="99"/>
      <c r="B366" s="125" t="s">
        <v>774</v>
      </c>
      <c r="C366" s="126"/>
      <c r="D366" s="138">
        <v>24560</v>
      </c>
      <c r="E366" s="138">
        <v>17220</v>
      </c>
      <c r="F366" s="138">
        <v>19520</v>
      </c>
      <c r="G366" s="138">
        <v>43670</v>
      </c>
      <c r="H366" s="138">
        <v>104970</v>
      </c>
      <c r="K366" s="11"/>
      <c r="L366" s="98"/>
      <c r="M366" s="98"/>
      <c r="O366" s="10"/>
      <c r="P366" s="10"/>
    </row>
    <row r="367" spans="1:16" ht="12.75" x14ac:dyDescent="0.2">
      <c r="A367" s="99"/>
      <c r="B367" s="145"/>
      <c r="C367" s="128" t="s">
        <v>1106</v>
      </c>
      <c r="D367" s="129">
        <v>1218</v>
      </c>
      <c r="E367" s="140">
        <v>855</v>
      </c>
      <c r="F367" s="140">
        <v>955</v>
      </c>
      <c r="G367" s="129">
        <v>2108</v>
      </c>
      <c r="H367" s="129">
        <v>5136</v>
      </c>
      <c r="K367" s="11"/>
      <c r="L367" s="98"/>
      <c r="M367" s="98"/>
      <c r="O367" s="10"/>
      <c r="P367" s="10"/>
    </row>
    <row r="368" spans="1:16" ht="12.75" x14ac:dyDescent="0.2">
      <c r="A368" s="99"/>
      <c r="B368" s="145"/>
      <c r="C368" s="128" t="s">
        <v>1107</v>
      </c>
      <c r="D368" s="129">
        <v>5749</v>
      </c>
      <c r="E368" s="129">
        <v>4030</v>
      </c>
      <c r="F368" s="129">
        <v>4023</v>
      </c>
      <c r="G368" s="129">
        <v>7823</v>
      </c>
      <c r="H368" s="129">
        <v>21625</v>
      </c>
      <c r="K368" s="11"/>
      <c r="L368" s="98"/>
      <c r="M368" s="98"/>
      <c r="O368" s="10"/>
      <c r="P368" s="10"/>
    </row>
    <row r="369" spans="1:16" ht="12.75" x14ac:dyDescent="0.2">
      <c r="A369" s="99"/>
      <c r="B369" s="145"/>
      <c r="C369" s="128" t="s">
        <v>1108</v>
      </c>
      <c r="D369" s="129">
        <v>13166</v>
      </c>
      <c r="E369" s="129">
        <v>9231</v>
      </c>
      <c r="F369" s="129">
        <v>10858</v>
      </c>
      <c r="G369" s="129">
        <v>25131</v>
      </c>
      <c r="H369" s="129">
        <v>58386</v>
      </c>
      <c r="K369" s="11"/>
      <c r="L369" s="98"/>
      <c r="M369" s="98"/>
      <c r="O369" s="10"/>
      <c r="P369" s="10"/>
    </row>
    <row r="370" spans="1:16" ht="12.75" x14ac:dyDescent="0.2">
      <c r="A370" s="99"/>
      <c r="B370" s="145"/>
      <c r="C370" s="128" t="s">
        <v>1109</v>
      </c>
      <c r="D370" s="140">
        <v>813</v>
      </c>
      <c r="E370" s="140">
        <v>569</v>
      </c>
      <c r="F370" s="140">
        <v>643</v>
      </c>
      <c r="G370" s="129">
        <v>1438</v>
      </c>
      <c r="H370" s="129">
        <v>3463</v>
      </c>
      <c r="K370" s="11"/>
      <c r="L370" s="98"/>
      <c r="M370" s="98"/>
      <c r="O370" s="10"/>
      <c r="P370" s="10"/>
    </row>
    <row r="371" spans="1:16" ht="12.75" x14ac:dyDescent="0.2">
      <c r="A371" s="99"/>
      <c r="B371" s="145"/>
      <c r="C371" s="128" t="s">
        <v>1110</v>
      </c>
      <c r="D371" s="129">
        <v>2457</v>
      </c>
      <c r="E371" s="129">
        <v>1724</v>
      </c>
      <c r="F371" s="129">
        <v>2068</v>
      </c>
      <c r="G371" s="129">
        <v>4880</v>
      </c>
      <c r="H371" s="129">
        <v>11129</v>
      </c>
      <c r="K371" s="11"/>
      <c r="L371" s="98"/>
      <c r="M371" s="98"/>
      <c r="O371" s="10"/>
      <c r="P371" s="10"/>
    </row>
    <row r="372" spans="1:16" ht="12.75" x14ac:dyDescent="0.2">
      <c r="A372" s="99"/>
      <c r="B372" s="146"/>
      <c r="C372" s="131" t="s">
        <v>1111</v>
      </c>
      <c r="D372" s="129">
        <v>1157</v>
      </c>
      <c r="E372" s="140">
        <v>811</v>
      </c>
      <c r="F372" s="140">
        <v>973</v>
      </c>
      <c r="G372" s="129">
        <v>2290</v>
      </c>
      <c r="H372" s="129">
        <v>5231</v>
      </c>
      <c r="K372" s="11"/>
      <c r="L372" s="98"/>
      <c r="M372" s="98"/>
      <c r="O372" s="10"/>
      <c r="P372" s="10"/>
    </row>
    <row r="373" spans="1:16" ht="12.75" x14ac:dyDescent="0.2">
      <c r="A373" s="99"/>
      <c r="B373" s="116" t="s">
        <v>80</v>
      </c>
      <c r="C373" s="117"/>
      <c r="D373" s="115">
        <v>1218</v>
      </c>
      <c r="E373" s="143">
        <v>855</v>
      </c>
      <c r="F373" s="143">
        <v>955</v>
      </c>
      <c r="G373" s="115">
        <v>2108</v>
      </c>
      <c r="H373" s="115">
        <v>5136</v>
      </c>
      <c r="K373" s="11"/>
      <c r="L373" s="98"/>
      <c r="M373" s="98"/>
      <c r="O373" s="10"/>
      <c r="P373" s="10"/>
    </row>
    <row r="374" spans="1:16" ht="12.75" x14ac:dyDescent="0.2">
      <c r="A374" s="119">
        <v>326</v>
      </c>
      <c r="B374" s="120" t="s">
        <v>80</v>
      </c>
      <c r="C374" s="120" t="s">
        <v>1112</v>
      </c>
      <c r="D374" s="121">
        <v>78</v>
      </c>
      <c r="E374" s="121">
        <v>55</v>
      </c>
      <c r="F374" s="121">
        <v>69</v>
      </c>
      <c r="G374" s="121">
        <v>170</v>
      </c>
      <c r="H374" s="124">
        <v>372</v>
      </c>
      <c r="K374" s="11"/>
      <c r="L374" s="98"/>
      <c r="M374" s="98"/>
      <c r="O374" s="10"/>
      <c r="P374" s="10"/>
    </row>
    <row r="375" spans="1:16" ht="12.75" x14ac:dyDescent="0.2">
      <c r="A375" s="119">
        <v>327</v>
      </c>
      <c r="B375" s="120" t="s">
        <v>80</v>
      </c>
      <c r="C375" s="120" t="s">
        <v>1113</v>
      </c>
      <c r="D375" s="121">
        <v>54</v>
      </c>
      <c r="E375" s="121">
        <v>38</v>
      </c>
      <c r="F375" s="121">
        <v>63</v>
      </c>
      <c r="G375" s="121">
        <v>181</v>
      </c>
      <c r="H375" s="124">
        <v>336</v>
      </c>
      <c r="K375" s="11"/>
      <c r="L375" s="98"/>
      <c r="M375" s="98"/>
      <c r="O375" s="10"/>
      <c r="P375" s="10"/>
    </row>
    <row r="376" spans="1:16" ht="12.75" x14ac:dyDescent="0.2">
      <c r="A376" s="119">
        <v>328</v>
      </c>
      <c r="B376" s="120" t="s">
        <v>80</v>
      </c>
      <c r="C376" s="120" t="s">
        <v>807</v>
      </c>
      <c r="D376" s="122">
        <v>1086</v>
      </c>
      <c r="E376" s="121">
        <v>762</v>
      </c>
      <c r="F376" s="121">
        <v>823</v>
      </c>
      <c r="G376" s="122">
        <v>1757</v>
      </c>
      <c r="H376" s="123">
        <v>4428</v>
      </c>
      <c r="K376" s="11"/>
      <c r="L376" s="98"/>
      <c r="M376" s="98"/>
      <c r="O376" s="10"/>
      <c r="P376" s="10"/>
    </row>
    <row r="377" spans="1:16" ht="12.75" x14ac:dyDescent="0.2">
      <c r="A377" s="99"/>
      <c r="B377" s="116" t="s">
        <v>58</v>
      </c>
      <c r="C377" s="117"/>
      <c r="D377" s="115">
        <v>5749</v>
      </c>
      <c r="E377" s="115">
        <v>4030</v>
      </c>
      <c r="F377" s="115">
        <v>4023</v>
      </c>
      <c r="G377" s="115">
        <v>7823</v>
      </c>
      <c r="H377" s="115">
        <v>21625</v>
      </c>
      <c r="K377" s="11"/>
      <c r="L377" s="98"/>
      <c r="M377" s="98"/>
      <c r="O377" s="10"/>
      <c r="P377" s="10"/>
    </row>
    <row r="378" spans="1:16" ht="12.75" x14ac:dyDescent="0.2">
      <c r="A378" s="119">
        <v>329</v>
      </c>
      <c r="B378" s="120" t="s">
        <v>58</v>
      </c>
      <c r="C378" s="120" t="s">
        <v>1114</v>
      </c>
      <c r="D378" s="121">
        <v>74</v>
      </c>
      <c r="E378" s="121">
        <v>52</v>
      </c>
      <c r="F378" s="121">
        <v>57</v>
      </c>
      <c r="G378" s="121">
        <v>125</v>
      </c>
      <c r="H378" s="124">
        <v>308</v>
      </c>
      <c r="K378" s="11"/>
      <c r="L378" s="98"/>
      <c r="M378" s="98"/>
      <c r="O378" s="10"/>
      <c r="P378" s="10"/>
    </row>
    <row r="379" spans="1:16" ht="12.75" x14ac:dyDescent="0.2">
      <c r="A379" s="119">
        <v>330</v>
      </c>
      <c r="B379" s="120" t="s">
        <v>58</v>
      </c>
      <c r="C379" s="120" t="s">
        <v>1115</v>
      </c>
      <c r="D379" s="121">
        <v>10</v>
      </c>
      <c r="E379" s="121">
        <v>7</v>
      </c>
      <c r="F379" s="121">
        <v>10</v>
      </c>
      <c r="G379" s="121">
        <v>24</v>
      </c>
      <c r="H379" s="124">
        <v>51</v>
      </c>
      <c r="K379" s="11"/>
      <c r="L379" s="98"/>
      <c r="M379" s="98"/>
      <c r="O379" s="10"/>
      <c r="P379" s="10"/>
    </row>
    <row r="380" spans="1:16" ht="12.75" x14ac:dyDescent="0.2">
      <c r="A380" s="119">
        <v>331</v>
      </c>
      <c r="B380" s="120" t="s">
        <v>58</v>
      </c>
      <c r="C380" s="120" t="s">
        <v>1116</v>
      </c>
      <c r="D380" s="121">
        <v>953</v>
      </c>
      <c r="E380" s="121">
        <v>668</v>
      </c>
      <c r="F380" s="121">
        <v>705</v>
      </c>
      <c r="G380" s="122">
        <v>1464</v>
      </c>
      <c r="H380" s="123">
        <v>3790</v>
      </c>
      <c r="K380" s="11"/>
      <c r="L380" s="98"/>
      <c r="M380" s="98"/>
      <c r="O380" s="10"/>
      <c r="P380" s="10"/>
    </row>
    <row r="381" spans="1:16" ht="12.75" x14ac:dyDescent="0.2">
      <c r="A381" s="119">
        <v>332</v>
      </c>
      <c r="B381" s="120" t="s">
        <v>58</v>
      </c>
      <c r="C381" s="120" t="s">
        <v>1117</v>
      </c>
      <c r="D381" s="121">
        <v>39</v>
      </c>
      <c r="E381" s="121">
        <v>27</v>
      </c>
      <c r="F381" s="121">
        <v>29</v>
      </c>
      <c r="G381" s="121">
        <v>59</v>
      </c>
      <c r="H381" s="124">
        <v>154</v>
      </c>
      <c r="K381" s="11"/>
      <c r="L381" s="98"/>
      <c r="M381" s="98"/>
      <c r="O381" s="10"/>
      <c r="P381" s="10"/>
    </row>
    <row r="382" spans="1:16" ht="12.75" x14ac:dyDescent="0.2">
      <c r="A382" s="119">
        <v>333</v>
      </c>
      <c r="B382" s="120" t="s">
        <v>58</v>
      </c>
      <c r="C382" s="120" t="s">
        <v>1118</v>
      </c>
      <c r="D382" s="122">
        <v>1040</v>
      </c>
      <c r="E382" s="121">
        <v>729</v>
      </c>
      <c r="F382" s="121">
        <v>709</v>
      </c>
      <c r="G382" s="122">
        <v>1335</v>
      </c>
      <c r="H382" s="123">
        <v>3813</v>
      </c>
      <c r="K382" s="11"/>
      <c r="L382" s="98"/>
      <c r="M382" s="98"/>
      <c r="O382" s="10"/>
      <c r="P382" s="10"/>
    </row>
    <row r="383" spans="1:16" ht="12.75" x14ac:dyDescent="0.2">
      <c r="A383" s="119">
        <v>334</v>
      </c>
      <c r="B383" s="120" t="s">
        <v>58</v>
      </c>
      <c r="C383" s="120" t="s">
        <v>1119</v>
      </c>
      <c r="D383" s="122">
        <v>2268</v>
      </c>
      <c r="E383" s="122">
        <v>1590</v>
      </c>
      <c r="F383" s="122">
        <v>1577</v>
      </c>
      <c r="G383" s="122">
        <v>3043</v>
      </c>
      <c r="H383" s="123">
        <v>8478</v>
      </c>
      <c r="K383" s="11"/>
      <c r="L383" s="98"/>
      <c r="M383" s="98"/>
      <c r="O383" s="10"/>
      <c r="P383" s="10"/>
    </row>
    <row r="384" spans="1:16" ht="12.75" x14ac:dyDescent="0.2">
      <c r="A384" s="119">
        <v>335</v>
      </c>
      <c r="B384" s="120" t="s">
        <v>58</v>
      </c>
      <c r="C384" s="120" t="s">
        <v>807</v>
      </c>
      <c r="D384" s="122">
        <v>1365</v>
      </c>
      <c r="E384" s="121">
        <v>957</v>
      </c>
      <c r="F384" s="121">
        <v>936</v>
      </c>
      <c r="G384" s="122">
        <v>1773</v>
      </c>
      <c r="H384" s="123">
        <v>5031</v>
      </c>
      <c r="K384" s="11"/>
      <c r="L384" s="98"/>
      <c r="M384" s="98"/>
      <c r="O384" s="10"/>
      <c r="P384" s="10"/>
    </row>
    <row r="385" spans="1:16" ht="12.75" x14ac:dyDescent="0.2">
      <c r="A385" s="99"/>
      <c r="B385" s="116" t="s">
        <v>53</v>
      </c>
      <c r="C385" s="117"/>
      <c r="D385" s="115">
        <v>13166</v>
      </c>
      <c r="E385" s="115">
        <v>9231</v>
      </c>
      <c r="F385" s="115">
        <v>10858</v>
      </c>
      <c r="G385" s="115">
        <v>25131</v>
      </c>
      <c r="H385" s="115">
        <v>58386</v>
      </c>
      <c r="K385" s="11"/>
      <c r="L385" s="98"/>
      <c r="M385" s="98"/>
      <c r="O385" s="10"/>
      <c r="P385" s="10"/>
    </row>
    <row r="386" spans="1:16" ht="12.75" x14ac:dyDescent="0.2">
      <c r="A386" s="119">
        <v>336</v>
      </c>
      <c r="B386" s="120" t="s">
        <v>53</v>
      </c>
      <c r="C386" s="120" t="s">
        <v>1120</v>
      </c>
      <c r="D386" s="121">
        <v>146</v>
      </c>
      <c r="E386" s="121">
        <v>102</v>
      </c>
      <c r="F386" s="121">
        <v>130</v>
      </c>
      <c r="G386" s="121">
        <v>318</v>
      </c>
      <c r="H386" s="124">
        <v>696</v>
      </c>
      <c r="K386" s="11"/>
      <c r="L386" s="98"/>
      <c r="M386" s="98"/>
      <c r="O386" s="10"/>
      <c r="P386" s="10"/>
    </row>
    <row r="387" spans="1:16" ht="12.75" x14ac:dyDescent="0.2">
      <c r="A387" s="119">
        <v>337</v>
      </c>
      <c r="B387" s="120" t="s">
        <v>53</v>
      </c>
      <c r="C387" s="120" t="s">
        <v>1121</v>
      </c>
      <c r="D387" s="122">
        <v>2035</v>
      </c>
      <c r="E387" s="122">
        <v>1427</v>
      </c>
      <c r="F387" s="122">
        <v>1377</v>
      </c>
      <c r="G387" s="122">
        <v>2563</v>
      </c>
      <c r="H387" s="123">
        <v>7402</v>
      </c>
      <c r="K387" s="11"/>
      <c r="L387" s="98"/>
      <c r="M387" s="98"/>
      <c r="O387" s="10"/>
      <c r="P387" s="10"/>
    </row>
    <row r="388" spans="1:16" ht="12.75" x14ac:dyDescent="0.2">
      <c r="A388" s="119">
        <v>338</v>
      </c>
      <c r="B388" s="120" t="s">
        <v>53</v>
      </c>
      <c r="C388" s="120" t="s">
        <v>1122</v>
      </c>
      <c r="D388" s="122">
        <v>1218</v>
      </c>
      <c r="E388" s="121">
        <v>854</v>
      </c>
      <c r="F388" s="121">
        <v>862</v>
      </c>
      <c r="G388" s="122">
        <v>1699</v>
      </c>
      <c r="H388" s="123">
        <v>4633</v>
      </c>
      <c r="K388" s="11"/>
      <c r="L388" s="98"/>
      <c r="M388" s="98"/>
      <c r="O388" s="10"/>
      <c r="P388" s="10"/>
    </row>
    <row r="389" spans="1:16" ht="12.75" x14ac:dyDescent="0.2">
      <c r="A389" s="119">
        <v>339</v>
      </c>
      <c r="B389" s="120" t="s">
        <v>53</v>
      </c>
      <c r="C389" s="120" t="s">
        <v>1123</v>
      </c>
      <c r="D389" s="121">
        <v>131</v>
      </c>
      <c r="E389" s="121">
        <v>91</v>
      </c>
      <c r="F389" s="121">
        <v>126</v>
      </c>
      <c r="G389" s="121">
        <v>331</v>
      </c>
      <c r="H389" s="124">
        <v>679</v>
      </c>
      <c r="K389" s="11"/>
      <c r="L389" s="98"/>
      <c r="M389" s="98"/>
      <c r="O389" s="10"/>
      <c r="P389" s="10"/>
    </row>
    <row r="390" spans="1:16" ht="12.75" x14ac:dyDescent="0.2">
      <c r="A390" s="119">
        <v>340</v>
      </c>
      <c r="B390" s="120" t="s">
        <v>53</v>
      </c>
      <c r="C390" s="120" t="s">
        <v>1124</v>
      </c>
      <c r="D390" s="121">
        <v>4</v>
      </c>
      <c r="E390" s="121">
        <v>3</v>
      </c>
      <c r="F390" s="121">
        <v>4</v>
      </c>
      <c r="G390" s="121">
        <v>12</v>
      </c>
      <c r="H390" s="124">
        <v>23</v>
      </c>
      <c r="K390" s="11"/>
      <c r="L390" s="98"/>
      <c r="M390" s="98"/>
      <c r="O390" s="10"/>
      <c r="P390" s="10"/>
    </row>
    <row r="391" spans="1:16" ht="12.75" x14ac:dyDescent="0.2">
      <c r="A391" s="119">
        <v>341</v>
      </c>
      <c r="B391" s="120" t="s">
        <v>53</v>
      </c>
      <c r="C391" s="120" t="s">
        <v>1125</v>
      </c>
      <c r="D391" s="122">
        <v>1539</v>
      </c>
      <c r="E391" s="122">
        <v>1079</v>
      </c>
      <c r="F391" s="122">
        <v>1303</v>
      </c>
      <c r="G391" s="122">
        <v>3087</v>
      </c>
      <c r="H391" s="123">
        <v>7008</v>
      </c>
      <c r="K391" s="11"/>
      <c r="L391" s="98"/>
      <c r="M391" s="98"/>
      <c r="O391" s="10"/>
      <c r="P391" s="10"/>
    </row>
    <row r="392" spans="1:16" ht="12.75" x14ac:dyDescent="0.2">
      <c r="A392" s="119">
        <v>342</v>
      </c>
      <c r="B392" s="120" t="s">
        <v>53</v>
      </c>
      <c r="C392" s="120" t="s">
        <v>53</v>
      </c>
      <c r="D392" s="122">
        <v>4944</v>
      </c>
      <c r="E392" s="122">
        <v>3467</v>
      </c>
      <c r="F392" s="122">
        <v>4482</v>
      </c>
      <c r="G392" s="122">
        <v>11208</v>
      </c>
      <c r="H392" s="123">
        <v>24101</v>
      </c>
      <c r="K392" s="11"/>
      <c r="L392" s="98"/>
      <c r="M392" s="98"/>
      <c r="O392" s="10"/>
      <c r="P392" s="10"/>
    </row>
    <row r="393" spans="1:16" ht="12.75" x14ac:dyDescent="0.2">
      <c r="A393" s="119">
        <v>343</v>
      </c>
      <c r="B393" s="120" t="s">
        <v>53</v>
      </c>
      <c r="C393" s="120" t="s">
        <v>807</v>
      </c>
      <c r="D393" s="122">
        <v>3149</v>
      </c>
      <c r="E393" s="122">
        <v>2208</v>
      </c>
      <c r="F393" s="122">
        <v>2574</v>
      </c>
      <c r="G393" s="122">
        <v>5913</v>
      </c>
      <c r="H393" s="123">
        <v>13844</v>
      </c>
      <c r="K393" s="11"/>
      <c r="L393" s="98"/>
      <c r="M393" s="98"/>
      <c r="O393" s="10"/>
      <c r="P393" s="10"/>
    </row>
    <row r="394" spans="1:16" ht="12.75" x14ac:dyDescent="0.2">
      <c r="A394" s="99"/>
      <c r="B394" s="116" t="s">
        <v>105</v>
      </c>
      <c r="C394" s="117"/>
      <c r="D394" s="143">
        <v>813</v>
      </c>
      <c r="E394" s="143">
        <v>569</v>
      </c>
      <c r="F394" s="143">
        <v>643</v>
      </c>
      <c r="G394" s="115">
        <v>1438</v>
      </c>
      <c r="H394" s="115">
        <v>3463</v>
      </c>
      <c r="K394" s="11"/>
      <c r="L394" s="98"/>
      <c r="M394" s="98"/>
      <c r="O394" s="10"/>
      <c r="P394" s="10"/>
    </row>
    <row r="395" spans="1:16" ht="12.75" x14ac:dyDescent="0.2">
      <c r="A395" s="119">
        <v>344</v>
      </c>
      <c r="B395" s="120" t="s">
        <v>105</v>
      </c>
      <c r="C395" s="120" t="s">
        <v>1126</v>
      </c>
      <c r="D395" s="121">
        <v>104</v>
      </c>
      <c r="E395" s="121">
        <v>72</v>
      </c>
      <c r="F395" s="121">
        <v>83</v>
      </c>
      <c r="G395" s="121">
        <v>190</v>
      </c>
      <c r="H395" s="124">
        <v>449</v>
      </c>
      <c r="K395" s="11"/>
      <c r="L395" s="98"/>
      <c r="M395" s="98"/>
      <c r="O395" s="10"/>
      <c r="P395" s="10"/>
    </row>
    <row r="396" spans="1:16" ht="12.75" x14ac:dyDescent="0.2">
      <c r="A396" s="119">
        <v>345</v>
      </c>
      <c r="B396" s="120" t="s">
        <v>105</v>
      </c>
      <c r="C396" s="120" t="s">
        <v>1127</v>
      </c>
      <c r="D396" s="121">
        <v>624</v>
      </c>
      <c r="E396" s="121">
        <v>437</v>
      </c>
      <c r="F396" s="121">
        <v>498</v>
      </c>
      <c r="G396" s="122">
        <v>1120</v>
      </c>
      <c r="H396" s="123">
        <v>2679</v>
      </c>
      <c r="K396" s="11"/>
      <c r="L396" s="98"/>
      <c r="M396" s="98"/>
      <c r="O396" s="10"/>
      <c r="P396" s="10"/>
    </row>
    <row r="397" spans="1:16" ht="12.75" x14ac:dyDescent="0.2">
      <c r="A397" s="119">
        <v>346</v>
      </c>
      <c r="B397" s="120" t="s">
        <v>105</v>
      </c>
      <c r="C397" s="120" t="s">
        <v>807</v>
      </c>
      <c r="D397" s="121">
        <v>85</v>
      </c>
      <c r="E397" s="121">
        <v>60</v>
      </c>
      <c r="F397" s="121">
        <v>62</v>
      </c>
      <c r="G397" s="121">
        <v>128</v>
      </c>
      <c r="H397" s="124">
        <v>335</v>
      </c>
      <c r="K397" s="11"/>
      <c r="L397" s="98"/>
      <c r="M397" s="98"/>
      <c r="O397" s="10"/>
      <c r="P397" s="10"/>
    </row>
    <row r="398" spans="1:16" ht="12.75" x14ac:dyDescent="0.2">
      <c r="A398" s="99"/>
      <c r="B398" s="116" t="s">
        <v>63</v>
      </c>
      <c r="C398" s="117"/>
      <c r="D398" s="115">
        <v>2457</v>
      </c>
      <c r="E398" s="115">
        <v>1724</v>
      </c>
      <c r="F398" s="115">
        <v>2068</v>
      </c>
      <c r="G398" s="115">
        <v>4880</v>
      </c>
      <c r="H398" s="115">
        <v>11129</v>
      </c>
      <c r="K398" s="11"/>
      <c r="L398" s="98"/>
      <c r="M398" s="98"/>
      <c r="O398" s="10"/>
      <c r="P398" s="10"/>
    </row>
    <row r="399" spans="1:16" ht="12.75" x14ac:dyDescent="0.2">
      <c r="A399" s="119">
        <v>347</v>
      </c>
      <c r="B399" s="120" t="s">
        <v>63</v>
      </c>
      <c r="C399" s="120" t="s">
        <v>1128</v>
      </c>
      <c r="D399" s="121">
        <v>248</v>
      </c>
      <c r="E399" s="121">
        <v>174</v>
      </c>
      <c r="F399" s="121">
        <v>198</v>
      </c>
      <c r="G399" s="121">
        <v>446</v>
      </c>
      <c r="H399" s="123">
        <v>1066</v>
      </c>
      <c r="K399" s="11"/>
      <c r="L399" s="98"/>
      <c r="M399" s="98"/>
      <c r="O399" s="10"/>
      <c r="P399" s="10"/>
    </row>
    <row r="400" spans="1:16" ht="12.75" x14ac:dyDescent="0.2">
      <c r="A400" s="119">
        <v>348</v>
      </c>
      <c r="B400" s="120" t="s">
        <v>63</v>
      </c>
      <c r="C400" s="120" t="s">
        <v>1129</v>
      </c>
      <c r="D400" s="122">
        <v>1316</v>
      </c>
      <c r="E400" s="121">
        <v>923</v>
      </c>
      <c r="F400" s="122">
        <v>1111</v>
      </c>
      <c r="G400" s="122">
        <v>2627</v>
      </c>
      <c r="H400" s="123">
        <v>5977</v>
      </c>
      <c r="K400" s="11"/>
      <c r="L400" s="98"/>
      <c r="M400" s="98"/>
      <c r="O400" s="10"/>
      <c r="P400" s="10"/>
    </row>
    <row r="401" spans="1:16" ht="12.75" x14ac:dyDescent="0.2">
      <c r="A401" s="119">
        <v>349</v>
      </c>
      <c r="B401" s="120" t="s">
        <v>63</v>
      </c>
      <c r="C401" s="120" t="s">
        <v>1130</v>
      </c>
      <c r="D401" s="121">
        <v>76</v>
      </c>
      <c r="E401" s="121">
        <v>54</v>
      </c>
      <c r="F401" s="121">
        <v>59</v>
      </c>
      <c r="G401" s="121">
        <v>130</v>
      </c>
      <c r="H401" s="124">
        <v>319</v>
      </c>
      <c r="K401" s="11"/>
      <c r="L401" s="98"/>
      <c r="M401" s="98"/>
      <c r="O401" s="10"/>
      <c r="P401" s="10"/>
    </row>
    <row r="402" spans="1:16" ht="12.75" x14ac:dyDescent="0.2">
      <c r="A402" s="119">
        <v>350</v>
      </c>
      <c r="B402" s="120" t="s">
        <v>63</v>
      </c>
      <c r="C402" s="120" t="s">
        <v>1131</v>
      </c>
      <c r="D402" s="121">
        <v>390</v>
      </c>
      <c r="E402" s="121">
        <v>274</v>
      </c>
      <c r="F402" s="121">
        <v>349</v>
      </c>
      <c r="G402" s="121">
        <v>864</v>
      </c>
      <c r="H402" s="123">
        <v>1877</v>
      </c>
      <c r="K402" s="11"/>
      <c r="L402" s="98"/>
      <c r="M402" s="98"/>
      <c r="O402" s="10"/>
      <c r="P402" s="10"/>
    </row>
    <row r="403" spans="1:16" ht="12.75" x14ac:dyDescent="0.2">
      <c r="A403" s="119">
        <v>351</v>
      </c>
      <c r="B403" s="120" t="s">
        <v>63</v>
      </c>
      <c r="C403" s="120" t="s">
        <v>807</v>
      </c>
      <c r="D403" s="121">
        <v>427</v>
      </c>
      <c r="E403" s="121">
        <v>299</v>
      </c>
      <c r="F403" s="121">
        <v>351</v>
      </c>
      <c r="G403" s="121">
        <v>813</v>
      </c>
      <c r="H403" s="123">
        <v>1890</v>
      </c>
      <c r="K403" s="11"/>
      <c r="L403" s="98"/>
      <c r="M403" s="98"/>
      <c r="O403" s="10"/>
      <c r="P403" s="10"/>
    </row>
    <row r="404" spans="1:16" ht="12.75" x14ac:dyDescent="0.2">
      <c r="A404" s="99"/>
      <c r="B404" s="116" t="s">
        <v>72</v>
      </c>
      <c r="C404" s="117"/>
      <c r="D404" s="115">
        <v>1157</v>
      </c>
      <c r="E404" s="143">
        <v>811</v>
      </c>
      <c r="F404" s="143">
        <v>973</v>
      </c>
      <c r="G404" s="115">
        <v>2290</v>
      </c>
      <c r="H404" s="115">
        <v>5231</v>
      </c>
      <c r="K404" s="11"/>
      <c r="L404" s="98"/>
      <c r="M404" s="98"/>
      <c r="O404" s="10"/>
      <c r="P404" s="10"/>
    </row>
    <row r="405" spans="1:16" ht="12.75" x14ac:dyDescent="0.2">
      <c r="A405" s="119">
        <v>352</v>
      </c>
      <c r="B405" s="120" t="s">
        <v>72</v>
      </c>
      <c r="C405" s="120" t="s">
        <v>1132</v>
      </c>
      <c r="D405" s="121">
        <v>12</v>
      </c>
      <c r="E405" s="121">
        <v>8</v>
      </c>
      <c r="F405" s="121">
        <v>13</v>
      </c>
      <c r="G405" s="121">
        <v>39</v>
      </c>
      <c r="H405" s="124">
        <v>72</v>
      </c>
      <c r="K405" s="11"/>
      <c r="L405" s="98"/>
      <c r="M405" s="98"/>
      <c r="O405" s="10"/>
      <c r="P405" s="10"/>
    </row>
    <row r="406" spans="1:16" ht="12.75" x14ac:dyDescent="0.2">
      <c r="A406" s="119">
        <v>353</v>
      </c>
      <c r="B406" s="120" t="s">
        <v>72</v>
      </c>
      <c r="C406" s="120" t="s">
        <v>1133</v>
      </c>
      <c r="D406" s="121">
        <v>109</v>
      </c>
      <c r="E406" s="121">
        <v>76</v>
      </c>
      <c r="F406" s="121">
        <v>90</v>
      </c>
      <c r="G406" s="121">
        <v>208</v>
      </c>
      <c r="H406" s="124">
        <v>483</v>
      </c>
      <c r="K406" s="11"/>
      <c r="L406" s="98"/>
      <c r="M406" s="98"/>
      <c r="O406" s="10"/>
      <c r="P406" s="10"/>
    </row>
    <row r="407" spans="1:16" ht="12.75" x14ac:dyDescent="0.2">
      <c r="A407" s="119">
        <v>354</v>
      </c>
      <c r="B407" s="120" t="s">
        <v>72</v>
      </c>
      <c r="C407" s="120" t="s">
        <v>807</v>
      </c>
      <c r="D407" s="122">
        <v>1036</v>
      </c>
      <c r="E407" s="121">
        <v>727</v>
      </c>
      <c r="F407" s="121">
        <v>870</v>
      </c>
      <c r="G407" s="122">
        <v>2043</v>
      </c>
      <c r="H407" s="123">
        <v>4676</v>
      </c>
      <c r="K407" s="11"/>
      <c r="L407" s="98"/>
      <c r="M407" s="98"/>
      <c r="O407" s="10"/>
      <c r="P407" s="10"/>
    </row>
    <row r="408" spans="1:16" ht="15" x14ac:dyDescent="0.25">
      <c r="A408" s="99"/>
      <c r="B408" s="125" t="s">
        <v>775</v>
      </c>
      <c r="C408" s="126"/>
      <c r="D408" s="138">
        <v>2514</v>
      </c>
      <c r="E408" s="138">
        <v>1642</v>
      </c>
      <c r="F408" s="138">
        <v>1903</v>
      </c>
      <c r="G408" s="138">
        <v>4371</v>
      </c>
      <c r="H408" s="138">
        <v>10430</v>
      </c>
      <c r="K408" s="11"/>
      <c r="L408" s="98"/>
      <c r="M408" s="98"/>
      <c r="O408" s="10"/>
      <c r="P408" s="10"/>
    </row>
    <row r="409" spans="1:16" ht="12.75" x14ac:dyDescent="0.2">
      <c r="A409" s="99"/>
      <c r="B409" s="147"/>
      <c r="C409" s="128" t="s">
        <v>1134</v>
      </c>
      <c r="D409" s="129">
        <v>1780</v>
      </c>
      <c r="E409" s="129">
        <v>1162</v>
      </c>
      <c r="F409" s="129">
        <v>1348</v>
      </c>
      <c r="G409" s="129">
        <v>3096</v>
      </c>
      <c r="H409" s="129">
        <v>7386</v>
      </c>
      <c r="K409" s="11"/>
      <c r="L409" s="98"/>
      <c r="M409" s="98"/>
      <c r="O409" s="10"/>
      <c r="P409" s="10"/>
    </row>
    <row r="410" spans="1:16" ht="12.75" x14ac:dyDescent="0.2">
      <c r="A410" s="99"/>
      <c r="B410" s="148"/>
      <c r="C410" s="131" t="s">
        <v>1135</v>
      </c>
      <c r="D410" s="140">
        <v>734</v>
      </c>
      <c r="E410" s="140">
        <v>480</v>
      </c>
      <c r="F410" s="140">
        <v>555</v>
      </c>
      <c r="G410" s="129">
        <v>1275</v>
      </c>
      <c r="H410" s="129">
        <v>3044</v>
      </c>
      <c r="K410" s="11"/>
      <c r="L410" s="98"/>
      <c r="M410" s="98"/>
      <c r="O410" s="10"/>
      <c r="P410" s="10"/>
    </row>
    <row r="411" spans="1:16" ht="12.75" x14ac:dyDescent="0.2">
      <c r="A411" s="99"/>
      <c r="B411" s="116" t="s">
        <v>71</v>
      </c>
      <c r="C411" s="117"/>
      <c r="D411" s="115">
        <v>1780</v>
      </c>
      <c r="E411" s="115">
        <v>1162</v>
      </c>
      <c r="F411" s="115">
        <v>1348</v>
      </c>
      <c r="G411" s="115">
        <v>3096</v>
      </c>
      <c r="H411" s="115">
        <v>7386</v>
      </c>
      <c r="K411" s="11"/>
      <c r="L411" s="98"/>
      <c r="M411" s="98"/>
      <c r="O411" s="10"/>
      <c r="P411" s="10"/>
    </row>
    <row r="412" spans="1:16" ht="12.75" x14ac:dyDescent="0.2">
      <c r="A412" s="119">
        <v>355</v>
      </c>
      <c r="B412" s="120" t="s">
        <v>71</v>
      </c>
      <c r="C412" s="120" t="s">
        <v>1136</v>
      </c>
      <c r="D412" s="149">
        <v>7</v>
      </c>
      <c r="E412" s="149">
        <v>5</v>
      </c>
      <c r="F412" s="149">
        <v>6</v>
      </c>
      <c r="G412" s="149">
        <v>13</v>
      </c>
      <c r="H412" s="150">
        <v>31</v>
      </c>
      <c r="K412" s="11"/>
      <c r="L412" s="98"/>
      <c r="M412" s="98"/>
      <c r="O412" s="10"/>
      <c r="P412" s="10"/>
    </row>
    <row r="413" spans="1:16" ht="12.75" x14ac:dyDescent="0.2">
      <c r="A413" s="119">
        <v>356</v>
      </c>
      <c r="B413" s="120" t="s">
        <v>71</v>
      </c>
      <c r="C413" s="120" t="s">
        <v>1137</v>
      </c>
      <c r="D413" s="149">
        <v>7</v>
      </c>
      <c r="E413" s="149">
        <v>4</v>
      </c>
      <c r="F413" s="149">
        <v>5</v>
      </c>
      <c r="G413" s="149">
        <v>11</v>
      </c>
      <c r="H413" s="150">
        <v>27</v>
      </c>
      <c r="K413" s="11"/>
      <c r="L413" s="98"/>
      <c r="M413" s="98"/>
      <c r="O413" s="10"/>
      <c r="P413" s="10"/>
    </row>
    <row r="414" spans="1:16" ht="12.75" x14ac:dyDescent="0.2">
      <c r="A414" s="119">
        <v>357</v>
      </c>
      <c r="B414" s="120" t="s">
        <v>71</v>
      </c>
      <c r="C414" s="120" t="s">
        <v>1138</v>
      </c>
      <c r="D414" s="149">
        <v>71</v>
      </c>
      <c r="E414" s="149">
        <v>46</v>
      </c>
      <c r="F414" s="149">
        <v>53</v>
      </c>
      <c r="G414" s="149">
        <v>123</v>
      </c>
      <c r="H414" s="150">
        <v>293</v>
      </c>
      <c r="K414" s="11"/>
      <c r="L414" s="98"/>
      <c r="M414" s="98"/>
      <c r="O414" s="10"/>
      <c r="P414" s="10"/>
    </row>
    <row r="415" spans="1:16" ht="12.75" x14ac:dyDescent="0.2">
      <c r="A415" s="119">
        <v>358</v>
      </c>
      <c r="B415" s="120" t="s">
        <v>71</v>
      </c>
      <c r="C415" s="120" t="s">
        <v>1139</v>
      </c>
      <c r="D415" s="149">
        <v>87</v>
      </c>
      <c r="E415" s="149">
        <v>57</v>
      </c>
      <c r="F415" s="149">
        <v>66</v>
      </c>
      <c r="G415" s="149">
        <v>153</v>
      </c>
      <c r="H415" s="150">
        <v>363</v>
      </c>
      <c r="K415" s="11"/>
      <c r="L415" s="98"/>
      <c r="M415" s="98"/>
      <c r="O415" s="10"/>
      <c r="P415" s="10"/>
    </row>
    <row r="416" spans="1:16" ht="12.75" x14ac:dyDescent="0.2">
      <c r="A416" s="119">
        <v>359</v>
      </c>
      <c r="B416" s="120" t="s">
        <v>71</v>
      </c>
      <c r="C416" s="120" t="s">
        <v>1140</v>
      </c>
      <c r="D416" s="149">
        <v>43</v>
      </c>
      <c r="E416" s="149">
        <v>28</v>
      </c>
      <c r="F416" s="149">
        <v>33</v>
      </c>
      <c r="G416" s="149">
        <v>76</v>
      </c>
      <c r="H416" s="150">
        <v>180</v>
      </c>
      <c r="K416" s="11"/>
      <c r="L416" s="98"/>
      <c r="M416" s="98"/>
      <c r="O416" s="10"/>
      <c r="P416" s="10"/>
    </row>
    <row r="417" spans="1:16" ht="12.75" x14ac:dyDescent="0.2">
      <c r="A417" s="119">
        <v>360</v>
      </c>
      <c r="B417" s="120" t="s">
        <v>71</v>
      </c>
      <c r="C417" s="120" t="s">
        <v>1141</v>
      </c>
      <c r="D417" s="149">
        <v>315</v>
      </c>
      <c r="E417" s="149">
        <v>206</v>
      </c>
      <c r="F417" s="149">
        <v>239</v>
      </c>
      <c r="G417" s="149">
        <v>548</v>
      </c>
      <c r="H417" s="150">
        <v>1308</v>
      </c>
      <c r="K417" s="11"/>
      <c r="L417" s="98"/>
      <c r="M417" s="98"/>
      <c r="O417" s="10"/>
      <c r="P417" s="10"/>
    </row>
    <row r="418" spans="1:16" ht="12.75" x14ac:dyDescent="0.2">
      <c r="A418" s="119">
        <v>361</v>
      </c>
      <c r="B418" s="120" t="s">
        <v>71</v>
      </c>
      <c r="C418" s="120" t="s">
        <v>71</v>
      </c>
      <c r="D418" s="149">
        <v>157</v>
      </c>
      <c r="E418" s="149">
        <v>102</v>
      </c>
      <c r="F418" s="149">
        <v>119</v>
      </c>
      <c r="G418" s="149">
        <v>272</v>
      </c>
      <c r="H418" s="150">
        <v>650</v>
      </c>
      <c r="K418" s="11"/>
      <c r="L418" s="98"/>
      <c r="M418" s="98"/>
      <c r="O418" s="10"/>
      <c r="P418" s="10"/>
    </row>
    <row r="419" spans="1:16" ht="12.75" x14ac:dyDescent="0.2">
      <c r="A419" s="119">
        <v>362</v>
      </c>
      <c r="B419" s="120" t="s">
        <v>71</v>
      </c>
      <c r="C419" s="120" t="s">
        <v>1142</v>
      </c>
      <c r="D419" s="149">
        <v>28</v>
      </c>
      <c r="E419" s="149">
        <v>18</v>
      </c>
      <c r="F419" s="149">
        <v>21</v>
      </c>
      <c r="G419" s="149">
        <v>48</v>
      </c>
      <c r="H419" s="150">
        <v>115</v>
      </c>
      <c r="K419" s="11"/>
      <c r="L419" s="98"/>
      <c r="M419" s="98"/>
      <c r="O419" s="10"/>
      <c r="P419" s="10"/>
    </row>
    <row r="420" spans="1:16" ht="12.75" x14ac:dyDescent="0.2">
      <c r="A420" s="119">
        <v>363</v>
      </c>
      <c r="B420" s="120" t="s">
        <v>71</v>
      </c>
      <c r="C420" s="120" t="s">
        <v>1143</v>
      </c>
      <c r="D420" s="149">
        <v>537</v>
      </c>
      <c r="E420" s="149">
        <v>351</v>
      </c>
      <c r="F420" s="149">
        <v>407</v>
      </c>
      <c r="G420" s="149">
        <v>934</v>
      </c>
      <c r="H420" s="150">
        <v>2229</v>
      </c>
      <c r="K420" s="11"/>
      <c r="L420" s="98"/>
      <c r="M420" s="98"/>
      <c r="O420" s="10"/>
      <c r="P420" s="10"/>
    </row>
    <row r="421" spans="1:16" ht="12.75" x14ac:dyDescent="0.2">
      <c r="A421" s="119">
        <v>364</v>
      </c>
      <c r="B421" s="120" t="s">
        <v>71</v>
      </c>
      <c r="C421" s="120" t="s">
        <v>1144</v>
      </c>
      <c r="D421" s="149">
        <v>13</v>
      </c>
      <c r="E421" s="149">
        <v>9</v>
      </c>
      <c r="F421" s="149">
        <v>10</v>
      </c>
      <c r="G421" s="149">
        <v>23</v>
      </c>
      <c r="H421" s="150">
        <v>55</v>
      </c>
      <c r="K421" s="11"/>
      <c r="L421" s="98"/>
      <c r="M421" s="98"/>
      <c r="O421" s="10"/>
      <c r="P421" s="10"/>
    </row>
    <row r="422" spans="1:16" ht="12.75" x14ac:dyDescent="0.2">
      <c r="A422" s="119">
        <v>365</v>
      </c>
      <c r="B422" s="120" t="s">
        <v>71</v>
      </c>
      <c r="C422" s="120" t="s">
        <v>1145</v>
      </c>
      <c r="D422" s="149">
        <v>95</v>
      </c>
      <c r="E422" s="149">
        <v>62</v>
      </c>
      <c r="F422" s="149">
        <v>72</v>
      </c>
      <c r="G422" s="149">
        <v>164</v>
      </c>
      <c r="H422" s="150">
        <v>393</v>
      </c>
      <c r="K422" s="11"/>
      <c r="L422" s="98"/>
      <c r="M422" s="98"/>
      <c r="O422" s="10"/>
      <c r="P422" s="10"/>
    </row>
    <row r="423" spans="1:16" ht="12.75" x14ac:dyDescent="0.2">
      <c r="A423" s="119">
        <v>366</v>
      </c>
      <c r="B423" s="120" t="s">
        <v>71</v>
      </c>
      <c r="C423" s="120" t="s">
        <v>1146</v>
      </c>
      <c r="D423" s="149">
        <v>46</v>
      </c>
      <c r="E423" s="149">
        <v>30</v>
      </c>
      <c r="F423" s="149">
        <v>35</v>
      </c>
      <c r="G423" s="149">
        <v>80</v>
      </c>
      <c r="H423" s="150">
        <v>191</v>
      </c>
      <c r="K423" s="11"/>
      <c r="L423" s="98"/>
      <c r="M423" s="98"/>
      <c r="O423" s="10"/>
      <c r="P423" s="10"/>
    </row>
    <row r="424" spans="1:16" ht="12.75" x14ac:dyDescent="0.2">
      <c r="A424" s="119">
        <v>367</v>
      </c>
      <c r="B424" s="120" t="s">
        <v>71</v>
      </c>
      <c r="C424" s="120" t="s">
        <v>807</v>
      </c>
      <c r="D424" s="149">
        <v>374</v>
      </c>
      <c r="E424" s="149">
        <v>244</v>
      </c>
      <c r="F424" s="149">
        <v>282</v>
      </c>
      <c r="G424" s="149">
        <v>651</v>
      </c>
      <c r="H424" s="150">
        <v>1551</v>
      </c>
      <c r="K424" s="11"/>
      <c r="L424" s="98"/>
      <c r="M424" s="98"/>
      <c r="O424" s="10"/>
      <c r="P424" s="10"/>
    </row>
    <row r="425" spans="1:16" ht="12.75" x14ac:dyDescent="0.2">
      <c r="A425" s="99"/>
      <c r="B425" s="116" t="s">
        <v>86</v>
      </c>
      <c r="C425" s="117"/>
      <c r="D425" s="143">
        <v>734</v>
      </c>
      <c r="E425" s="143">
        <v>480</v>
      </c>
      <c r="F425" s="143">
        <v>555</v>
      </c>
      <c r="G425" s="115">
        <v>1275</v>
      </c>
      <c r="H425" s="115">
        <v>3044</v>
      </c>
      <c r="K425" s="11"/>
      <c r="L425" s="98"/>
      <c r="M425" s="98"/>
      <c r="O425" s="10"/>
      <c r="P425" s="10"/>
    </row>
    <row r="426" spans="1:16" ht="12.75" x14ac:dyDescent="0.2">
      <c r="A426" s="119">
        <v>368</v>
      </c>
      <c r="B426" s="120" t="s">
        <v>86</v>
      </c>
      <c r="C426" s="120" t="s">
        <v>1147</v>
      </c>
      <c r="D426" s="149">
        <v>34</v>
      </c>
      <c r="E426" s="149">
        <v>23</v>
      </c>
      <c r="F426" s="149">
        <v>26</v>
      </c>
      <c r="G426" s="149">
        <v>60</v>
      </c>
      <c r="H426" s="124">
        <v>143</v>
      </c>
      <c r="K426" s="11"/>
      <c r="L426" s="98"/>
      <c r="M426" s="98"/>
      <c r="O426" s="10"/>
      <c r="P426" s="10"/>
    </row>
    <row r="427" spans="1:16" ht="12.75" x14ac:dyDescent="0.2">
      <c r="A427" s="119">
        <v>369</v>
      </c>
      <c r="B427" s="120" t="s">
        <v>86</v>
      </c>
      <c r="C427" s="120" t="s">
        <v>86</v>
      </c>
      <c r="D427" s="149">
        <v>180</v>
      </c>
      <c r="E427" s="149">
        <v>118</v>
      </c>
      <c r="F427" s="149">
        <v>136</v>
      </c>
      <c r="G427" s="149">
        <v>313</v>
      </c>
      <c r="H427" s="124">
        <v>747</v>
      </c>
      <c r="K427" s="11"/>
      <c r="L427" s="98"/>
      <c r="M427" s="98"/>
      <c r="O427" s="10"/>
      <c r="P427" s="10"/>
    </row>
    <row r="428" spans="1:16" ht="12.75" x14ac:dyDescent="0.2">
      <c r="A428" s="119">
        <v>370</v>
      </c>
      <c r="B428" s="120" t="s">
        <v>86</v>
      </c>
      <c r="C428" s="120" t="s">
        <v>1148</v>
      </c>
      <c r="D428" s="149">
        <v>34</v>
      </c>
      <c r="E428" s="149">
        <v>22</v>
      </c>
      <c r="F428" s="149">
        <v>26</v>
      </c>
      <c r="G428" s="149">
        <v>58</v>
      </c>
      <c r="H428" s="124">
        <v>140</v>
      </c>
      <c r="K428" s="11"/>
      <c r="L428" s="98"/>
      <c r="M428" s="98"/>
      <c r="O428" s="10"/>
      <c r="P428" s="10"/>
    </row>
    <row r="429" spans="1:16" ht="12.75" x14ac:dyDescent="0.2">
      <c r="A429" s="119">
        <v>371</v>
      </c>
      <c r="B429" s="120" t="s">
        <v>86</v>
      </c>
      <c r="C429" s="120" t="s">
        <v>1149</v>
      </c>
      <c r="D429" s="149">
        <v>169</v>
      </c>
      <c r="E429" s="149">
        <v>110</v>
      </c>
      <c r="F429" s="149">
        <v>128</v>
      </c>
      <c r="G429" s="149">
        <v>293</v>
      </c>
      <c r="H429" s="124">
        <v>700</v>
      </c>
      <c r="K429" s="11"/>
      <c r="L429" s="98"/>
      <c r="M429" s="98"/>
      <c r="O429" s="10"/>
      <c r="P429" s="10"/>
    </row>
    <row r="430" spans="1:16" ht="12.75" x14ac:dyDescent="0.2">
      <c r="A430" s="119">
        <v>372</v>
      </c>
      <c r="B430" s="120" t="s">
        <v>86</v>
      </c>
      <c r="C430" s="120" t="s">
        <v>807</v>
      </c>
      <c r="D430" s="149">
        <v>317</v>
      </c>
      <c r="E430" s="149">
        <v>207</v>
      </c>
      <c r="F430" s="149">
        <v>239</v>
      </c>
      <c r="G430" s="149">
        <v>551</v>
      </c>
      <c r="H430" s="123">
        <v>1314</v>
      </c>
      <c r="K430" s="11"/>
      <c r="L430" s="98"/>
      <c r="M430" s="98"/>
      <c r="O430" s="10"/>
      <c r="P430" s="10"/>
    </row>
    <row r="431" spans="1:16" ht="12.75" x14ac:dyDescent="0.2">
      <c r="A431" s="99"/>
      <c r="B431" s="151" t="s">
        <v>1150</v>
      </c>
      <c r="C431" s="126"/>
      <c r="D431" s="143">
        <v>520</v>
      </c>
      <c r="E431" s="143">
        <v>315</v>
      </c>
      <c r="F431" s="143">
        <v>430</v>
      </c>
      <c r="G431" s="143">
        <v>929</v>
      </c>
      <c r="H431" s="115">
        <v>2194</v>
      </c>
      <c r="K431" s="11"/>
      <c r="L431" s="98"/>
      <c r="M431" s="98"/>
      <c r="O431" s="10"/>
      <c r="P431" s="10"/>
    </row>
    <row r="432" spans="1:16" ht="12.75" x14ac:dyDescent="0.2">
      <c r="A432" s="119">
        <v>373</v>
      </c>
      <c r="B432" s="120" t="s">
        <v>87</v>
      </c>
      <c r="C432" s="120" t="s">
        <v>1151</v>
      </c>
      <c r="D432" s="149">
        <v>312</v>
      </c>
      <c r="E432" s="149">
        <v>189</v>
      </c>
      <c r="F432" s="149">
        <v>258</v>
      </c>
      <c r="G432" s="149">
        <v>557</v>
      </c>
      <c r="H432" s="123">
        <v>1316</v>
      </c>
      <c r="K432" s="11"/>
      <c r="L432" s="98"/>
      <c r="M432" s="98"/>
      <c r="O432" s="10"/>
      <c r="P432" s="10"/>
    </row>
    <row r="433" spans="1:16" ht="12.75" x14ac:dyDescent="0.2">
      <c r="A433" s="119">
        <v>374</v>
      </c>
      <c r="B433" s="120" t="s">
        <v>87</v>
      </c>
      <c r="C433" s="120" t="s">
        <v>1152</v>
      </c>
      <c r="D433" s="149">
        <v>198</v>
      </c>
      <c r="E433" s="149">
        <v>120</v>
      </c>
      <c r="F433" s="149">
        <v>164</v>
      </c>
      <c r="G433" s="149">
        <v>355</v>
      </c>
      <c r="H433" s="124">
        <v>837</v>
      </c>
      <c r="K433" s="11"/>
      <c r="L433" s="98"/>
      <c r="M433" s="98"/>
      <c r="O433" s="10"/>
      <c r="P433" s="10"/>
    </row>
    <row r="434" spans="1:16" ht="12.75" x14ac:dyDescent="0.2">
      <c r="A434" s="119">
        <v>375</v>
      </c>
      <c r="B434" s="120" t="s">
        <v>87</v>
      </c>
      <c r="C434" s="120" t="s">
        <v>807</v>
      </c>
      <c r="D434" s="149">
        <v>10</v>
      </c>
      <c r="E434" s="149">
        <v>6</v>
      </c>
      <c r="F434" s="149">
        <v>8</v>
      </c>
      <c r="G434" s="149">
        <v>17</v>
      </c>
      <c r="H434" s="124">
        <v>41</v>
      </c>
      <c r="K434" s="11"/>
      <c r="L434" s="98"/>
      <c r="M434" s="98"/>
      <c r="O434" s="10"/>
      <c r="P434" s="10"/>
    </row>
    <row r="435" spans="1:16" ht="12.75" x14ac:dyDescent="0.2">
      <c r="A435" s="99"/>
      <c r="B435" s="151" t="s">
        <v>1153</v>
      </c>
      <c r="C435" s="105"/>
      <c r="D435" s="115">
        <v>10535</v>
      </c>
      <c r="E435" s="115">
        <v>6470</v>
      </c>
      <c r="F435" s="115">
        <v>6635</v>
      </c>
      <c r="G435" s="115">
        <v>17830</v>
      </c>
      <c r="H435" s="115">
        <v>41470</v>
      </c>
      <c r="K435" s="11"/>
      <c r="L435" s="98"/>
      <c r="M435" s="98"/>
      <c r="O435" s="10"/>
      <c r="P435" s="10"/>
    </row>
    <row r="436" spans="1:16" ht="12.75" x14ac:dyDescent="0.2">
      <c r="A436" s="119">
        <v>376</v>
      </c>
      <c r="B436" s="120" t="s">
        <v>55</v>
      </c>
      <c r="C436" s="120" t="s">
        <v>1154</v>
      </c>
      <c r="D436" s="149">
        <v>2321</v>
      </c>
      <c r="E436" s="149">
        <v>1145</v>
      </c>
      <c r="F436" s="149">
        <v>1018</v>
      </c>
      <c r="G436" s="149">
        <v>1844</v>
      </c>
      <c r="H436" s="123">
        <v>6328</v>
      </c>
      <c r="K436" s="11"/>
      <c r="L436" s="98"/>
      <c r="M436" s="98"/>
      <c r="O436" s="10"/>
      <c r="P436" s="10"/>
    </row>
    <row r="437" spans="1:16" ht="12.75" x14ac:dyDescent="0.2">
      <c r="A437" s="119">
        <v>377</v>
      </c>
      <c r="B437" s="120" t="s">
        <v>55</v>
      </c>
      <c r="C437" s="120" t="s">
        <v>1155</v>
      </c>
      <c r="D437" s="149">
        <v>150</v>
      </c>
      <c r="E437" s="149">
        <v>115</v>
      </c>
      <c r="F437" s="149">
        <v>123</v>
      </c>
      <c r="G437" s="149">
        <v>201</v>
      </c>
      <c r="H437" s="124">
        <v>589</v>
      </c>
      <c r="K437" s="11"/>
      <c r="L437" s="98"/>
      <c r="M437" s="98"/>
      <c r="O437" s="10"/>
      <c r="P437" s="10"/>
    </row>
    <row r="438" spans="1:16" ht="12.75" x14ac:dyDescent="0.2">
      <c r="A438" s="119">
        <v>378</v>
      </c>
      <c r="B438" s="120" t="s">
        <v>55</v>
      </c>
      <c r="C438" s="120" t="s">
        <v>1156</v>
      </c>
      <c r="D438" s="149">
        <v>128</v>
      </c>
      <c r="E438" s="149">
        <v>169</v>
      </c>
      <c r="F438" s="149">
        <v>204</v>
      </c>
      <c r="G438" s="149">
        <v>211</v>
      </c>
      <c r="H438" s="124">
        <v>712</v>
      </c>
      <c r="K438" s="11"/>
      <c r="L438" s="98"/>
      <c r="M438" s="98"/>
      <c r="O438" s="10"/>
      <c r="P438" s="10"/>
    </row>
    <row r="439" spans="1:16" ht="12.75" x14ac:dyDescent="0.2">
      <c r="A439" s="119">
        <v>379</v>
      </c>
      <c r="B439" s="120" t="s">
        <v>55</v>
      </c>
      <c r="C439" s="120" t="s">
        <v>1157</v>
      </c>
      <c r="D439" s="149">
        <v>123</v>
      </c>
      <c r="E439" s="149">
        <v>83</v>
      </c>
      <c r="F439" s="149">
        <v>75</v>
      </c>
      <c r="G439" s="149">
        <v>243</v>
      </c>
      <c r="H439" s="124">
        <v>524</v>
      </c>
      <c r="K439" s="11"/>
      <c r="L439" s="98"/>
      <c r="M439" s="98"/>
      <c r="O439" s="10"/>
      <c r="P439" s="10"/>
    </row>
    <row r="440" spans="1:16" ht="12.75" x14ac:dyDescent="0.2">
      <c r="A440" s="119">
        <v>380</v>
      </c>
      <c r="B440" s="120" t="s">
        <v>55</v>
      </c>
      <c r="C440" s="120" t="s">
        <v>55</v>
      </c>
      <c r="D440" s="149">
        <v>5666</v>
      </c>
      <c r="E440" s="149">
        <v>3289</v>
      </c>
      <c r="F440" s="149">
        <v>3571</v>
      </c>
      <c r="G440" s="149">
        <v>11039</v>
      </c>
      <c r="H440" s="123">
        <v>23565</v>
      </c>
      <c r="K440" s="11"/>
      <c r="L440" s="98"/>
      <c r="M440" s="98"/>
      <c r="O440" s="10"/>
      <c r="P440" s="10"/>
    </row>
    <row r="441" spans="1:16" ht="12.75" x14ac:dyDescent="0.2">
      <c r="A441" s="119">
        <v>381</v>
      </c>
      <c r="B441" s="120" t="s">
        <v>55</v>
      </c>
      <c r="C441" s="120" t="s">
        <v>1158</v>
      </c>
      <c r="D441" s="149">
        <v>87</v>
      </c>
      <c r="E441" s="149">
        <v>107</v>
      </c>
      <c r="F441" s="149">
        <v>106</v>
      </c>
      <c r="G441" s="149">
        <v>124</v>
      </c>
      <c r="H441" s="124">
        <v>424</v>
      </c>
      <c r="K441" s="11"/>
      <c r="L441" s="98"/>
      <c r="M441" s="98"/>
      <c r="O441" s="10"/>
      <c r="P441" s="10"/>
    </row>
    <row r="442" spans="1:16" ht="12.75" x14ac:dyDescent="0.2">
      <c r="A442" s="119">
        <v>382</v>
      </c>
      <c r="B442" s="120" t="s">
        <v>55</v>
      </c>
      <c r="C442" s="120" t="s">
        <v>1159</v>
      </c>
      <c r="D442" s="149">
        <v>238</v>
      </c>
      <c r="E442" s="149">
        <v>211</v>
      </c>
      <c r="F442" s="149">
        <v>202</v>
      </c>
      <c r="G442" s="149">
        <v>258</v>
      </c>
      <c r="H442" s="124">
        <v>909</v>
      </c>
      <c r="K442" s="11"/>
      <c r="L442" s="98"/>
      <c r="M442" s="98"/>
      <c r="O442" s="10"/>
      <c r="P442" s="10"/>
    </row>
    <row r="443" spans="1:16" ht="12.75" x14ac:dyDescent="0.2">
      <c r="A443" s="119">
        <v>383</v>
      </c>
      <c r="B443" s="120" t="s">
        <v>55</v>
      </c>
      <c r="C443" s="120" t="s">
        <v>1160</v>
      </c>
      <c r="D443" s="149">
        <v>113</v>
      </c>
      <c r="E443" s="149">
        <v>70</v>
      </c>
      <c r="F443" s="149">
        <v>60</v>
      </c>
      <c r="G443" s="149">
        <v>131</v>
      </c>
      <c r="H443" s="124">
        <v>374</v>
      </c>
      <c r="K443" s="11"/>
      <c r="L443" s="98"/>
      <c r="M443" s="98"/>
      <c r="O443" s="10"/>
      <c r="P443" s="10"/>
    </row>
    <row r="444" spans="1:16" ht="12.75" x14ac:dyDescent="0.2">
      <c r="A444" s="119">
        <v>384</v>
      </c>
      <c r="B444" s="120" t="s">
        <v>55</v>
      </c>
      <c r="C444" s="120" t="s">
        <v>1161</v>
      </c>
      <c r="D444" s="149">
        <v>80</v>
      </c>
      <c r="E444" s="149">
        <v>56</v>
      </c>
      <c r="F444" s="149">
        <v>77</v>
      </c>
      <c r="G444" s="149">
        <v>341</v>
      </c>
      <c r="H444" s="124">
        <v>554</v>
      </c>
      <c r="K444" s="11"/>
      <c r="L444" s="98"/>
      <c r="M444" s="98"/>
      <c r="O444" s="10"/>
      <c r="P444" s="10"/>
    </row>
    <row r="445" spans="1:16" ht="12.75" x14ac:dyDescent="0.2">
      <c r="A445" s="119">
        <v>385</v>
      </c>
      <c r="B445" s="120" t="s">
        <v>55</v>
      </c>
      <c r="C445" s="120" t="s">
        <v>1162</v>
      </c>
      <c r="D445" s="149">
        <v>111</v>
      </c>
      <c r="E445" s="149">
        <v>86</v>
      </c>
      <c r="F445" s="149">
        <v>105</v>
      </c>
      <c r="G445" s="149">
        <v>367</v>
      </c>
      <c r="H445" s="124">
        <v>669</v>
      </c>
      <c r="K445" s="11"/>
      <c r="L445" s="98"/>
      <c r="M445" s="98"/>
      <c r="O445" s="10"/>
      <c r="P445" s="10"/>
    </row>
    <row r="446" spans="1:16" ht="12.75" x14ac:dyDescent="0.2">
      <c r="A446" s="119">
        <v>386</v>
      </c>
      <c r="B446" s="120" t="s">
        <v>55</v>
      </c>
      <c r="C446" s="120" t="s">
        <v>1163</v>
      </c>
      <c r="D446" s="149">
        <v>110</v>
      </c>
      <c r="E446" s="149">
        <v>82</v>
      </c>
      <c r="F446" s="149">
        <v>77</v>
      </c>
      <c r="G446" s="149">
        <v>319</v>
      </c>
      <c r="H446" s="124">
        <v>588</v>
      </c>
      <c r="K446" s="11"/>
      <c r="L446" s="98"/>
      <c r="M446" s="98"/>
      <c r="O446" s="10"/>
      <c r="P446" s="10"/>
    </row>
    <row r="447" spans="1:16" ht="12.75" x14ac:dyDescent="0.2">
      <c r="A447" s="119">
        <v>387</v>
      </c>
      <c r="B447" s="120" t="s">
        <v>55</v>
      </c>
      <c r="C447" s="120" t="s">
        <v>1164</v>
      </c>
      <c r="D447" s="149">
        <v>393</v>
      </c>
      <c r="E447" s="149">
        <v>204</v>
      </c>
      <c r="F447" s="149">
        <v>161</v>
      </c>
      <c r="G447" s="149">
        <v>553</v>
      </c>
      <c r="H447" s="123">
        <v>1311</v>
      </c>
      <c r="K447" s="11"/>
      <c r="L447" s="98"/>
      <c r="M447" s="98"/>
      <c r="O447" s="10"/>
      <c r="P447" s="10"/>
    </row>
    <row r="448" spans="1:16" ht="12.75" x14ac:dyDescent="0.2">
      <c r="A448" s="119">
        <v>388</v>
      </c>
      <c r="B448" s="120" t="s">
        <v>55</v>
      </c>
      <c r="C448" s="120" t="s">
        <v>59</v>
      </c>
      <c r="D448" s="149">
        <v>103</v>
      </c>
      <c r="E448" s="149">
        <v>36</v>
      </c>
      <c r="F448" s="149">
        <v>35</v>
      </c>
      <c r="G448" s="149">
        <v>204</v>
      </c>
      <c r="H448" s="124">
        <v>378</v>
      </c>
      <c r="K448" s="11"/>
      <c r="L448" s="98"/>
      <c r="M448" s="98"/>
      <c r="O448" s="10"/>
      <c r="P448" s="10"/>
    </row>
    <row r="449" spans="1:16" ht="12.75" x14ac:dyDescent="0.2">
      <c r="A449" s="119">
        <v>389</v>
      </c>
      <c r="B449" s="120" t="s">
        <v>55</v>
      </c>
      <c r="C449" s="120" t="s">
        <v>1165</v>
      </c>
      <c r="D449" s="149">
        <v>312</v>
      </c>
      <c r="E449" s="149">
        <v>175</v>
      </c>
      <c r="F449" s="149">
        <v>163</v>
      </c>
      <c r="G449" s="149">
        <v>568</v>
      </c>
      <c r="H449" s="123">
        <v>1218</v>
      </c>
      <c r="K449" s="11"/>
      <c r="L449" s="98"/>
      <c r="M449" s="98"/>
      <c r="O449" s="10"/>
      <c r="P449" s="10"/>
    </row>
    <row r="450" spans="1:16" ht="12.75" x14ac:dyDescent="0.2">
      <c r="A450" s="119">
        <v>390</v>
      </c>
      <c r="B450" s="120" t="s">
        <v>55</v>
      </c>
      <c r="C450" s="120" t="s">
        <v>1166</v>
      </c>
      <c r="D450" s="149">
        <v>140</v>
      </c>
      <c r="E450" s="149">
        <v>115</v>
      </c>
      <c r="F450" s="149">
        <v>69</v>
      </c>
      <c r="G450" s="149">
        <v>281</v>
      </c>
      <c r="H450" s="124">
        <v>605</v>
      </c>
      <c r="K450" s="11"/>
      <c r="L450" s="98"/>
      <c r="M450" s="98"/>
      <c r="O450" s="10"/>
      <c r="P450" s="10"/>
    </row>
    <row r="451" spans="1:16" ht="12.75" x14ac:dyDescent="0.2">
      <c r="A451" s="119">
        <v>391</v>
      </c>
      <c r="B451" s="120" t="s">
        <v>55</v>
      </c>
      <c r="C451" s="120" t="s">
        <v>807</v>
      </c>
      <c r="D451" s="149">
        <v>460</v>
      </c>
      <c r="E451" s="149">
        <v>527</v>
      </c>
      <c r="F451" s="149">
        <v>589</v>
      </c>
      <c r="G451" s="149">
        <v>1146</v>
      </c>
      <c r="H451" s="123">
        <v>2722</v>
      </c>
      <c r="K451" s="11"/>
      <c r="L451" s="98"/>
      <c r="M451" s="98"/>
      <c r="O451" s="10"/>
      <c r="P451" s="10"/>
    </row>
    <row r="452" spans="1:16" ht="12.75" x14ac:dyDescent="0.2">
      <c r="A452" s="99"/>
      <c r="B452" s="151" t="s">
        <v>1167</v>
      </c>
      <c r="C452" s="105"/>
      <c r="D452" s="115">
        <v>16851</v>
      </c>
      <c r="E452" s="115">
        <v>10554</v>
      </c>
      <c r="F452" s="115">
        <v>11234</v>
      </c>
      <c r="G452" s="115">
        <v>29034</v>
      </c>
      <c r="H452" s="115">
        <v>67673</v>
      </c>
      <c r="K452" s="11"/>
      <c r="L452" s="98"/>
      <c r="M452" s="98"/>
      <c r="O452" s="10"/>
      <c r="P452" s="10"/>
    </row>
    <row r="453" spans="1:16" ht="12.75" x14ac:dyDescent="0.2">
      <c r="A453" s="119">
        <v>392</v>
      </c>
      <c r="B453" s="120" t="s">
        <v>56</v>
      </c>
      <c r="C453" s="120" t="s">
        <v>1168</v>
      </c>
      <c r="D453" s="149">
        <v>398</v>
      </c>
      <c r="E453" s="149">
        <v>239</v>
      </c>
      <c r="F453" s="149">
        <v>183</v>
      </c>
      <c r="G453" s="149">
        <v>349</v>
      </c>
      <c r="H453" s="123">
        <v>1169</v>
      </c>
      <c r="K453" s="11"/>
      <c r="L453" s="98"/>
      <c r="M453" s="98"/>
      <c r="O453" s="10"/>
      <c r="P453" s="10"/>
    </row>
    <row r="454" spans="1:16" ht="12.75" x14ac:dyDescent="0.2">
      <c r="A454" s="119">
        <v>393</v>
      </c>
      <c r="B454" s="120" t="s">
        <v>56</v>
      </c>
      <c r="C454" s="120" t="s">
        <v>1169</v>
      </c>
      <c r="D454" s="149">
        <v>9706</v>
      </c>
      <c r="E454" s="149">
        <v>5800</v>
      </c>
      <c r="F454" s="149">
        <v>6453</v>
      </c>
      <c r="G454" s="149">
        <v>14331</v>
      </c>
      <c r="H454" s="123">
        <v>36290</v>
      </c>
      <c r="K454" s="11"/>
      <c r="L454" s="98"/>
      <c r="M454" s="98"/>
      <c r="O454" s="10"/>
      <c r="P454" s="10"/>
    </row>
    <row r="455" spans="1:16" ht="12.75" x14ac:dyDescent="0.2">
      <c r="A455" s="119">
        <v>394</v>
      </c>
      <c r="B455" s="120" t="s">
        <v>56</v>
      </c>
      <c r="C455" s="120" t="s">
        <v>1170</v>
      </c>
      <c r="D455" s="149">
        <v>254</v>
      </c>
      <c r="E455" s="149">
        <v>131</v>
      </c>
      <c r="F455" s="149">
        <v>155</v>
      </c>
      <c r="G455" s="149">
        <v>726</v>
      </c>
      <c r="H455" s="123">
        <v>1266</v>
      </c>
      <c r="K455" s="11"/>
      <c r="L455" s="98"/>
      <c r="M455" s="98"/>
      <c r="O455" s="10"/>
      <c r="P455" s="10"/>
    </row>
    <row r="456" spans="1:16" ht="12.75" x14ac:dyDescent="0.2">
      <c r="A456" s="119">
        <v>395</v>
      </c>
      <c r="B456" s="120" t="s">
        <v>56</v>
      </c>
      <c r="C456" s="120" t="s">
        <v>1171</v>
      </c>
      <c r="D456" s="149">
        <v>396</v>
      </c>
      <c r="E456" s="149">
        <v>277</v>
      </c>
      <c r="F456" s="149">
        <v>243</v>
      </c>
      <c r="G456" s="149">
        <v>546</v>
      </c>
      <c r="H456" s="123">
        <v>1462</v>
      </c>
      <c r="K456" s="11"/>
      <c r="L456" s="98"/>
      <c r="M456" s="98"/>
      <c r="O456" s="10"/>
      <c r="P456" s="10"/>
    </row>
    <row r="457" spans="1:16" ht="12.75" x14ac:dyDescent="0.2">
      <c r="A457" s="119">
        <v>396</v>
      </c>
      <c r="B457" s="120" t="s">
        <v>56</v>
      </c>
      <c r="C457" s="120" t="s">
        <v>1172</v>
      </c>
      <c r="D457" s="149">
        <v>11</v>
      </c>
      <c r="E457" s="149">
        <v>5</v>
      </c>
      <c r="F457" s="149">
        <v>6</v>
      </c>
      <c r="G457" s="149">
        <v>14</v>
      </c>
      <c r="H457" s="124">
        <v>36</v>
      </c>
      <c r="K457" s="11"/>
      <c r="L457" s="98"/>
      <c r="M457" s="98"/>
      <c r="O457" s="10"/>
      <c r="P457" s="10"/>
    </row>
    <row r="458" spans="1:16" ht="12.75" x14ac:dyDescent="0.2">
      <c r="A458" s="119">
        <v>397</v>
      </c>
      <c r="B458" s="120" t="s">
        <v>56</v>
      </c>
      <c r="C458" s="120" t="s">
        <v>1173</v>
      </c>
      <c r="D458" s="149">
        <v>93</v>
      </c>
      <c r="E458" s="149">
        <v>73</v>
      </c>
      <c r="F458" s="149">
        <v>66</v>
      </c>
      <c r="G458" s="149">
        <v>79</v>
      </c>
      <c r="H458" s="124">
        <v>311</v>
      </c>
      <c r="K458" s="11"/>
      <c r="L458" s="98"/>
      <c r="M458" s="98"/>
      <c r="O458" s="10"/>
      <c r="P458" s="10"/>
    </row>
    <row r="459" spans="1:16" ht="12.75" x14ac:dyDescent="0.2">
      <c r="A459" s="119">
        <v>398</v>
      </c>
      <c r="B459" s="120" t="s">
        <v>56</v>
      </c>
      <c r="C459" s="120" t="s">
        <v>1174</v>
      </c>
      <c r="D459" s="149">
        <v>159</v>
      </c>
      <c r="E459" s="149">
        <v>131</v>
      </c>
      <c r="F459" s="149">
        <v>207</v>
      </c>
      <c r="G459" s="149">
        <v>848</v>
      </c>
      <c r="H459" s="123">
        <v>1345</v>
      </c>
      <c r="K459" s="11"/>
      <c r="L459" s="98"/>
      <c r="M459" s="98"/>
      <c r="O459" s="10"/>
      <c r="P459" s="10"/>
    </row>
    <row r="460" spans="1:16" ht="12.75" x14ac:dyDescent="0.2">
      <c r="A460" s="119">
        <v>399</v>
      </c>
      <c r="B460" s="120" t="s">
        <v>56</v>
      </c>
      <c r="C460" s="120" t="s">
        <v>1175</v>
      </c>
      <c r="D460" s="149">
        <v>417</v>
      </c>
      <c r="E460" s="149">
        <v>426</v>
      </c>
      <c r="F460" s="149">
        <v>397</v>
      </c>
      <c r="G460" s="149">
        <v>796</v>
      </c>
      <c r="H460" s="123">
        <v>2036</v>
      </c>
      <c r="K460" s="11"/>
      <c r="L460" s="98"/>
      <c r="M460" s="98"/>
      <c r="O460" s="10"/>
      <c r="P460" s="10"/>
    </row>
    <row r="461" spans="1:16" ht="12.75" x14ac:dyDescent="0.2">
      <c r="A461" s="119">
        <v>400</v>
      </c>
      <c r="B461" s="120" t="s">
        <v>56</v>
      </c>
      <c r="C461" s="120" t="s">
        <v>1176</v>
      </c>
      <c r="D461" s="149">
        <v>52</v>
      </c>
      <c r="E461" s="149">
        <v>26</v>
      </c>
      <c r="F461" s="149">
        <v>30</v>
      </c>
      <c r="G461" s="149">
        <v>146</v>
      </c>
      <c r="H461" s="124">
        <v>254</v>
      </c>
      <c r="K461" s="11"/>
      <c r="L461" s="98"/>
      <c r="M461" s="98"/>
      <c r="O461" s="10"/>
      <c r="P461" s="10"/>
    </row>
    <row r="462" spans="1:16" ht="12.75" x14ac:dyDescent="0.2">
      <c r="A462" s="119">
        <v>401</v>
      </c>
      <c r="B462" s="120" t="s">
        <v>56</v>
      </c>
      <c r="C462" s="120" t="s">
        <v>1177</v>
      </c>
      <c r="D462" s="149">
        <v>127</v>
      </c>
      <c r="E462" s="149">
        <v>64</v>
      </c>
      <c r="F462" s="149">
        <v>88</v>
      </c>
      <c r="G462" s="149">
        <v>216</v>
      </c>
      <c r="H462" s="124">
        <v>495</v>
      </c>
      <c r="K462" s="11"/>
      <c r="L462" s="98"/>
      <c r="M462" s="98"/>
      <c r="O462" s="10"/>
      <c r="P462" s="10"/>
    </row>
    <row r="463" spans="1:16" ht="12.75" x14ac:dyDescent="0.2">
      <c r="A463" s="119">
        <v>402</v>
      </c>
      <c r="B463" s="120" t="s">
        <v>56</v>
      </c>
      <c r="C463" s="120" t="s">
        <v>1178</v>
      </c>
      <c r="D463" s="149">
        <v>350</v>
      </c>
      <c r="E463" s="149">
        <v>275</v>
      </c>
      <c r="F463" s="149">
        <v>280</v>
      </c>
      <c r="G463" s="149">
        <v>521</v>
      </c>
      <c r="H463" s="123">
        <v>1426</v>
      </c>
      <c r="K463" s="11"/>
      <c r="L463" s="98"/>
      <c r="M463" s="98"/>
      <c r="O463" s="10"/>
      <c r="P463" s="10"/>
    </row>
    <row r="464" spans="1:16" ht="12.75" x14ac:dyDescent="0.2">
      <c r="A464" s="119">
        <v>403</v>
      </c>
      <c r="B464" s="120" t="s">
        <v>56</v>
      </c>
      <c r="C464" s="120" t="s">
        <v>807</v>
      </c>
      <c r="D464" s="149">
        <v>4888</v>
      </c>
      <c r="E464" s="149">
        <v>3107</v>
      </c>
      <c r="F464" s="149">
        <v>3126</v>
      </c>
      <c r="G464" s="149">
        <v>10462</v>
      </c>
      <c r="H464" s="123">
        <v>21583</v>
      </c>
      <c r="K464" s="11"/>
      <c r="L464" s="98"/>
      <c r="M464" s="98"/>
      <c r="O464" s="10"/>
      <c r="P464" s="10"/>
    </row>
    <row r="465" spans="1:16" ht="12.75" x14ac:dyDescent="0.2">
      <c r="A465" s="99"/>
      <c r="B465" s="151" t="s">
        <v>1179</v>
      </c>
      <c r="C465" s="105"/>
      <c r="D465" s="115">
        <v>2495</v>
      </c>
      <c r="E465" s="115">
        <v>1720</v>
      </c>
      <c r="F465" s="115">
        <v>1710</v>
      </c>
      <c r="G465" s="115">
        <v>4395</v>
      </c>
      <c r="H465" s="115">
        <v>10320</v>
      </c>
      <c r="K465" s="11"/>
      <c r="L465" s="98"/>
      <c r="M465" s="98"/>
      <c r="O465" s="10"/>
      <c r="P465" s="10"/>
    </row>
    <row r="466" spans="1:16" ht="12.75" x14ac:dyDescent="0.2">
      <c r="A466" s="119">
        <v>404</v>
      </c>
      <c r="B466" s="120" t="s">
        <v>76</v>
      </c>
      <c r="C466" s="120" t="s">
        <v>1180</v>
      </c>
      <c r="D466" s="149">
        <v>48</v>
      </c>
      <c r="E466" s="149">
        <v>30</v>
      </c>
      <c r="F466" s="149">
        <v>24</v>
      </c>
      <c r="G466" s="149">
        <v>82</v>
      </c>
      <c r="H466" s="124">
        <v>184</v>
      </c>
      <c r="K466" s="11"/>
      <c r="L466" s="98"/>
      <c r="M466" s="98"/>
      <c r="O466" s="10"/>
      <c r="P466" s="10"/>
    </row>
    <row r="467" spans="1:16" ht="12.75" x14ac:dyDescent="0.2">
      <c r="A467" s="119">
        <v>405</v>
      </c>
      <c r="B467" s="120" t="s">
        <v>76</v>
      </c>
      <c r="C467" s="120" t="s">
        <v>1181</v>
      </c>
      <c r="D467" s="121">
        <v>974</v>
      </c>
      <c r="E467" s="121">
        <v>643</v>
      </c>
      <c r="F467" s="121">
        <v>708</v>
      </c>
      <c r="G467" s="122">
        <v>1638</v>
      </c>
      <c r="H467" s="123">
        <v>3963</v>
      </c>
      <c r="K467" s="11"/>
      <c r="L467" s="98"/>
      <c r="M467" s="98"/>
      <c r="O467" s="10"/>
      <c r="P467" s="10"/>
    </row>
    <row r="468" spans="1:16" ht="12.75" x14ac:dyDescent="0.2">
      <c r="A468" s="119">
        <v>406</v>
      </c>
      <c r="B468" s="120" t="s">
        <v>76</v>
      </c>
      <c r="C468" s="120" t="s">
        <v>1182</v>
      </c>
      <c r="D468" s="121">
        <v>231</v>
      </c>
      <c r="E468" s="121">
        <v>118</v>
      </c>
      <c r="F468" s="121">
        <v>99</v>
      </c>
      <c r="G468" s="121">
        <v>321</v>
      </c>
      <c r="H468" s="124">
        <v>769</v>
      </c>
      <c r="K468" s="11"/>
      <c r="L468" s="98"/>
      <c r="M468" s="98"/>
      <c r="O468" s="10"/>
      <c r="P468" s="10"/>
    </row>
    <row r="469" spans="1:16" ht="12.75" x14ac:dyDescent="0.2">
      <c r="A469" s="119">
        <v>407</v>
      </c>
      <c r="B469" s="120" t="s">
        <v>76</v>
      </c>
      <c r="C469" s="120" t="s">
        <v>1183</v>
      </c>
      <c r="D469" s="121">
        <v>419</v>
      </c>
      <c r="E469" s="121">
        <v>284</v>
      </c>
      <c r="F469" s="121">
        <v>306</v>
      </c>
      <c r="G469" s="121">
        <v>784</v>
      </c>
      <c r="H469" s="123">
        <v>1793</v>
      </c>
      <c r="K469" s="11"/>
      <c r="L469" s="98"/>
      <c r="M469" s="98"/>
      <c r="O469" s="10"/>
      <c r="P469" s="10"/>
    </row>
    <row r="470" spans="1:16" ht="12.75" x14ac:dyDescent="0.2">
      <c r="A470" s="119">
        <v>408</v>
      </c>
      <c r="B470" s="120" t="s">
        <v>76</v>
      </c>
      <c r="C470" s="120" t="s">
        <v>1184</v>
      </c>
      <c r="D470" s="121">
        <v>141</v>
      </c>
      <c r="E470" s="121">
        <v>100</v>
      </c>
      <c r="F470" s="121">
        <v>93</v>
      </c>
      <c r="G470" s="121">
        <v>303</v>
      </c>
      <c r="H470" s="124">
        <v>637</v>
      </c>
      <c r="K470" s="11"/>
      <c r="L470" s="98"/>
      <c r="M470" s="98"/>
      <c r="O470" s="10"/>
      <c r="P470" s="10"/>
    </row>
    <row r="471" spans="1:16" ht="12.75" x14ac:dyDescent="0.2">
      <c r="A471" s="119">
        <v>409</v>
      </c>
      <c r="B471" s="120" t="s">
        <v>76</v>
      </c>
      <c r="C471" s="120" t="s">
        <v>807</v>
      </c>
      <c r="D471" s="121">
        <v>682</v>
      </c>
      <c r="E471" s="121">
        <v>545</v>
      </c>
      <c r="F471" s="121">
        <v>480</v>
      </c>
      <c r="G471" s="122">
        <v>1267</v>
      </c>
      <c r="H471" s="123">
        <v>2974</v>
      </c>
      <c r="K471" s="11"/>
      <c r="L471" s="98"/>
      <c r="M471" s="98"/>
      <c r="O471" s="10"/>
      <c r="P471" s="10"/>
    </row>
    <row r="472" spans="1:16" ht="12.75" x14ac:dyDescent="0.2">
      <c r="A472" s="99"/>
      <c r="B472" s="151" t="s">
        <v>1185</v>
      </c>
      <c r="C472" s="105"/>
      <c r="D472" s="143">
        <v>500</v>
      </c>
      <c r="E472" s="143">
        <v>320</v>
      </c>
      <c r="F472" s="143">
        <v>350</v>
      </c>
      <c r="G472" s="143">
        <v>890</v>
      </c>
      <c r="H472" s="115">
        <v>2060</v>
      </c>
      <c r="K472" s="11"/>
      <c r="L472" s="98"/>
      <c r="M472" s="98"/>
      <c r="O472" s="10"/>
      <c r="P472" s="10"/>
    </row>
    <row r="473" spans="1:16" ht="12.75" x14ac:dyDescent="0.2">
      <c r="A473" s="119">
        <v>410</v>
      </c>
      <c r="B473" s="120" t="s">
        <v>78</v>
      </c>
      <c r="C473" s="120" t="s">
        <v>1186</v>
      </c>
      <c r="D473" s="121">
        <v>85</v>
      </c>
      <c r="E473" s="121">
        <v>56</v>
      </c>
      <c r="F473" s="121">
        <v>62</v>
      </c>
      <c r="G473" s="121">
        <v>160</v>
      </c>
      <c r="H473" s="124">
        <v>363</v>
      </c>
      <c r="K473" s="11"/>
      <c r="L473" s="98"/>
      <c r="M473" s="98"/>
      <c r="O473" s="10"/>
      <c r="P473" s="10"/>
    </row>
    <row r="474" spans="1:16" ht="12.75" x14ac:dyDescent="0.2">
      <c r="A474" s="119">
        <v>411</v>
      </c>
      <c r="B474" s="120" t="s">
        <v>78</v>
      </c>
      <c r="C474" s="120" t="s">
        <v>1187</v>
      </c>
      <c r="D474" s="121">
        <v>4</v>
      </c>
      <c r="E474" s="121">
        <v>1</v>
      </c>
      <c r="F474" s="121">
        <v>2</v>
      </c>
      <c r="G474" s="121">
        <v>4</v>
      </c>
      <c r="H474" s="124">
        <v>11</v>
      </c>
      <c r="K474" s="11"/>
      <c r="L474" s="98"/>
      <c r="M474" s="98"/>
      <c r="O474" s="10"/>
      <c r="P474" s="10"/>
    </row>
    <row r="475" spans="1:16" ht="12.75" x14ac:dyDescent="0.2">
      <c r="A475" s="119">
        <v>412</v>
      </c>
      <c r="B475" s="120" t="s">
        <v>78</v>
      </c>
      <c r="C475" s="120" t="s">
        <v>1188</v>
      </c>
      <c r="D475" s="121">
        <v>145</v>
      </c>
      <c r="E475" s="121">
        <v>96</v>
      </c>
      <c r="F475" s="121">
        <v>104</v>
      </c>
      <c r="G475" s="121">
        <v>264</v>
      </c>
      <c r="H475" s="124">
        <v>609</v>
      </c>
      <c r="K475" s="11"/>
      <c r="L475" s="98"/>
      <c r="M475" s="98"/>
      <c r="O475" s="10"/>
      <c r="P475" s="10"/>
    </row>
    <row r="476" spans="1:16" ht="12.75" x14ac:dyDescent="0.2">
      <c r="A476" s="119">
        <v>413</v>
      </c>
      <c r="B476" s="120" t="s">
        <v>78</v>
      </c>
      <c r="C476" s="120" t="s">
        <v>1189</v>
      </c>
      <c r="D476" s="121">
        <v>6</v>
      </c>
      <c r="E476" s="121">
        <v>3</v>
      </c>
      <c r="F476" s="121">
        <v>4</v>
      </c>
      <c r="G476" s="121">
        <v>8</v>
      </c>
      <c r="H476" s="124">
        <v>21</v>
      </c>
      <c r="K476" s="11"/>
      <c r="L476" s="98"/>
      <c r="M476" s="98"/>
      <c r="O476" s="10"/>
      <c r="P476" s="10"/>
    </row>
    <row r="477" spans="1:16" ht="12.75" x14ac:dyDescent="0.2">
      <c r="A477" s="119">
        <v>414</v>
      </c>
      <c r="B477" s="120" t="s">
        <v>78</v>
      </c>
      <c r="C477" s="120" t="s">
        <v>1190</v>
      </c>
      <c r="D477" s="121">
        <v>39</v>
      </c>
      <c r="E477" s="121">
        <v>24</v>
      </c>
      <c r="F477" s="121">
        <v>27</v>
      </c>
      <c r="G477" s="121">
        <v>71</v>
      </c>
      <c r="H477" s="124">
        <v>161</v>
      </c>
      <c r="K477" s="11"/>
      <c r="L477" s="98"/>
      <c r="M477" s="98"/>
      <c r="O477" s="10"/>
      <c r="P477" s="10"/>
    </row>
    <row r="478" spans="1:16" ht="12.75" x14ac:dyDescent="0.2">
      <c r="A478" s="119">
        <v>415</v>
      </c>
      <c r="B478" s="120" t="s">
        <v>78</v>
      </c>
      <c r="C478" s="120" t="s">
        <v>1191</v>
      </c>
      <c r="D478" s="121">
        <v>8</v>
      </c>
      <c r="E478" s="121">
        <v>4</v>
      </c>
      <c r="F478" s="121">
        <v>4</v>
      </c>
      <c r="G478" s="121">
        <v>15</v>
      </c>
      <c r="H478" s="124">
        <v>31</v>
      </c>
      <c r="K478" s="11"/>
      <c r="L478" s="98"/>
      <c r="M478" s="98"/>
      <c r="O478" s="10"/>
      <c r="P478" s="10"/>
    </row>
    <row r="479" spans="1:16" ht="12.75" x14ac:dyDescent="0.2">
      <c r="A479" s="119">
        <v>416</v>
      </c>
      <c r="B479" s="120" t="s">
        <v>78</v>
      </c>
      <c r="C479" s="120" t="s">
        <v>1192</v>
      </c>
      <c r="D479" s="121">
        <v>1</v>
      </c>
      <c r="E479" s="121">
        <v>1</v>
      </c>
      <c r="F479" s="121">
        <v>1</v>
      </c>
      <c r="G479" s="121">
        <v>2</v>
      </c>
      <c r="H479" s="124">
        <v>5</v>
      </c>
      <c r="K479" s="11"/>
      <c r="L479" s="98"/>
      <c r="M479" s="98"/>
      <c r="O479" s="10"/>
      <c r="P479" s="10"/>
    </row>
    <row r="480" spans="1:16" ht="12.75" x14ac:dyDescent="0.2">
      <c r="A480" s="119">
        <v>417</v>
      </c>
      <c r="B480" s="120" t="s">
        <v>78</v>
      </c>
      <c r="C480" s="120" t="s">
        <v>807</v>
      </c>
      <c r="D480" s="121">
        <v>212</v>
      </c>
      <c r="E480" s="121">
        <v>135</v>
      </c>
      <c r="F480" s="121">
        <v>146</v>
      </c>
      <c r="G480" s="121">
        <v>366</v>
      </c>
      <c r="H480" s="124">
        <v>859</v>
      </c>
      <c r="K480" s="11"/>
      <c r="L480" s="98"/>
      <c r="M480" s="98"/>
      <c r="O480" s="10"/>
      <c r="P480" s="10"/>
    </row>
    <row r="481" spans="1:16" ht="12.75" x14ac:dyDescent="0.2">
      <c r="A481" s="99"/>
      <c r="B481" s="151" t="s">
        <v>1193</v>
      </c>
      <c r="C481" s="105"/>
      <c r="D481" s="115">
        <v>2320</v>
      </c>
      <c r="E481" s="115">
        <v>1735</v>
      </c>
      <c r="F481" s="115">
        <v>1830</v>
      </c>
      <c r="G481" s="115">
        <v>4335</v>
      </c>
      <c r="H481" s="115">
        <v>10220</v>
      </c>
      <c r="K481" s="11"/>
      <c r="L481" s="98"/>
      <c r="M481" s="98"/>
      <c r="O481" s="10"/>
      <c r="P481" s="10"/>
    </row>
    <row r="482" spans="1:16" ht="12.75" x14ac:dyDescent="0.2">
      <c r="A482" s="119">
        <v>418</v>
      </c>
      <c r="B482" s="120" t="s">
        <v>85</v>
      </c>
      <c r="C482" s="120" t="s">
        <v>1194</v>
      </c>
      <c r="D482" s="149">
        <v>145</v>
      </c>
      <c r="E482" s="149">
        <v>108</v>
      </c>
      <c r="F482" s="149">
        <v>115</v>
      </c>
      <c r="G482" s="149">
        <v>271</v>
      </c>
      <c r="H482" s="124">
        <v>639</v>
      </c>
      <c r="K482" s="11"/>
      <c r="L482" s="98"/>
      <c r="M482" s="98"/>
      <c r="O482" s="10"/>
      <c r="P482" s="10"/>
    </row>
    <row r="483" spans="1:16" ht="12.75" x14ac:dyDescent="0.2">
      <c r="A483" s="119">
        <v>419</v>
      </c>
      <c r="B483" s="120" t="s">
        <v>85</v>
      </c>
      <c r="C483" s="120" t="s">
        <v>1195</v>
      </c>
      <c r="D483" s="149">
        <v>215</v>
      </c>
      <c r="E483" s="149">
        <v>161</v>
      </c>
      <c r="F483" s="149">
        <v>169</v>
      </c>
      <c r="G483" s="149">
        <v>401</v>
      </c>
      <c r="H483" s="124">
        <v>946</v>
      </c>
      <c r="K483" s="11"/>
      <c r="L483" s="98"/>
      <c r="M483" s="98"/>
      <c r="O483" s="10"/>
      <c r="P483" s="10"/>
    </row>
    <row r="484" spans="1:16" ht="12.75" x14ac:dyDescent="0.2">
      <c r="A484" s="119">
        <v>420</v>
      </c>
      <c r="B484" s="120" t="s">
        <v>85</v>
      </c>
      <c r="C484" s="120" t="s">
        <v>1196</v>
      </c>
      <c r="D484" s="152">
        <v>1097</v>
      </c>
      <c r="E484" s="149">
        <v>821</v>
      </c>
      <c r="F484" s="149">
        <v>865</v>
      </c>
      <c r="G484" s="152">
        <v>2049</v>
      </c>
      <c r="H484" s="123">
        <v>4832</v>
      </c>
      <c r="K484" s="11"/>
      <c r="L484" s="98"/>
      <c r="M484" s="98"/>
      <c r="O484" s="10"/>
      <c r="P484" s="10"/>
    </row>
    <row r="485" spans="1:16" ht="12.75" x14ac:dyDescent="0.2">
      <c r="A485" s="119">
        <v>421</v>
      </c>
      <c r="B485" s="120" t="s">
        <v>85</v>
      </c>
      <c r="C485" s="120" t="s">
        <v>1197</v>
      </c>
      <c r="D485" s="149">
        <v>677</v>
      </c>
      <c r="E485" s="149">
        <v>507</v>
      </c>
      <c r="F485" s="149">
        <v>534</v>
      </c>
      <c r="G485" s="152">
        <v>1267</v>
      </c>
      <c r="H485" s="123">
        <v>2985</v>
      </c>
      <c r="K485" s="11"/>
      <c r="L485" s="98"/>
      <c r="M485" s="98"/>
      <c r="O485" s="10"/>
      <c r="P485" s="10"/>
    </row>
    <row r="486" spans="1:16" ht="12.75" x14ac:dyDescent="0.2">
      <c r="A486" s="119">
        <v>422</v>
      </c>
      <c r="B486" s="120" t="s">
        <v>85</v>
      </c>
      <c r="C486" s="120" t="s">
        <v>807</v>
      </c>
      <c r="D486" s="149">
        <v>186</v>
      </c>
      <c r="E486" s="149">
        <v>138</v>
      </c>
      <c r="F486" s="149">
        <v>147</v>
      </c>
      <c r="G486" s="149">
        <v>347</v>
      </c>
      <c r="H486" s="124">
        <v>818</v>
      </c>
      <c r="K486" s="11"/>
      <c r="L486" s="98"/>
      <c r="M486" s="98"/>
      <c r="O486" s="10"/>
      <c r="P486" s="10"/>
    </row>
    <row r="487" spans="1:16" ht="12.75" x14ac:dyDescent="0.2">
      <c r="A487" s="99"/>
      <c r="B487" s="151" t="s">
        <v>1198</v>
      </c>
      <c r="C487" s="105"/>
      <c r="D487" s="143">
        <v>510</v>
      </c>
      <c r="E487" s="143">
        <v>320</v>
      </c>
      <c r="F487" s="143">
        <v>370</v>
      </c>
      <c r="G487" s="143">
        <v>870</v>
      </c>
      <c r="H487" s="115">
        <v>2070</v>
      </c>
      <c r="K487" s="11"/>
      <c r="L487" s="98"/>
      <c r="M487" s="98"/>
      <c r="O487" s="10"/>
      <c r="P487" s="10"/>
    </row>
    <row r="488" spans="1:16" ht="12.75" x14ac:dyDescent="0.2">
      <c r="A488" s="119">
        <v>423</v>
      </c>
      <c r="B488" s="120" t="s">
        <v>1199</v>
      </c>
      <c r="C488" s="120" t="s">
        <v>1200</v>
      </c>
      <c r="D488" s="121">
        <v>108</v>
      </c>
      <c r="E488" s="121">
        <v>67</v>
      </c>
      <c r="F488" s="121">
        <v>87</v>
      </c>
      <c r="G488" s="121">
        <v>205</v>
      </c>
      <c r="H488" s="124">
        <v>467</v>
      </c>
      <c r="K488" s="11"/>
      <c r="L488" s="98"/>
      <c r="M488" s="98"/>
      <c r="O488" s="10"/>
      <c r="P488" s="10"/>
    </row>
    <row r="489" spans="1:16" ht="12.75" x14ac:dyDescent="0.2">
      <c r="A489" s="119">
        <v>424</v>
      </c>
      <c r="B489" s="120" t="s">
        <v>1199</v>
      </c>
      <c r="C489" s="120" t="s">
        <v>1201</v>
      </c>
      <c r="D489" s="121">
        <v>34</v>
      </c>
      <c r="E489" s="121">
        <v>22</v>
      </c>
      <c r="F489" s="121">
        <v>27</v>
      </c>
      <c r="G489" s="121">
        <v>64</v>
      </c>
      <c r="H489" s="124">
        <v>147</v>
      </c>
      <c r="K489" s="11"/>
      <c r="L489" s="98"/>
      <c r="M489" s="98"/>
      <c r="O489" s="10"/>
      <c r="P489" s="10"/>
    </row>
    <row r="490" spans="1:16" ht="12.75" x14ac:dyDescent="0.2">
      <c r="A490" s="119">
        <v>425</v>
      </c>
      <c r="B490" s="120" t="s">
        <v>1199</v>
      </c>
      <c r="C490" s="120" t="s">
        <v>807</v>
      </c>
      <c r="D490" s="121">
        <v>368</v>
      </c>
      <c r="E490" s="121">
        <v>231</v>
      </c>
      <c r="F490" s="121">
        <v>256</v>
      </c>
      <c r="G490" s="121">
        <v>601</v>
      </c>
      <c r="H490" s="123">
        <v>1456</v>
      </c>
      <c r="K490" s="11"/>
      <c r="L490" s="98"/>
      <c r="M490" s="98"/>
      <c r="O490" s="10"/>
      <c r="P490" s="10"/>
    </row>
    <row r="491" spans="1:16" ht="12.75" x14ac:dyDescent="0.2">
      <c r="A491" s="99"/>
      <c r="B491" s="151" t="s">
        <v>1202</v>
      </c>
      <c r="C491" s="105"/>
      <c r="D491" s="143">
        <v>60</v>
      </c>
      <c r="E491" s="143">
        <v>40</v>
      </c>
      <c r="F491" s="143">
        <v>40</v>
      </c>
      <c r="G491" s="143">
        <v>110</v>
      </c>
      <c r="H491" s="143">
        <v>250</v>
      </c>
      <c r="K491" s="11"/>
      <c r="L491" s="98"/>
      <c r="M491" s="98"/>
      <c r="O491" s="10"/>
      <c r="P491" s="10"/>
    </row>
    <row r="492" spans="1:16" ht="12.75" x14ac:dyDescent="0.2">
      <c r="A492" s="119">
        <v>426</v>
      </c>
      <c r="B492" s="120" t="s">
        <v>95</v>
      </c>
      <c r="C492" s="120" t="s">
        <v>1203</v>
      </c>
      <c r="D492" s="121">
        <v>5</v>
      </c>
      <c r="E492" s="121">
        <v>3</v>
      </c>
      <c r="F492" s="121">
        <v>3</v>
      </c>
      <c r="G492" s="121">
        <v>9</v>
      </c>
      <c r="H492" s="124">
        <v>20</v>
      </c>
      <c r="K492" s="11"/>
      <c r="L492" s="98"/>
      <c r="M492" s="98"/>
      <c r="O492" s="10"/>
      <c r="P492" s="10"/>
    </row>
    <row r="493" spans="1:16" ht="12.75" x14ac:dyDescent="0.2">
      <c r="A493" s="119">
        <v>427</v>
      </c>
      <c r="B493" s="120" t="s">
        <v>95</v>
      </c>
      <c r="C493" s="120" t="s">
        <v>1204</v>
      </c>
      <c r="D493" s="121">
        <v>1</v>
      </c>
      <c r="E493" s="121">
        <v>1</v>
      </c>
      <c r="F493" s="121">
        <v>1</v>
      </c>
      <c r="G493" s="121">
        <v>1</v>
      </c>
      <c r="H493" s="124">
        <v>4</v>
      </c>
      <c r="K493" s="11"/>
      <c r="L493" s="98"/>
      <c r="M493" s="98"/>
      <c r="O493" s="10"/>
      <c r="P493" s="10"/>
    </row>
    <row r="494" spans="1:16" ht="12.75" x14ac:dyDescent="0.2">
      <c r="A494" s="119">
        <v>428</v>
      </c>
      <c r="B494" s="120" t="s">
        <v>95</v>
      </c>
      <c r="C494" s="120" t="s">
        <v>1205</v>
      </c>
      <c r="D494" s="121">
        <v>11</v>
      </c>
      <c r="E494" s="121">
        <v>7</v>
      </c>
      <c r="F494" s="121">
        <v>7</v>
      </c>
      <c r="G494" s="121">
        <v>20</v>
      </c>
      <c r="H494" s="124">
        <v>45</v>
      </c>
      <c r="K494" s="11"/>
      <c r="L494" s="98"/>
      <c r="M494" s="98"/>
      <c r="O494" s="10"/>
      <c r="P494" s="10"/>
    </row>
    <row r="495" spans="1:16" ht="12.75" x14ac:dyDescent="0.2">
      <c r="A495" s="119">
        <v>429</v>
      </c>
      <c r="B495" s="120" t="s">
        <v>95</v>
      </c>
      <c r="C495" s="120" t="s">
        <v>1206</v>
      </c>
      <c r="D495" s="121">
        <v>3</v>
      </c>
      <c r="E495" s="121">
        <v>2</v>
      </c>
      <c r="F495" s="121">
        <v>2</v>
      </c>
      <c r="G495" s="121">
        <v>6</v>
      </c>
      <c r="H495" s="124">
        <v>13</v>
      </c>
      <c r="K495" s="11"/>
      <c r="L495" s="98"/>
      <c r="M495" s="98"/>
      <c r="O495" s="10"/>
      <c r="P495" s="10"/>
    </row>
    <row r="496" spans="1:16" ht="12.75" x14ac:dyDescent="0.2">
      <c r="A496" s="119">
        <v>430</v>
      </c>
      <c r="B496" s="120" t="s">
        <v>95</v>
      </c>
      <c r="C496" s="120" t="s">
        <v>807</v>
      </c>
      <c r="D496" s="121">
        <v>40</v>
      </c>
      <c r="E496" s="121">
        <v>27</v>
      </c>
      <c r="F496" s="121">
        <v>27</v>
      </c>
      <c r="G496" s="121">
        <v>74</v>
      </c>
      <c r="H496" s="124">
        <v>168</v>
      </c>
      <c r="K496" s="11"/>
      <c r="L496" s="98"/>
      <c r="M496" s="98"/>
      <c r="O496" s="10"/>
      <c r="P496" s="10"/>
    </row>
    <row r="497" spans="1:16" ht="12.75" x14ac:dyDescent="0.2">
      <c r="A497" s="99"/>
      <c r="B497" s="151" t="s">
        <v>1207</v>
      </c>
      <c r="C497" s="105"/>
      <c r="D497" s="115">
        <v>3850</v>
      </c>
      <c r="E497" s="115">
        <v>2740</v>
      </c>
      <c r="F497" s="115">
        <v>2535</v>
      </c>
      <c r="G497" s="115">
        <v>6725</v>
      </c>
      <c r="H497" s="115">
        <v>15850</v>
      </c>
      <c r="K497" s="11"/>
      <c r="L497" s="98"/>
      <c r="M497" s="98"/>
      <c r="O497" s="10"/>
      <c r="P497" s="10"/>
    </row>
    <row r="498" spans="1:16" ht="12.75" x14ac:dyDescent="0.2">
      <c r="A498" s="119">
        <v>431</v>
      </c>
      <c r="B498" s="120" t="s">
        <v>82</v>
      </c>
      <c r="C498" s="120" t="s">
        <v>1208</v>
      </c>
      <c r="D498" s="153">
        <v>429</v>
      </c>
      <c r="E498" s="153">
        <v>307</v>
      </c>
      <c r="F498" s="153">
        <v>281</v>
      </c>
      <c r="G498" s="153">
        <v>748</v>
      </c>
      <c r="H498" s="123">
        <v>1765</v>
      </c>
      <c r="K498" s="11"/>
      <c r="L498" s="98"/>
      <c r="M498" s="98"/>
      <c r="O498" s="10"/>
      <c r="P498" s="10"/>
    </row>
    <row r="499" spans="1:16" ht="12.75" x14ac:dyDescent="0.2">
      <c r="A499" s="119">
        <v>432</v>
      </c>
      <c r="B499" s="120" t="s">
        <v>82</v>
      </c>
      <c r="C499" s="120" t="s">
        <v>1209</v>
      </c>
      <c r="D499" s="153">
        <v>71</v>
      </c>
      <c r="E499" s="153">
        <v>27</v>
      </c>
      <c r="F499" s="153">
        <v>47</v>
      </c>
      <c r="G499" s="153">
        <v>124</v>
      </c>
      <c r="H499" s="124">
        <v>269</v>
      </c>
      <c r="K499" s="11"/>
      <c r="L499" s="98"/>
      <c r="M499" s="98"/>
      <c r="O499" s="10"/>
      <c r="P499" s="10"/>
    </row>
    <row r="500" spans="1:16" ht="12.75" x14ac:dyDescent="0.2">
      <c r="A500" s="119">
        <v>433</v>
      </c>
      <c r="B500" s="120" t="s">
        <v>82</v>
      </c>
      <c r="C500" s="120" t="s">
        <v>1210</v>
      </c>
      <c r="D500" s="153">
        <v>61</v>
      </c>
      <c r="E500" s="153">
        <v>56</v>
      </c>
      <c r="F500" s="153">
        <v>51</v>
      </c>
      <c r="G500" s="153">
        <v>136</v>
      </c>
      <c r="H500" s="124">
        <v>304</v>
      </c>
      <c r="K500" s="11"/>
      <c r="L500" s="98"/>
      <c r="M500" s="98"/>
      <c r="O500" s="10"/>
      <c r="P500" s="10"/>
    </row>
    <row r="501" spans="1:16" ht="12.75" x14ac:dyDescent="0.2">
      <c r="A501" s="119">
        <v>434</v>
      </c>
      <c r="B501" s="120" t="s">
        <v>82</v>
      </c>
      <c r="C501" s="120" t="s">
        <v>1211</v>
      </c>
      <c r="D501" s="153">
        <v>249</v>
      </c>
      <c r="E501" s="153">
        <v>178</v>
      </c>
      <c r="F501" s="153">
        <v>163</v>
      </c>
      <c r="G501" s="153">
        <v>435</v>
      </c>
      <c r="H501" s="123">
        <v>1025</v>
      </c>
      <c r="K501" s="11"/>
      <c r="L501" s="98"/>
      <c r="M501" s="98"/>
      <c r="O501" s="10"/>
      <c r="P501" s="10"/>
    </row>
    <row r="502" spans="1:16" ht="12.75" x14ac:dyDescent="0.2">
      <c r="A502" s="119">
        <v>435</v>
      </c>
      <c r="B502" s="120" t="s">
        <v>82</v>
      </c>
      <c r="C502" s="120" t="s">
        <v>1212</v>
      </c>
      <c r="D502" s="153">
        <v>604</v>
      </c>
      <c r="E502" s="153">
        <v>431</v>
      </c>
      <c r="F502" s="153">
        <v>396</v>
      </c>
      <c r="G502" s="154">
        <v>1049</v>
      </c>
      <c r="H502" s="123">
        <v>2480</v>
      </c>
      <c r="K502" s="11"/>
      <c r="L502" s="98"/>
      <c r="M502" s="98"/>
      <c r="O502" s="10"/>
      <c r="P502" s="10"/>
    </row>
    <row r="503" spans="1:16" ht="12.75" x14ac:dyDescent="0.2">
      <c r="A503" s="119">
        <v>436</v>
      </c>
      <c r="B503" s="120" t="s">
        <v>82</v>
      </c>
      <c r="C503" s="120" t="s">
        <v>82</v>
      </c>
      <c r="D503" s="154">
        <v>1351</v>
      </c>
      <c r="E503" s="153">
        <v>966</v>
      </c>
      <c r="F503" s="153">
        <v>886</v>
      </c>
      <c r="G503" s="154">
        <v>2348</v>
      </c>
      <c r="H503" s="123">
        <v>5551</v>
      </c>
      <c r="K503" s="11"/>
      <c r="L503" s="98"/>
      <c r="M503" s="98"/>
      <c r="O503" s="10"/>
      <c r="P503" s="10"/>
    </row>
    <row r="504" spans="1:16" ht="12.75" x14ac:dyDescent="0.2">
      <c r="A504" s="119">
        <v>437</v>
      </c>
      <c r="B504" s="120" t="s">
        <v>82</v>
      </c>
      <c r="C504" s="120" t="s">
        <v>807</v>
      </c>
      <c r="D504" s="154">
        <v>1085</v>
      </c>
      <c r="E504" s="153">
        <v>775</v>
      </c>
      <c r="F504" s="153">
        <v>711</v>
      </c>
      <c r="G504" s="154">
        <v>1885</v>
      </c>
      <c r="H504" s="123">
        <v>4456</v>
      </c>
      <c r="K504" s="11"/>
      <c r="L504" s="98"/>
      <c r="M504" s="98"/>
      <c r="O504" s="10"/>
      <c r="P504" s="10"/>
    </row>
    <row r="505" spans="1:16" ht="12.75" x14ac:dyDescent="0.2">
      <c r="A505" s="99"/>
      <c r="B505" s="151" t="s">
        <v>1213</v>
      </c>
      <c r="C505" s="105"/>
      <c r="D505" s="115">
        <v>9485</v>
      </c>
      <c r="E505" s="115">
        <v>6500</v>
      </c>
      <c r="F505" s="115">
        <v>7065</v>
      </c>
      <c r="G505" s="115">
        <v>17310</v>
      </c>
      <c r="H505" s="115">
        <v>40360</v>
      </c>
      <c r="K505" s="11"/>
      <c r="L505" s="98"/>
      <c r="M505" s="98"/>
      <c r="O505" s="10"/>
      <c r="P505" s="10"/>
    </row>
    <row r="506" spans="1:16" ht="12.75" x14ac:dyDescent="0.2">
      <c r="A506" s="119">
        <v>438</v>
      </c>
      <c r="B506" s="120" t="s">
        <v>59</v>
      </c>
      <c r="C506" s="120" t="s">
        <v>1214</v>
      </c>
      <c r="D506" s="153">
        <v>103</v>
      </c>
      <c r="E506" s="153">
        <v>66</v>
      </c>
      <c r="F506" s="153">
        <v>64</v>
      </c>
      <c r="G506" s="153">
        <v>192</v>
      </c>
      <c r="H506" s="124">
        <v>425</v>
      </c>
      <c r="K506" s="11"/>
      <c r="L506" s="98"/>
      <c r="M506" s="98"/>
      <c r="O506" s="10"/>
      <c r="P506" s="10"/>
    </row>
    <row r="507" spans="1:16" ht="12.75" x14ac:dyDescent="0.2">
      <c r="A507" s="119">
        <v>439</v>
      </c>
      <c r="B507" s="120" t="s">
        <v>59</v>
      </c>
      <c r="C507" s="120" t="s">
        <v>1215</v>
      </c>
      <c r="D507" s="154">
        <v>1019</v>
      </c>
      <c r="E507" s="153">
        <v>759</v>
      </c>
      <c r="F507" s="153">
        <v>957</v>
      </c>
      <c r="G507" s="154">
        <v>2421</v>
      </c>
      <c r="H507" s="123">
        <v>5156</v>
      </c>
      <c r="K507" s="11"/>
      <c r="L507" s="98"/>
      <c r="M507" s="98"/>
      <c r="O507" s="10"/>
      <c r="P507" s="10"/>
    </row>
    <row r="508" spans="1:16" ht="12.75" x14ac:dyDescent="0.2">
      <c r="A508" s="119">
        <v>440</v>
      </c>
      <c r="B508" s="120" t="s">
        <v>59</v>
      </c>
      <c r="C508" s="120" t="s">
        <v>1216</v>
      </c>
      <c r="D508" s="153">
        <v>497</v>
      </c>
      <c r="E508" s="153">
        <v>331</v>
      </c>
      <c r="F508" s="153">
        <v>333</v>
      </c>
      <c r="G508" s="153">
        <v>770</v>
      </c>
      <c r="H508" s="123">
        <v>1931</v>
      </c>
      <c r="K508" s="11"/>
      <c r="L508" s="98"/>
      <c r="M508" s="98"/>
      <c r="O508" s="10"/>
      <c r="P508" s="10"/>
    </row>
    <row r="509" spans="1:16" ht="12.75" x14ac:dyDescent="0.2">
      <c r="A509" s="119">
        <v>441</v>
      </c>
      <c r="B509" s="120" t="s">
        <v>59</v>
      </c>
      <c r="C509" s="120" t="s">
        <v>1217</v>
      </c>
      <c r="D509" s="153">
        <v>925</v>
      </c>
      <c r="E509" s="153">
        <v>693</v>
      </c>
      <c r="F509" s="153">
        <v>825</v>
      </c>
      <c r="G509" s="154">
        <v>1958</v>
      </c>
      <c r="H509" s="123">
        <v>4401</v>
      </c>
      <c r="K509" s="11"/>
      <c r="L509" s="98"/>
      <c r="M509" s="98"/>
      <c r="O509" s="10"/>
      <c r="P509" s="10"/>
    </row>
    <row r="510" spans="1:16" ht="12.75" x14ac:dyDescent="0.2">
      <c r="A510" s="119">
        <v>442</v>
      </c>
      <c r="B510" s="120" t="s">
        <v>59</v>
      </c>
      <c r="C510" s="120" t="s">
        <v>1218</v>
      </c>
      <c r="D510" s="153">
        <v>308</v>
      </c>
      <c r="E510" s="153">
        <v>215</v>
      </c>
      <c r="F510" s="153">
        <v>231</v>
      </c>
      <c r="G510" s="153">
        <v>726</v>
      </c>
      <c r="H510" s="123">
        <v>1480</v>
      </c>
      <c r="K510" s="11"/>
      <c r="L510" s="98"/>
      <c r="M510" s="98"/>
      <c r="O510" s="10"/>
      <c r="P510" s="10"/>
    </row>
    <row r="511" spans="1:16" ht="12.75" x14ac:dyDescent="0.2">
      <c r="A511" s="119">
        <v>443</v>
      </c>
      <c r="B511" s="120" t="s">
        <v>59</v>
      </c>
      <c r="C511" s="120" t="s">
        <v>1219</v>
      </c>
      <c r="D511" s="154">
        <v>3157</v>
      </c>
      <c r="E511" s="154">
        <v>2004</v>
      </c>
      <c r="F511" s="154">
        <v>2103</v>
      </c>
      <c r="G511" s="154">
        <v>4560</v>
      </c>
      <c r="H511" s="123">
        <v>11824</v>
      </c>
      <c r="K511" s="11"/>
      <c r="L511" s="98"/>
      <c r="M511" s="98"/>
      <c r="O511" s="10"/>
      <c r="P511" s="10"/>
    </row>
    <row r="512" spans="1:16" ht="12.75" x14ac:dyDescent="0.2">
      <c r="A512" s="119">
        <v>444</v>
      </c>
      <c r="B512" s="120" t="s">
        <v>59</v>
      </c>
      <c r="C512" s="120" t="s">
        <v>1220</v>
      </c>
      <c r="D512" s="153">
        <v>980</v>
      </c>
      <c r="E512" s="153">
        <v>705</v>
      </c>
      <c r="F512" s="153">
        <v>828</v>
      </c>
      <c r="G512" s="154">
        <v>2463</v>
      </c>
      <c r="H512" s="123">
        <v>4976</v>
      </c>
      <c r="K512" s="11"/>
      <c r="L512" s="98"/>
      <c r="M512" s="98"/>
      <c r="O512" s="10"/>
      <c r="P512" s="10"/>
    </row>
    <row r="513" spans="1:16" ht="12.75" x14ac:dyDescent="0.2">
      <c r="A513" s="119">
        <v>445</v>
      </c>
      <c r="B513" s="120" t="s">
        <v>59</v>
      </c>
      <c r="C513" s="120" t="s">
        <v>807</v>
      </c>
      <c r="D513" s="154">
        <v>2496</v>
      </c>
      <c r="E513" s="154">
        <v>1727</v>
      </c>
      <c r="F513" s="154">
        <v>1724</v>
      </c>
      <c r="G513" s="154">
        <v>4220</v>
      </c>
      <c r="H513" s="123">
        <v>10167</v>
      </c>
      <c r="K513" s="11"/>
      <c r="L513" s="98"/>
      <c r="M513" s="98"/>
      <c r="O513" s="10"/>
      <c r="P513" s="10"/>
    </row>
    <row r="514" spans="1:16" ht="12.75" x14ac:dyDescent="0.2">
      <c r="A514" s="99"/>
      <c r="B514" s="151" t="s">
        <v>1221</v>
      </c>
      <c r="C514" s="105"/>
      <c r="D514" s="115">
        <v>1020</v>
      </c>
      <c r="E514" s="143">
        <v>641</v>
      </c>
      <c r="F514" s="143">
        <v>720</v>
      </c>
      <c r="G514" s="115">
        <v>1710</v>
      </c>
      <c r="H514" s="115">
        <v>4091</v>
      </c>
      <c r="K514" s="11"/>
      <c r="L514" s="98"/>
      <c r="M514" s="98"/>
      <c r="O514" s="10"/>
      <c r="P514" s="10"/>
    </row>
    <row r="515" spans="1:16" ht="12.75" x14ac:dyDescent="0.2">
      <c r="A515" s="119">
        <v>446</v>
      </c>
      <c r="B515" s="120" t="s">
        <v>73</v>
      </c>
      <c r="C515" s="120" t="s">
        <v>1222</v>
      </c>
      <c r="D515" s="121">
        <v>60</v>
      </c>
      <c r="E515" s="121">
        <v>38</v>
      </c>
      <c r="F515" s="121">
        <v>43</v>
      </c>
      <c r="G515" s="121">
        <v>101</v>
      </c>
      <c r="H515" s="124">
        <v>242</v>
      </c>
      <c r="K515" s="11"/>
      <c r="L515" s="98"/>
      <c r="M515" s="98"/>
      <c r="O515" s="10"/>
      <c r="P515" s="10"/>
    </row>
    <row r="516" spans="1:16" ht="12.75" x14ac:dyDescent="0.2">
      <c r="A516" s="119">
        <v>447</v>
      </c>
      <c r="B516" s="120" t="s">
        <v>73</v>
      </c>
      <c r="C516" s="120" t="s">
        <v>1223</v>
      </c>
      <c r="D516" s="121">
        <v>98</v>
      </c>
      <c r="E516" s="121">
        <v>62</v>
      </c>
      <c r="F516" s="121">
        <v>69</v>
      </c>
      <c r="G516" s="121">
        <v>164</v>
      </c>
      <c r="H516" s="124">
        <v>393</v>
      </c>
      <c r="K516" s="11"/>
      <c r="L516" s="98"/>
      <c r="M516" s="98"/>
      <c r="O516" s="10"/>
      <c r="P516" s="10"/>
    </row>
    <row r="517" spans="1:16" ht="12.75" x14ac:dyDescent="0.2">
      <c r="A517" s="119">
        <v>448</v>
      </c>
      <c r="B517" s="120" t="s">
        <v>73</v>
      </c>
      <c r="C517" s="120" t="s">
        <v>1224</v>
      </c>
      <c r="D517" s="121">
        <v>41</v>
      </c>
      <c r="E517" s="121">
        <v>26</v>
      </c>
      <c r="F517" s="121">
        <v>29</v>
      </c>
      <c r="G517" s="121">
        <v>69</v>
      </c>
      <c r="H517" s="124">
        <v>165</v>
      </c>
      <c r="K517" s="11"/>
      <c r="L517" s="98"/>
      <c r="M517" s="98"/>
      <c r="O517" s="10"/>
      <c r="P517" s="10"/>
    </row>
    <row r="518" spans="1:16" ht="12.75" x14ac:dyDescent="0.2">
      <c r="A518" s="119">
        <v>449</v>
      </c>
      <c r="B518" s="120" t="s">
        <v>73</v>
      </c>
      <c r="C518" s="120" t="s">
        <v>1225</v>
      </c>
      <c r="D518" s="121">
        <v>39</v>
      </c>
      <c r="E518" s="121">
        <v>24</v>
      </c>
      <c r="F518" s="121">
        <v>27</v>
      </c>
      <c r="G518" s="121">
        <v>65</v>
      </c>
      <c r="H518" s="124">
        <v>155</v>
      </c>
      <c r="K518" s="11"/>
      <c r="L518" s="98"/>
      <c r="M518" s="98"/>
      <c r="O518" s="10"/>
      <c r="P518" s="10"/>
    </row>
    <row r="519" spans="1:16" ht="12.75" x14ac:dyDescent="0.2">
      <c r="A519" s="119">
        <v>450</v>
      </c>
      <c r="B519" s="120" t="s">
        <v>73</v>
      </c>
      <c r="C519" s="120" t="s">
        <v>1226</v>
      </c>
      <c r="D519" s="121">
        <v>123</v>
      </c>
      <c r="E519" s="121">
        <v>77</v>
      </c>
      <c r="F519" s="121">
        <v>87</v>
      </c>
      <c r="G519" s="121">
        <v>206</v>
      </c>
      <c r="H519" s="124">
        <v>493</v>
      </c>
      <c r="K519" s="11"/>
      <c r="L519" s="98"/>
      <c r="M519" s="98"/>
      <c r="O519" s="10"/>
      <c r="P519" s="10"/>
    </row>
    <row r="520" spans="1:16" ht="12.75" x14ac:dyDescent="0.2">
      <c r="A520" s="119">
        <v>451</v>
      </c>
      <c r="B520" s="120" t="s">
        <v>73</v>
      </c>
      <c r="C520" s="120" t="s">
        <v>1227</v>
      </c>
      <c r="D520" s="121">
        <v>38</v>
      </c>
      <c r="E520" s="121">
        <v>24</v>
      </c>
      <c r="F520" s="121">
        <v>27</v>
      </c>
      <c r="G520" s="121">
        <v>64</v>
      </c>
      <c r="H520" s="124">
        <v>153</v>
      </c>
      <c r="K520" s="11"/>
      <c r="L520" s="98"/>
      <c r="M520" s="98"/>
      <c r="O520" s="10"/>
      <c r="P520" s="10"/>
    </row>
    <row r="521" spans="1:16" ht="12.75" x14ac:dyDescent="0.2">
      <c r="A521" s="119">
        <v>452</v>
      </c>
      <c r="B521" s="120" t="s">
        <v>73</v>
      </c>
      <c r="C521" s="120" t="s">
        <v>73</v>
      </c>
      <c r="D521" s="121">
        <v>285</v>
      </c>
      <c r="E521" s="121">
        <v>179</v>
      </c>
      <c r="F521" s="121">
        <v>201</v>
      </c>
      <c r="G521" s="121">
        <v>478</v>
      </c>
      <c r="H521" s="123">
        <v>1143</v>
      </c>
      <c r="K521" s="11"/>
      <c r="L521" s="98"/>
      <c r="M521" s="98"/>
      <c r="O521" s="10"/>
      <c r="P521" s="10"/>
    </row>
    <row r="522" spans="1:16" ht="12.75" x14ac:dyDescent="0.2">
      <c r="A522" s="119">
        <v>453</v>
      </c>
      <c r="B522" s="120" t="s">
        <v>73</v>
      </c>
      <c r="C522" s="120" t="s">
        <v>807</v>
      </c>
      <c r="D522" s="121">
        <v>336</v>
      </c>
      <c r="E522" s="121">
        <v>211</v>
      </c>
      <c r="F522" s="121">
        <v>237</v>
      </c>
      <c r="G522" s="121">
        <v>563</v>
      </c>
      <c r="H522" s="123">
        <v>1347</v>
      </c>
      <c r="K522" s="11"/>
      <c r="L522" s="98"/>
      <c r="M522" s="98"/>
      <c r="O522" s="10"/>
      <c r="P522" s="10"/>
    </row>
    <row r="523" spans="1:16" ht="12.75" x14ac:dyDescent="0.2">
      <c r="A523" s="99"/>
      <c r="B523" s="109" t="s">
        <v>1228</v>
      </c>
      <c r="C523" s="105"/>
      <c r="D523" s="115">
        <v>2626</v>
      </c>
      <c r="E523" s="115">
        <v>1810</v>
      </c>
      <c r="F523" s="115">
        <v>2049</v>
      </c>
      <c r="G523" s="115">
        <v>4545</v>
      </c>
      <c r="H523" s="115">
        <v>11030</v>
      </c>
      <c r="K523" s="11"/>
      <c r="L523" s="98"/>
      <c r="M523" s="98"/>
      <c r="O523" s="10"/>
      <c r="P523" s="10"/>
    </row>
    <row r="524" spans="1:16" ht="12.75" x14ac:dyDescent="0.2">
      <c r="A524" s="119">
        <v>454</v>
      </c>
      <c r="B524" s="120" t="s">
        <v>66</v>
      </c>
      <c r="C524" s="120" t="s">
        <v>1229</v>
      </c>
      <c r="D524" s="155">
        <v>66</v>
      </c>
      <c r="E524" s="155">
        <v>44</v>
      </c>
      <c r="F524" s="155">
        <v>41</v>
      </c>
      <c r="G524" s="155">
        <v>124</v>
      </c>
      <c r="H524" s="124">
        <v>275</v>
      </c>
      <c r="K524" s="11"/>
      <c r="L524" s="98"/>
      <c r="M524" s="98"/>
      <c r="O524" s="10"/>
      <c r="P524" s="10"/>
    </row>
    <row r="525" spans="1:16" ht="12.75" x14ac:dyDescent="0.2">
      <c r="A525" s="119">
        <v>455</v>
      </c>
      <c r="B525" s="120" t="s">
        <v>66</v>
      </c>
      <c r="C525" s="120" t="s">
        <v>1230</v>
      </c>
      <c r="D525" s="155">
        <v>39</v>
      </c>
      <c r="E525" s="155">
        <v>26</v>
      </c>
      <c r="F525" s="155">
        <v>34</v>
      </c>
      <c r="G525" s="155">
        <v>64</v>
      </c>
      <c r="H525" s="124">
        <v>163</v>
      </c>
      <c r="K525" s="11"/>
      <c r="L525" s="98"/>
      <c r="M525" s="98"/>
      <c r="O525" s="10"/>
      <c r="P525" s="10"/>
    </row>
    <row r="526" spans="1:16" ht="12.75" x14ac:dyDescent="0.2">
      <c r="A526" s="119">
        <v>456</v>
      </c>
      <c r="B526" s="120" t="s">
        <v>66</v>
      </c>
      <c r="C526" s="120" t="s">
        <v>1231</v>
      </c>
      <c r="D526" s="155">
        <v>235</v>
      </c>
      <c r="E526" s="155">
        <v>157</v>
      </c>
      <c r="F526" s="155">
        <v>174</v>
      </c>
      <c r="G526" s="155">
        <v>413</v>
      </c>
      <c r="H526" s="124">
        <v>979</v>
      </c>
      <c r="K526" s="11"/>
      <c r="L526" s="98"/>
      <c r="M526" s="98"/>
      <c r="O526" s="10"/>
      <c r="P526" s="10"/>
    </row>
    <row r="527" spans="1:16" ht="12.75" x14ac:dyDescent="0.2">
      <c r="A527" s="119">
        <v>457</v>
      </c>
      <c r="B527" s="120" t="s">
        <v>66</v>
      </c>
      <c r="C527" s="120" t="s">
        <v>1232</v>
      </c>
      <c r="D527" s="155">
        <v>12</v>
      </c>
      <c r="E527" s="155">
        <v>8</v>
      </c>
      <c r="F527" s="155">
        <v>13</v>
      </c>
      <c r="G527" s="155">
        <v>16</v>
      </c>
      <c r="H527" s="124">
        <v>49</v>
      </c>
      <c r="K527" s="11"/>
      <c r="L527" s="98"/>
      <c r="M527" s="98"/>
      <c r="O527" s="10"/>
      <c r="P527" s="10"/>
    </row>
    <row r="528" spans="1:16" ht="12.75" x14ac:dyDescent="0.2">
      <c r="A528" s="119">
        <v>458</v>
      </c>
      <c r="B528" s="120" t="s">
        <v>66</v>
      </c>
      <c r="C528" s="120" t="s">
        <v>1233</v>
      </c>
      <c r="D528" s="155">
        <v>126</v>
      </c>
      <c r="E528" s="155">
        <v>84</v>
      </c>
      <c r="F528" s="155">
        <v>95</v>
      </c>
      <c r="G528" s="155">
        <v>221</v>
      </c>
      <c r="H528" s="124">
        <v>526</v>
      </c>
      <c r="K528" s="11"/>
      <c r="L528" s="98"/>
      <c r="M528" s="98"/>
      <c r="O528" s="10"/>
      <c r="P528" s="10"/>
    </row>
    <row r="529" spans="1:16" ht="12.75" x14ac:dyDescent="0.2">
      <c r="A529" s="119">
        <v>459</v>
      </c>
      <c r="B529" s="120" t="s">
        <v>66</v>
      </c>
      <c r="C529" s="120" t="s">
        <v>66</v>
      </c>
      <c r="D529" s="155">
        <v>962</v>
      </c>
      <c r="E529" s="155">
        <v>701</v>
      </c>
      <c r="F529" s="155">
        <v>820</v>
      </c>
      <c r="G529" s="156">
        <v>1617</v>
      </c>
      <c r="H529" s="123">
        <v>4100</v>
      </c>
      <c r="K529" s="11"/>
      <c r="L529" s="98"/>
      <c r="M529" s="98"/>
      <c r="O529" s="10"/>
      <c r="P529" s="10"/>
    </row>
    <row r="530" spans="1:16" ht="12.75" x14ac:dyDescent="0.2">
      <c r="A530" s="119">
        <v>460</v>
      </c>
      <c r="B530" s="120" t="s">
        <v>66</v>
      </c>
      <c r="C530" s="120" t="s">
        <v>1234</v>
      </c>
      <c r="D530" s="155">
        <v>985</v>
      </c>
      <c r="E530" s="155">
        <v>656</v>
      </c>
      <c r="F530" s="155">
        <v>730</v>
      </c>
      <c r="G530" s="156">
        <v>1731</v>
      </c>
      <c r="H530" s="123">
        <v>4102</v>
      </c>
      <c r="K530" s="11"/>
      <c r="L530" s="98"/>
      <c r="M530" s="98"/>
      <c r="O530" s="10"/>
      <c r="P530" s="10"/>
    </row>
    <row r="531" spans="1:16" ht="12.75" x14ac:dyDescent="0.2">
      <c r="A531" s="119">
        <v>461</v>
      </c>
      <c r="B531" s="136" t="s">
        <v>66</v>
      </c>
      <c r="C531" s="120" t="s">
        <v>1235</v>
      </c>
      <c r="D531" s="155">
        <v>42</v>
      </c>
      <c r="E531" s="155">
        <v>28</v>
      </c>
      <c r="F531" s="155">
        <v>30</v>
      </c>
      <c r="G531" s="155">
        <v>75</v>
      </c>
      <c r="H531" s="124">
        <v>175</v>
      </c>
      <c r="K531" s="11"/>
      <c r="L531" s="98"/>
      <c r="M531" s="98"/>
      <c r="O531" s="10"/>
      <c r="P531" s="10"/>
    </row>
    <row r="532" spans="1:16" ht="12.75" x14ac:dyDescent="0.2">
      <c r="A532" s="119">
        <v>462</v>
      </c>
      <c r="B532" s="120" t="s">
        <v>66</v>
      </c>
      <c r="C532" s="120" t="s">
        <v>807</v>
      </c>
      <c r="D532" s="155">
        <v>159</v>
      </c>
      <c r="E532" s="155">
        <v>106</v>
      </c>
      <c r="F532" s="155">
        <v>112</v>
      </c>
      <c r="G532" s="155">
        <v>284</v>
      </c>
      <c r="H532" s="124">
        <v>661</v>
      </c>
      <c r="K532" s="11"/>
      <c r="L532" s="98"/>
      <c r="M532" s="98"/>
      <c r="O532" s="10"/>
      <c r="P532" s="10"/>
    </row>
    <row r="533" spans="1:16" ht="12.75" x14ac:dyDescent="0.2">
      <c r="A533" s="99"/>
      <c r="B533" s="151" t="s">
        <v>1236</v>
      </c>
      <c r="C533" s="105"/>
      <c r="D533" s="115">
        <v>5225</v>
      </c>
      <c r="E533" s="115">
        <v>3350</v>
      </c>
      <c r="F533" s="115">
        <v>3670</v>
      </c>
      <c r="G533" s="115">
        <v>9085</v>
      </c>
      <c r="H533" s="115">
        <v>21330</v>
      </c>
      <c r="K533" s="11"/>
      <c r="L533" s="98"/>
      <c r="M533" s="98"/>
      <c r="O533" s="10"/>
      <c r="P533" s="10"/>
    </row>
    <row r="534" spans="1:16" ht="12.75" x14ac:dyDescent="0.2">
      <c r="A534" s="119">
        <v>463</v>
      </c>
      <c r="B534" s="120" t="s">
        <v>67</v>
      </c>
      <c r="C534" s="120" t="s">
        <v>1237</v>
      </c>
      <c r="D534" s="157">
        <v>622</v>
      </c>
      <c r="E534" s="157">
        <v>399</v>
      </c>
      <c r="F534" s="157">
        <v>446</v>
      </c>
      <c r="G534" s="157">
        <v>1104</v>
      </c>
      <c r="H534" s="123">
        <v>2571</v>
      </c>
      <c r="K534" s="11"/>
      <c r="L534" s="98"/>
      <c r="M534" s="98"/>
      <c r="O534" s="10"/>
      <c r="P534" s="10"/>
    </row>
    <row r="535" spans="1:16" ht="12.75" x14ac:dyDescent="0.2">
      <c r="A535" s="119">
        <v>464</v>
      </c>
      <c r="B535" s="120" t="s">
        <v>67</v>
      </c>
      <c r="C535" s="120" t="s">
        <v>1238</v>
      </c>
      <c r="D535" s="157">
        <v>53</v>
      </c>
      <c r="E535" s="157">
        <v>34</v>
      </c>
      <c r="F535" s="157">
        <v>38</v>
      </c>
      <c r="G535" s="157">
        <v>93</v>
      </c>
      <c r="H535" s="124">
        <v>218</v>
      </c>
      <c r="K535" s="11"/>
      <c r="L535" s="98"/>
      <c r="M535" s="98"/>
      <c r="O535" s="10"/>
      <c r="P535" s="10"/>
    </row>
    <row r="536" spans="1:16" ht="12.75" x14ac:dyDescent="0.2">
      <c r="A536" s="119">
        <v>465</v>
      </c>
      <c r="B536" s="120" t="s">
        <v>67</v>
      </c>
      <c r="C536" s="120" t="s">
        <v>1239</v>
      </c>
      <c r="D536" s="157">
        <v>1546</v>
      </c>
      <c r="E536" s="157">
        <v>991</v>
      </c>
      <c r="F536" s="157">
        <v>1100</v>
      </c>
      <c r="G536" s="157">
        <v>2724</v>
      </c>
      <c r="H536" s="123">
        <v>6361</v>
      </c>
      <c r="K536" s="11"/>
      <c r="L536" s="98"/>
      <c r="M536" s="98"/>
      <c r="O536" s="10"/>
      <c r="P536" s="10"/>
    </row>
    <row r="537" spans="1:16" ht="12.75" x14ac:dyDescent="0.2">
      <c r="A537" s="119">
        <v>466</v>
      </c>
      <c r="B537" s="120" t="s">
        <v>67</v>
      </c>
      <c r="C537" s="120" t="s">
        <v>1240</v>
      </c>
      <c r="D537" s="157">
        <v>186</v>
      </c>
      <c r="E537" s="157">
        <v>119</v>
      </c>
      <c r="F537" s="157">
        <v>136</v>
      </c>
      <c r="G537" s="157">
        <v>337</v>
      </c>
      <c r="H537" s="124">
        <v>778</v>
      </c>
      <c r="K537" s="11"/>
      <c r="L537" s="98"/>
      <c r="M537" s="98"/>
      <c r="O537" s="10"/>
      <c r="P537" s="10"/>
    </row>
    <row r="538" spans="1:16" ht="12.75" x14ac:dyDescent="0.2">
      <c r="A538" s="119">
        <v>467</v>
      </c>
      <c r="B538" s="120" t="s">
        <v>67</v>
      </c>
      <c r="C538" s="120" t="s">
        <v>1241</v>
      </c>
      <c r="D538" s="157">
        <v>315</v>
      </c>
      <c r="E538" s="157">
        <v>202</v>
      </c>
      <c r="F538" s="157">
        <v>210</v>
      </c>
      <c r="G538" s="157">
        <v>520</v>
      </c>
      <c r="H538" s="123">
        <v>1247</v>
      </c>
      <c r="K538" s="11"/>
      <c r="L538" s="98"/>
      <c r="M538" s="98"/>
      <c r="O538" s="10"/>
      <c r="P538" s="10"/>
    </row>
    <row r="539" spans="1:16" ht="12.75" x14ac:dyDescent="0.2">
      <c r="A539" s="119">
        <v>468</v>
      </c>
      <c r="B539" s="120" t="s">
        <v>67</v>
      </c>
      <c r="C539" s="120" t="s">
        <v>1242</v>
      </c>
      <c r="D539" s="157">
        <v>636</v>
      </c>
      <c r="E539" s="157">
        <v>408</v>
      </c>
      <c r="F539" s="157">
        <v>416</v>
      </c>
      <c r="G539" s="157">
        <v>1031</v>
      </c>
      <c r="H539" s="123">
        <v>2491</v>
      </c>
      <c r="K539" s="11"/>
      <c r="L539" s="98"/>
      <c r="M539" s="98"/>
      <c r="O539" s="10"/>
      <c r="P539" s="10"/>
    </row>
    <row r="540" spans="1:16" ht="12.75" x14ac:dyDescent="0.2">
      <c r="A540" s="119">
        <v>469</v>
      </c>
      <c r="B540" s="120" t="s">
        <v>67</v>
      </c>
      <c r="C540" s="120" t="s">
        <v>1243</v>
      </c>
      <c r="D540" s="157">
        <v>321</v>
      </c>
      <c r="E540" s="157">
        <v>206</v>
      </c>
      <c r="F540" s="157">
        <v>217</v>
      </c>
      <c r="G540" s="157">
        <v>536</v>
      </c>
      <c r="H540" s="123">
        <v>1280</v>
      </c>
      <c r="K540" s="11"/>
      <c r="L540" s="98"/>
      <c r="M540" s="98"/>
      <c r="O540" s="10"/>
      <c r="P540" s="10"/>
    </row>
    <row r="541" spans="1:16" ht="12.75" x14ac:dyDescent="0.2">
      <c r="A541" s="119">
        <v>470</v>
      </c>
      <c r="B541" s="120" t="s">
        <v>67</v>
      </c>
      <c r="C541" s="120" t="s">
        <v>1244</v>
      </c>
      <c r="D541" s="157">
        <v>877</v>
      </c>
      <c r="E541" s="157">
        <v>562</v>
      </c>
      <c r="F541" s="157">
        <v>627</v>
      </c>
      <c r="G541" s="157">
        <v>1552</v>
      </c>
      <c r="H541" s="123">
        <v>3618</v>
      </c>
      <c r="K541" s="11"/>
      <c r="L541" s="98"/>
      <c r="M541" s="98"/>
      <c r="O541" s="10"/>
      <c r="P541" s="10"/>
    </row>
    <row r="542" spans="1:16" ht="12.75" x14ac:dyDescent="0.2">
      <c r="A542" s="119">
        <v>471</v>
      </c>
      <c r="B542" s="120" t="s">
        <v>67</v>
      </c>
      <c r="C542" s="120" t="s">
        <v>1245</v>
      </c>
      <c r="D542" s="157">
        <v>131</v>
      </c>
      <c r="E542" s="157">
        <v>84</v>
      </c>
      <c r="F542" s="157">
        <v>89</v>
      </c>
      <c r="G542" s="157">
        <v>221</v>
      </c>
      <c r="H542" s="124">
        <v>525</v>
      </c>
      <c r="K542" s="11"/>
      <c r="L542" s="98"/>
      <c r="M542" s="98"/>
      <c r="O542" s="10"/>
      <c r="P542" s="10"/>
    </row>
    <row r="543" spans="1:16" ht="12.75" x14ac:dyDescent="0.2">
      <c r="A543" s="119">
        <v>472</v>
      </c>
      <c r="B543" s="120" t="s">
        <v>67</v>
      </c>
      <c r="C543" s="120" t="s">
        <v>807</v>
      </c>
      <c r="D543" s="157">
        <v>538</v>
      </c>
      <c r="E543" s="157">
        <v>345</v>
      </c>
      <c r="F543" s="157">
        <v>391</v>
      </c>
      <c r="G543" s="157">
        <v>967</v>
      </c>
      <c r="H543" s="123">
        <v>2241</v>
      </c>
      <c r="K543" s="11"/>
      <c r="L543" s="98"/>
      <c r="M543" s="98"/>
      <c r="O543" s="10"/>
      <c r="P543" s="10"/>
    </row>
    <row r="544" spans="1:16" ht="12.75" x14ac:dyDescent="0.2">
      <c r="A544" s="99"/>
      <c r="B544" s="151" t="s">
        <v>1246</v>
      </c>
      <c r="C544" s="105"/>
      <c r="D544" s="115">
        <v>6215</v>
      </c>
      <c r="E544" s="115">
        <v>4655</v>
      </c>
      <c r="F544" s="115">
        <v>4575</v>
      </c>
      <c r="G544" s="115">
        <v>11465</v>
      </c>
      <c r="H544" s="115">
        <v>26910</v>
      </c>
      <c r="K544" s="11"/>
      <c r="L544" s="98"/>
      <c r="M544" s="98"/>
      <c r="O544" s="10"/>
      <c r="P544" s="10"/>
    </row>
    <row r="545" spans="1:16" ht="12.75" x14ac:dyDescent="0.2">
      <c r="A545" s="119">
        <v>473</v>
      </c>
      <c r="B545" s="120" t="s">
        <v>64</v>
      </c>
      <c r="C545" s="120" t="s">
        <v>1247</v>
      </c>
      <c r="D545" s="157">
        <v>211</v>
      </c>
      <c r="E545" s="157">
        <v>163</v>
      </c>
      <c r="F545" s="157">
        <v>121</v>
      </c>
      <c r="G545" s="157">
        <v>470</v>
      </c>
      <c r="H545" s="124">
        <v>965</v>
      </c>
      <c r="K545" s="11"/>
      <c r="L545" s="98"/>
      <c r="M545" s="98"/>
      <c r="O545" s="10"/>
      <c r="P545" s="10"/>
    </row>
    <row r="546" spans="1:16" ht="12.75" x14ac:dyDescent="0.2">
      <c r="A546" s="119">
        <v>474</v>
      </c>
      <c r="B546" s="120" t="s">
        <v>64</v>
      </c>
      <c r="C546" s="120" t="s">
        <v>1248</v>
      </c>
      <c r="D546" s="157">
        <v>143</v>
      </c>
      <c r="E546" s="157">
        <v>125</v>
      </c>
      <c r="F546" s="157">
        <v>85</v>
      </c>
      <c r="G546" s="157">
        <v>272</v>
      </c>
      <c r="H546" s="124">
        <v>625</v>
      </c>
      <c r="K546" s="11"/>
      <c r="L546" s="98"/>
      <c r="M546" s="98"/>
      <c r="O546" s="10"/>
      <c r="P546" s="10"/>
    </row>
    <row r="547" spans="1:16" ht="12.75" x14ac:dyDescent="0.2">
      <c r="A547" s="119">
        <v>475</v>
      </c>
      <c r="B547" s="120" t="s">
        <v>64</v>
      </c>
      <c r="C547" s="120" t="s">
        <v>1249</v>
      </c>
      <c r="D547" s="157">
        <v>74</v>
      </c>
      <c r="E547" s="157">
        <v>65</v>
      </c>
      <c r="F547" s="157">
        <v>68</v>
      </c>
      <c r="G547" s="157">
        <v>259</v>
      </c>
      <c r="H547" s="124">
        <v>466</v>
      </c>
      <c r="K547" s="11"/>
      <c r="L547" s="98"/>
      <c r="M547" s="98"/>
      <c r="O547" s="10"/>
      <c r="P547" s="10"/>
    </row>
    <row r="548" spans="1:16" ht="12.75" x14ac:dyDescent="0.2">
      <c r="A548" s="119">
        <v>476</v>
      </c>
      <c r="B548" s="120" t="s">
        <v>64</v>
      </c>
      <c r="C548" s="120" t="s">
        <v>1250</v>
      </c>
      <c r="D548" s="157">
        <v>80</v>
      </c>
      <c r="E548" s="157">
        <v>80</v>
      </c>
      <c r="F548" s="157">
        <v>82</v>
      </c>
      <c r="G548" s="157">
        <v>348</v>
      </c>
      <c r="H548" s="124">
        <v>590</v>
      </c>
      <c r="K548" s="11"/>
      <c r="L548" s="98"/>
      <c r="M548" s="98"/>
      <c r="O548" s="10"/>
      <c r="P548" s="10"/>
    </row>
    <row r="549" spans="1:16" ht="12.75" x14ac:dyDescent="0.2">
      <c r="A549" s="119">
        <v>477</v>
      </c>
      <c r="B549" s="120" t="s">
        <v>64</v>
      </c>
      <c r="C549" s="120" t="s">
        <v>1251</v>
      </c>
      <c r="D549" s="157">
        <v>623</v>
      </c>
      <c r="E549" s="157">
        <v>576</v>
      </c>
      <c r="F549" s="157">
        <v>566</v>
      </c>
      <c r="G549" s="157">
        <v>1431</v>
      </c>
      <c r="H549" s="123">
        <v>3196</v>
      </c>
      <c r="K549" s="11"/>
      <c r="L549" s="98"/>
      <c r="M549" s="98"/>
      <c r="O549" s="10"/>
      <c r="P549" s="10"/>
    </row>
    <row r="550" spans="1:16" ht="12.75" x14ac:dyDescent="0.2">
      <c r="A550" s="119">
        <v>478</v>
      </c>
      <c r="B550" s="120" t="s">
        <v>64</v>
      </c>
      <c r="C550" s="120" t="s">
        <v>64</v>
      </c>
      <c r="D550" s="157">
        <v>920</v>
      </c>
      <c r="E550" s="157">
        <v>609</v>
      </c>
      <c r="F550" s="157">
        <v>613</v>
      </c>
      <c r="G550" s="157">
        <v>1452</v>
      </c>
      <c r="H550" s="123">
        <v>3594</v>
      </c>
      <c r="K550" s="11"/>
      <c r="L550" s="98"/>
      <c r="M550" s="98"/>
      <c r="O550" s="10"/>
      <c r="P550" s="10"/>
    </row>
    <row r="551" spans="1:16" ht="12.75" x14ac:dyDescent="0.2">
      <c r="A551" s="119">
        <v>479</v>
      </c>
      <c r="B551" s="120" t="s">
        <v>64</v>
      </c>
      <c r="C551" s="120" t="s">
        <v>1252</v>
      </c>
      <c r="D551" s="157">
        <v>2616</v>
      </c>
      <c r="E551" s="157">
        <v>1931</v>
      </c>
      <c r="F551" s="157">
        <v>1802</v>
      </c>
      <c r="G551" s="157">
        <v>3672</v>
      </c>
      <c r="H551" s="123">
        <v>10021</v>
      </c>
      <c r="K551" s="11"/>
      <c r="L551" s="98"/>
      <c r="M551" s="98"/>
      <c r="O551" s="10"/>
      <c r="P551" s="10"/>
    </row>
    <row r="552" spans="1:16" ht="12.75" x14ac:dyDescent="0.2">
      <c r="A552" s="119">
        <v>480</v>
      </c>
      <c r="B552" s="120" t="s">
        <v>64</v>
      </c>
      <c r="C552" s="120" t="s">
        <v>1253</v>
      </c>
      <c r="D552" s="157">
        <v>71</v>
      </c>
      <c r="E552" s="157">
        <v>41</v>
      </c>
      <c r="F552" s="157">
        <v>69</v>
      </c>
      <c r="G552" s="157">
        <v>191</v>
      </c>
      <c r="H552" s="124">
        <v>372</v>
      </c>
      <c r="K552" s="11"/>
      <c r="L552" s="98"/>
      <c r="M552" s="98"/>
      <c r="O552" s="10"/>
      <c r="P552" s="10"/>
    </row>
    <row r="553" spans="1:16" ht="12.75" x14ac:dyDescent="0.2">
      <c r="A553" s="119">
        <v>481</v>
      </c>
      <c r="B553" s="120" t="s">
        <v>64</v>
      </c>
      <c r="C553" s="120" t="s">
        <v>807</v>
      </c>
      <c r="D553" s="157">
        <v>1477</v>
      </c>
      <c r="E553" s="157">
        <v>1065</v>
      </c>
      <c r="F553" s="157">
        <v>1169</v>
      </c>
      <c r="G553" s="157">
        <v>3370</v>
      </c>
      <c r="H553" s="123">
        <v>7081</v>
      </c>
      <c r="K553" s="11"/>
      <c r="L553" s="98"/>
      <c r="M553" s="98"/>
      <c r="O553" s="10"/>
      <c r="P553" s="10"/>
    </row>
    <row r="554" spans="1:16" ht="12.75" x14ac:dyDescent="0.2">
      <c r="A554" s="99"/>
      <c r="B554" s="158"/>
      <c r="C554" s="159"/>
      <c r="D554" s="160"/>
      <c r="E554" s="160"/>
      <c r="F554" s="160"/>
      <c r="G554" s="160"/>
      <c r="H554" s="161"/>
      <c r="K554" s="11"/>
      <c r="L554" s="98"/>
      <c r="M554" s="98"/>
      <c r="O554" s="10"/>
      <c r="P554" s="10"/>
    </row>
    <row r="555" spans="1:16" ht="12.75" x14ac:dyDescent="0.2">
      <c r="A555" s="99"/>
      <c r="B555" s="343" t="s">
        <v>1254</v>
      </c>
      <c r="C555" s="333"/>
      <c r="D555" s="162"/>
      <c r="E555" s="162"/>
      <c r="F555" s="162"/>
      <c r="G555" s="162"/>
      <c r="H555" s="162"/>
      <c r="K555" s="11"/>
      <c r="L555" s="98"/>
      <c r="M555" s="98"/>
      <c r="O555" s="10"/>
      <c r="P555" s="10"/>
    </row>
    <row r="556" spans="1:16" ht="12.75" x14ac:dyDescent="0.2">
      <c r="A556" s="119">
        <v>482</v>
      </c>
      <c r="B556" s="116" t="s">
        <v>1255</v>
      </c>
      <c r="C556" s="105"/>
      <c r="D556" s="163">
        <v>7</v>
      </c>
      <c r="E556" s="163">
        <v>6</v>
      </c>
      <c r="F556" s="163">
        <v>6</v>
      </c>
      <c r="G556" s="163">
        <v>11</v>
      </c>
      <c r="H556" s="143">
        <v>30</v>
      </c>
      <c r="K556" s="11"/>
      <c r="L556" s="98"/>
      <c r="M556" s="98"/>
      <c r="O556" s="10"/>
      <c r="P556" s="10"/>
    </row>
    <row r="557" spans="1:16" ht="12.75" x14ac:dyDescent="0.2">
      <c r="A557" s="99"/>
      <c r="B557" s="116" t="s">
        <v>99</v>
      </c>
      <c r="C557" s="105"/>
      <c r="D557" s="143">
        <v>21</v>
      </c>
      <c r="E557" s="143">
        <v>17</v>
      </c>
      <c r="F557" s="143">
        <v>19</v>
      </c>
      <c r="G557" s="143">
        <v>43</v>
      </c>
      <c r="H557" s="143">
        <v>100</v>
      </c>
      <c r="K557" s="11"/>
      <c r="L557" s="98"/>
      <c r="M557" s="98"/>
      <c r="O557" s="10"/>
      <c r="P557" s="10"/>
    </row>
    <row r="558" spans="1:16" ht="12.75" x14ac:dyDescent="0.2">
      <c r="A558" s="119">
        <v>483</v>
      </c>
      <c r="B558" s="120" t="s">
        <v>99</v>
      </c>
      <c r="C558" s="120" t="s">
        <v>1256</v>
      </c>
      <c r="D558" s="121">
        <v>1</v>
      </c>
      <c r="E558" s="121">
        <v>1</v>
      </c>
      <c r="F558" s="121" t="s">
        <v>831</v>
      </c>
      <c r="G558" s="121" t="s">
        <v>831</v>
      </c>
      <c r="H558" s="124">
        <v>2</v>
      </c>
      <c r="K558" s="11"/>
      <c r="L558" s="98"/>
      <c r="M558" s="98"/>
      <c r="O558" s="10"/>
      <c r="P558" s="10"/>
    </row>
    <row r="559" spans="1:16" ht="12.75" x14ac:dyDescent="0.2">
      <c r="A559" s="119">
        <v>484</v>
      </c>
      <c r="B559" s="120" t="s">
        <v>99</v>
      </c>
      <c r="C559" s="120" t="s">
        <v>1257</v>
      </c>
      <c r="D559" s="121">
        <v>3</v>
      </c>
      <c r="E559" s="121">
        <v>3</v>
      </c>
      <c r="F559" s="121">
        <v>3</v>
      </c>
      <c r="G559" s="121">
        <v>7</v>
      </c>
      <c r="H559" s="124">
        <v>16</v>
      </c>
      <c r="K559" s="11"/>
      <c r="L559" s="98"/>
      <c r="M559" s="98"/>
      <c r="O559" s="10"/>
      <c r="P559" s="10"/>
    </row>
    <row r="560" spans="1:16" ht="12.75" x14ac:dyDescent="0.2">
      <c r="A560" s="119">
        <v>485</v>
      </c>
      <c r="B560" s="120" t="s">
        <v>99</v>
      </c>
      <c r="C560" s="120" t="s">
        <v>1258</v>
      </c>
      <c r="D560" s="121">
        <v>4</v>
      </c>
      <c r="E560" s="121">
        <v>3</v>
      </c>
      <c r="F560" s="121">
        <v>4</v>
      </c>
      <c r="G560" s="121">
        <v>8</v>
      </c>
      <c r="H560" s="124">
        <v>19</v>
      </c>
      <c r="K560" s="11"/>
      <c r="L560" s="98"/>
      <c r="M560" s="98"/>
      <c r="O560" s="10"/>
      <c r="P560" s="10"/>
    </row>
    <row r="561" spans="1:16" ht="12.75" x14ac:dyDescent="0.2">
      <c r="A561" s="119">
        <v>486</v>
      </c>
      <c r="B561" s="120" t="s">
        <v>99</v>
      </c>
      <c r="C561" s="120" t="s">
        <v>1259</v>
      </c>
      <c r="D561" s="121">
        <v>1</v>
      </c>
      <c r="E561" s="121">
        <v>1</v>
      </c>
      <c r="F561" s="121">
        <v>1</v>
      </c>
      <c r="G561" s="121">
        <v>1</v>
      </c>
      <c r="H561" s="124">
        <v>4</v>
      </c>
      <c r="K561" s="11"/>
      <c r="L561" s="98"/>
      <c r="M561" s="98"/>
      <c r="O561" s="10"/>
      <c r="P561" s="10"/>
    </row>
    <row r="562" spans="1:16" ht="12.75" x14ac:dyDescent="0.2">
      <c r="A562" s="119">
        <v>487</v>
      </c>
      <c r="B562" s="120" t="s">
        <v>99</v>
      </c>
      <c r="C562" s="120" t="s">
        <v>1260</v>
      </c>
      <c r="D562" s="121">
        <v>2</v>
      </c>
      <c r="E562" s="121">
        <v>2</v>
      </c>
      <c r="F562" s="121">
        <v>2</v>
      </c>
      <c r="G562" s="121">
        <v>4</v>
      </c>
      <c r="H562" s="124">
        <v>10</v>
      </c>
      <c r="K562" s="11"/>
      <c r="L562" s="98"/>
      <c r="M562" s="98"/>
      <c r="O562" s="10"/>
      <c r="P562" s="10"/>
    </row>
    <row r="563" spans="1:16" ht="12.75" x14ac:dyDescent="0.2">
      <c r="A563" s="119">
        <v>488</v>
      </c>
      <c r="B563" s="120" t="s">
        <v>99</v>
      </c>
      <c r="C563" s="120" t="s">
        <v>807</v>
      </c>
      <c r="D563" s="121">
        <v>10</v>
      </c>
      <c r="E563" s="121">
        <v>7</v>
      </c>
      <c r="F563" s="121">
        <v>9</v>
      </c>
      <c r="G563" s="121">
        <v>23</v>
      </c>
      <c r="H563" s="124">
        <v>49</v>
      </c>
      <c r="K563" s="11"/>
      <c r="L563" s="98"/>
      <c r="M563" s="98"/>
      <c r="O563" s="10"/>
      <c r="P563" s="10"/>
    </row>
    <row r="564" spans="1:16" ht="12.75" x14ac:dyDescent="0.2">
      <c r="A564" s="99"/>
      <c r="B564" s="116" t="s">
        <v>84</v>
      </c>
      <c r="C564" s="105"/>
      <c r="D564" s="140">
        <v>280</v>
      </c>
      <c r="E564" s="140">
        <v>200</v>
      </c>
      <c r="F564" s="140">
        <v>220</v>
      </c>
      <c r="G564" s="140">
        <v>540</v>
      </c>
      <c r="H564" s="115">
        <v>1240</v>
      </c>
      <c r="K564" s="11"/>
      <c r="L564" s="98"/>
      <c r="M564" s="98"/>
      <c r="O564" s="10"/>
      <c r="P564" s="10"/>
    </row>
    <row r="565" spans="1:16" ht="12.75" x14ac:dyDescent="0.2">
      <c r="A565" s="119">
        <v>489</v>
      </c>
      <c r="B565" s="120" t="s">
        <v>84</v>
      </c>
      <c r="C565" s="120" t="s">
        <v>1261</v>
      </c>
      <c r="D565" s="121">
        <v>39</v>
      </c>
      <c r="E565" s="121">
        <v>25</v>
      </c>
      <c r="F565" s="121">
        <v>28</v>
      </c>
      <c r="G565" s="121">
        <v>69</v>
      </c>
      <c r="H565" s="124">
        <v>161</v>
      </c>
      <c r="K565" s="11"/>
      <c r="L565" s="98"/>
      <c r="M565" s="98"/>
      <c r="O565" s="10"/>
      <c r="P565" s="10"/>
    </row>
    <row r="566" spans="1:16" ht="12.75" x14ac:dyDescent="0.2">
      <c r="A566" s="119">
        <v>490</v>
      </c>
      <c r="B566" s="120" t="s">
        <v>84</v>
      </c>
      <c r="C566" s="120" t="s">
        <v>807</v>
      </c>
      <c r="D566" s="121">
        <v>241</v>
      </c>
      <c r="E566" s="121">
        <v>175</v>
      </c>
      <c r="F566" s="121">
        <v>192</v>
      </c>
      <c r="G566" s="121">
        <v>471</v>
      </c>
      <c r="H566" s="123">
        <v>1079</v>
      </c>
      <c r="K566" s="11"/>
      <c r="L566" s="98"/>
      <c r="M566" s="98"/>
      <c r="O566" s="10"/>
      <c r="P566" s="10"/>
    </row>
    <row r="567" spans="1:16" ht="12.75" x14ac:dyDescent="0.2">
      <c r="A567" s="99"/>
      <c r="B567" s="164" t="s">
        <v>94</v>
      </c>
      <c r="C567" s="105"/>
      <c r="D567" s="143">
        <v>255</v>
      </c>
      <c r="E567" s="143">
        <v>205</v>
      </c>
      <c r="F567" s="143">
        <v>210</v>
      </c>
      <c r="G567" s="143">
        <v>490</v>
      </c>
      <c r="H567" s="115">
        <v>1160</v>
      </c>
      <c r="K567" s="11"/>
      <c r="L567" s="98"/>
      <c r="M567" s="98"/>
      <c r="O567" s="10"/>
      <c r="P567" s="10"/>
    </row>
    <row r="568" spans="1:16" ht="12.75" x14ac:dyDescent="0.2">
      <c r="A568" s="119">
        <v>491</v>
      </c>
      <c r="B568" s="120" t="s">
        <v>94</v>
      </c>
      <c r="C568" s="120" t="s">
        <v>94</v>
      </c>
      <c r="D568" s="121">
        <v>79</v>
      </c>
      <c r="E568" s="121">
        <v>64</v>
      </c>
      <c r="F568" s="121">
        <v>61</v>
      </c>
      <c r="G568" s="121">
        <v>150</v>
      </c>
      <c r="H568" s="124">
        <v>354</v>
      </c>
      <c r="K568" s="11"/>
      <c r="L568" s="98"/>
      <c r="M568" s="98"/>
      <c r="O568" s="10"/>
      <c r="P568" s="10"/>
    </row>
    <row r="569" spans="1:16" ht="12.75" x14ac:dyDescent="0.2">
      <c r="A569" s="119">
        <v>492</v>
      </c>
      <c r="B569" s="120" t="s">
        <v>94</v>
      </c>
      <c r="C569" s="120" t="s">
        <v>1262</v>
      </c>
      <c r="D569" s="121">
        <v>69</v>
      </c>
      <c r="E569" s="121">
        <v>50</v>
      </c>
      <c r="F569" s="121">
        <v>58</v>
      </c>
      <c r="G569" s="121">
        <v>130</v>
      </c>
      <c r="H569" s="124">
        <v>307</v>
      </c>
      <c r="K569" s="11"/>
      <c r="L569" s="98"/>
      <c r="M569" s="98"/>
      <c r="O569" s="10"/>
      <c r="P569" s="10"/>
    </row>
    <row r="570" spans="1:16" ht="12.75" x14ac:dyDescent="0.2">
      <c r="A570" s="119">
        <v>493</v>
      </c>
      <c r="B570" s="120" t="s">
        <v>94</v>
      </c>
      <c r="C570" s="120" t="s">
        <v>807</v>
      </c>
      <c r="D570" s="121">
        <v>107</v>
      </c>
      <c r="E570" s="121">
        <v>91</v>
      </c>
      <c r="F570" s="121">
        <v>91</v>
      </c>
      <c r="G570" s="121">
        <v>210</v>
      </c>
      <c r="H570" s="124">
        <v>499</v>
      </c>
      <c r="K570" s="11"/>
      <c r="L570" s="98"/>
      <c r="M570" s="98"/>
      <c r="O570" s="10"/>
      <c r="P570" s="10"/>
    </row>
    <row r="571" spans="1:16" ht="12.75" x14ac:dyDescent="0.2">
      <c r="A571" s="99"/>
      <c r="B571" s="116" t="s">
        <v>103</v>
      </c>
      <c r="C571" s="105"/>
      <c r="D571" s="143">
        <v>80</v>
      </c>
      <c r="E571" s="143">
        <v>50</v>
      </c>
      <c r="F571" s="143">
        <v>40</v>
      </c>
      <c r="G571" s="143">
        <v>140</v>
      </c>
      <c r="H571" s="143">
        <v>310</v>
      </c>
      <c r="K571" s="11"/>
      <c r="L571" s="98"/>
      <c r="M571" s="98"/>
      <c r="O571" s="10"/>
      <c r="P571" s="10"/>
    </row>
    <row r="572" spans="1:16" ht="12.75" x14ac:dyDescent="0.2">
      <c r="A572" s="119">
        <v>494</v>
      </c>
      <c r="B572" s="120" t="s">
        <v>103</v>
      </c>
      <c r="C572" s="120" t="s">
        <v>1263</v>
      </c>
      <c r="D572" s="121">
        <v>20</v>
      </c>
      <c r="E572" s="121">
        <v>13</v>
      </c>
      <c r="F572" s="121">
        <v>10</v>
      </c>
      <c r="G572" s="121">
        <v>34</v>
      </c>
      <c r="H572" s="124">
        <v>77</v>
      </c>
      <c r="K572" s="11"/>
      <c r="L572" s="98"/>
      <c r="M572" s="98"/>
      <c r="O572" s="10"/>
      <c r="P572" s="10"/>
    </row>
    <row r="573" spans="1:16" ht="12.75" x14ac:dyDescent="0.2">
      <c r="A573" s="119">
        <v>495</v>
      </c>
      <c r="B573" s="120" t="s">
        <v>103</v>
      </c>
      <c r="C573" s="120" t="s">
        <v>807</v>
      </c>
      <c r="D573" s="121">
        <v>60</v>
      </c>
      <c r="E573" s="121">
        <v>37</v>
      </c>
      <c r="F573" s="121">
        <v>30</v>
      </c>
      <c r="G573" s="121">
        <v>106</v>
      </c>
      <c r="H573" s="124">
        <v>233</v>
      </c>
      <c r="K573" s="11"/>
      <c r="L573" s="98"/>
      <c r="M573" s="98"/>
      <c r="O573" s="10"/>
      <c r="P573" s="10"/>
    </row>
    <row r="574" spans="1:16" ht="12.75" x14ac:dyDescent="0.2">
      <c r="A574" s="99"/>
      <c r="B574" s="116" t="s">
        <v>93</v>
      </c>
      <c r="C574" s="105"/>
      <c r="D574" s="143">
        <v>60</v>
      </c>
      <c r="E574" s="143">
        <v>40</v>
      </c>
      <c r="F574" s="143">
        <v>50</v>
      </c>
      <c r="G574" s="143">
        <v>110</v>
      </c>
      <c r="H574" s="143">
        <v>260</v>
      </c>
      <c r="K574" s="11"/>
      <c r="L574" s="98"/>
      <c r="M574" s="98"/>
      <c r="O574" s="10"/>
      <c r="P574" s="10"/>
    </row>
    <row r="575" spans="1:16" ht="12.75" x14ac:dyDescent="0.2">
      <c r="A575" s="119">
        <v>496</v>
      </c>
      <c r="B575" s="120" t="s">
        <v>93</v>
      </c>
      <c r="C575" s="120" t="s">
        <v>1264</v>
      </c>
      <c r="D575" s="121">
        <v>20</v>
      </c>
      <c r="E575" s="121">
        <v>10</v>
      </c>
      <c r="F575" s="121">
        <v>14</v>
      </c>
      <c r="G575" s="121">
        <v>36</v>
      </c>
      <c r="H575" s="124">
        <v>80</v>
      </c>
      <c r="K575" s="11"/>
      <c r="L575" s="98"/>
      <c r="M575" s="98"/>
      <c r="O575" s="10"/>
      <c r="P575" s="10"/>
    </row>
    <row r="576" spans="1:16" ht="12.75" x14ac:dyDescent="0.2">
      <c r="A576" s="119">
        <v>497</v>
      </c>
      <c r="B576" s="120" t="s">
        <v>93</v>
      </c>
      <c r="C576" s="120" t="s">
        <v>1265</v>
      </c>
      <c r="D576" s="121">
        <v>15</v>
      </c>
      <c r="E576" s="121">
        <v>11</v>
      </c>
      <c r="F576" s="121">
        <v>11</v>
      </c>
      <c r="G576" s="121">
        <v>26</v>
      </c>
      <c r="H576" s="124">
        <v>63</v>
      </c>
      <c r="K576" s="11"/>
      <c r="L576" s="98"/>
      <c r="M576" s="98"/>
      <c r="O576" s="10"/>
      <c r="P576" s="10"/>
    </row>
    <row r="577" spans="1:16" ht="12.75" x14ac:dyDescent="0.2">
      <c r="A577" s="119">
        <v>498</v>
      </c>
      <c r="B577" s="120" t="s">
        <v>93</v>
      </c>
      <c r="C577" s="120" t="s">
        <v>807</v>
      </c>
      <c r="D577" s="121">
        <v>25</v>
      </c>
      <c r="E577" s="121">
        <v>19</v>
      </c>
      <c r="F577" s="121">
        <v>25</v>
      </c>
      <c r="G577" s="121">
        <v>48</v>
      </c>
      <c r="H577" s="124">
        <v>117</v>
      </c>
      <c r="K577" s="11"/>
      <c r="L577" s="98"/>
      <c r="M577" s="98"/>
      <c r="O577" s="10"/>
      <c r="P577" s="10"/>
    </row>
    <row r="578" spans="1:16" ht="12.75" x14ac:dyDescent="0.2">
      <c r="A578" s="99"/>
      <c r="B578" s="116" t="s">
        <v>104</v>
      </c>
      <c r="C578" s="105"/>
      <c r="D578" s="143">
        <v>50</v>
      </c>
      <c r="E578" s="143">
        <v>35</v>
      </c>
      <c r="F578" s="143">
        <v>40</v>
      </c>
      <c r="G578" s="143">
        <v>100</v>
      </c>
      <c r="H578" s="143">
        <v>225</v>
      </c>
      <c r="K578" s="11"/>
      <c r="L578" s="98"/>
      <c r="M578" s="98"/>
      <c r="O578" s="10"/>
      <c r="P578" s="10"/>
    </row>
    <row r="579" spans="1:16" ht="12.75" x14ac:dyDescent="0.2">
      <c r="A579" s="119">
        <v>499</v>
      </c>
      <c r="B579" s="120" t="s">
        <v>104</v>
      </c>
      <c r="C579" s="120" t="s">
        <v>1266</v>
      </c>
      <c r="D579" s="121">
        <v>15</v>
      </c>
      <c r="E579" s="121">
        <v>10</v>
      </c>
      <c r="F579" s="121">
        <v>12</v>
      </c>
      <c r="G579" s="121">
        <v>28</v>
      </c>
      <c r="H579" s="124">
        <v>65</v>
      </c>
      <c r="K579" s="11"/>
      <c r="L579" s="98"/>
      <c r="M579" s="98"/>
      <c r="O579" s="10"/>
      <c r="P579" s="10"/>
    </row>
    <row r="580" spans="1:16" ht="12.75" x14ac:dyDescent="0.2">
      <c r="A580" s="119">
        <v>500</v>
      </c>
      <c r="B580" s="120" t="s">
        <v>104</v>
      </c>
      <c r="C580" s="120" t="s">
        <v>807</v>
      </c>
      <c r="D580" s="121">
        <v>35</v>
      </c>
      <c r="E580" s="121">
        <v>25</v>
      </c>
      <c r="F580" s="121">
        <v>28</v>
      </c>
      <c r="G580" s="121">
        <v>72</v>
      </c>
      <c r="H580" s="124">
        <v>160</v>
      </c>
      <c r="K580" s="11"/>
      <c r="L580" s="98"/>
      <c r="M580" s="98"/>
      <c r="O580" s="10"/>
      <c r="P580" s="10"/>
    </row>
    <row r="581" spans="1:16" ht="12.75" x14ac:dyDescent="0.2">
      <c r="A581" s="99"/>
      <c r="B581" s="116" t="s">
        <v>810</v>
      </c>
      <c r="C581" s="105"/>
      <c r="D581" s="143">
        <v>18</v>
      </c>
      <c r="E581" s="143">
        <v>9</v>
      </c>
      <c r="F581" s="143">
        <v>13</v>
      </c>
      <c r="G581" s="143">
        <v>30</v>
      </c>
      <c r="H581" s="143">
        <v>70</v>
      </c>
      <c r="K581" s="11"/>
      <c r="L581" s="98"/>
      <c r="M581" s="98"/>
      <c r="O581" s="10"/>
      <c r="P581" s="10"/>
    </row>
    <row r="582" spans="1:16" ht="12.75" x14ac:dyDescent="0.2">
      <c r="A582" s="119">
        <v>501</v>
      </c>
      <c r="B582" s="120" t="s">
        <v>810</v>
      </c>
      <c r="C582" s="120" t="s">
        <v>1267</v>
      </c>
      <c r="D582" s="121">
        <v>8</v>
      </c>
      <c r="E582" s="121">
        <v>4</v>
      </c>
      <c r="F582" s="121">
        <v>6</v>
      </c>
      <c r="G582" s="121">
        <v>12</v>
      </c>
      <c r="H582" s="124">
        <v>30</v>
      </c>
      <c r="K582" s="11"/>
      <c r="L582" s="98"/>
      <c r="M582" s="98"/>
      <c r="O582" s="10"/>
      <c r="P582" s="10"/>
    </row>
    <row r="583" spans="1:16" ht="12.75" x14ac:dyDescent="0.2">
      <c r="A583" s="119">
        <v>502</v>
      </c>
      <c r="B583" s="120" t="s">
        <v>810</v>
      </c>
      <c r="C583" s="120" t="s">
        <v>807</v>
      </c>
      <c r="D583" s="121">
        <v>10</v>
      </c>
      <c r="E583" s="121">
        <v>5</v>
      </c>
      <c r="F583" s="121">
        <v>7</v>
      </c>
      <c r="G583" s="121">
        <v>18</v>
      </c>
      <c r="H583" s="124">
        <v>40</v>
      </c>
      <c r="K583" s="11"/>
      <c r="L583" s="98"/>
      <c r="M583" s="98"/>
      <c r="O583" s="10"/>
      <c r="P583" s="10"/>
    </row>
    <row r="584" spans="1:16" ht="12.75" x14ac:dyDescent="0.2">
      <c r="A584" s="99"/>
      <c r="B584" s="116" t="s">
        <v>61</v>
      </c>
      <c r="C584" s="105"/>
      <c r="D584" s="115">
        <v>2890</v>
      </c>
      <c r="E584" s="115">
        <v>2230</v>
      </c>
      <c r="F584" s="115">
        <v>2310</v>
      </c>
      <c r="G584" s="115">
        <v>5465</v>
      </c>
      <c r="H584" s="115">
        <v>12895</v>
      </c>
      <c r="K584" s="11"/>
      <c r="L584" s="98"/>
      <c r="M584" s="98"/>
      <c r="O584" s="10"/>
      <c r="P584" s="10"/>
    </row>
    <row r="585" spans="1:16" ht="12.75" x14ac:dyDescent="0.2">
      <c r="A585" s="119">
        <v>503</v>
      </c>
      <c r="B585" s="120" t="s">
        <v>61</v>
      </c>
      <c r="C585" s="120" t="s">
        <v>1268</v>
      </c>
      <c r="D585" s="165">
        <v>253</v>
      </c>
      <c r="E585" s="165">
        <v>190</v>
      </c>
      <c r="F585" s="165">
        <v>204</v>
      </c>
      <c r="G585" s="165">
        <v>467</v>
      </c>
      <c r="H585" s="123">
        <v>1114</v>
      </c>
      <c r="K585" s="11"/>
      <c r="L585" s="98"/>
      <c r="M585" s="98"/>
      <c r="O585" s="10"/>
      <c r="P585" s="10"/>
    </row>
    <row r="586" spans="1:16" ht="12.75" x14ac:dyDescent="0.2">
      <c r="A586" s="119">
        <v>504</v>
      </c>
      <c r="B586" s="120" t="s">
        <v>61</v>
      </c>
      <c r="C586" s="120" t="s">
        <v>61</v>
      </c>
      <c r="D586" s="166">
        <v>1352</v>
      </c>
      <c r="E586" s="166">
        <v>1056</v>
      </c>
      <c r="F586" s="166">
        <v>1091</v>
      </c>
      <c r="G586" s="166">
        <v>2600</v>
      </c>
      <c r="H586" s="123">
        <v>6099</v>
      </c>
      <c r="K586" s="11"/>
      <c r="L586" s="98"/>
      <c r="M586" s="98"/>
      <c r="O586" s="10"/>
      <c r="P586" s="10"/>
    </row>
    <row r="587" spans="1:16" ht="12.75" x14ac:dyDescent="0.2">
      <c r="A587" s="119">
        <v>505</v>
      </c>
      <c r="B587" s="120" t="s">
        <v>61</v>
      </c>
      <c r="C587" s="120" t="s">
        <v>807</v>
      </c>
      <c r="D587" s="166">
        <v>1285</v>
      </c>
      <c r="E587" s="165">
        <v>984</v>
      </c>
      <c r="F587" s="166">
        <v>1015</v>
      </c>
      <c r="G587" s="166">
        <v>2398</v>
      </c>
      <c r="H587" s="123">
        <v>5682</v>
      </c>
      <c r="K587" s="11"/>
      <c r="L587" s="98"/>
      <c r="M587" s="98"/>
      <c r="O587" s="10"/>
      <c r="P587" s="10"/>
    </row>
    <row r="588" spans="1:16" ht="12.75" x14ac:dyDescent="0.2">
      <c r="A588" s="119">
        <v>506</v>
      </c>
      <c r="B588" s="116" t="s">
        <v>1269</v>
      </c>
      <c r="C588" s="105"/>
      <c r="D588" s="167">
        <v>265</v>
      </c>
      <c r="E588" s="167">
        <v>130</v>
      </c>
      <c r="F588" s="167">
        <v>180</v>
      </c>
      <c r="G588" s="167">
        <v>420</v>
      </c>
      <c r="H588" s="143">
        <v>995</v>
      </c>
      <c r="K588" s="11"/>
      <c r="L588" s="98"/>
      <c r="M588" s="98"/>
      <c r="O588" s="10"/>
      <c r="P588" s="10"/>
    </row>
    <row r="589" spans="1:16" ht="12.75" x14ac:dyDescent="0.2">
      <c r="A589" s="99"/>
      <c r="B589" s="116" t="s">
        <v>107</v>
      </c>
      <c r="C589" s="105"/>
      <c r="D589" s="143">
        <v>3</v>
      </c>
      <c r="E589" s="143">
        <v>3</v>
      </c>
      <c r="F589" s="143">
        <v>2</v>
      </c>
      <c r="G589" s="143">
        <v>7</v>
      </c>
      <c r="H589" s="143">
        <v>15</v>
      </c>
      <c r="K589" s="11"/>
      <c r="L589" s="98"/>
      <c r="M589" s="98"/>
      <c r="O589" s="10"/>
      <c r="P589" s="10"/>
    </row>
    <row r="590" spans="1:16" ht="12.75" x14ac:dyDescent="0.2">
      <c r="A590" s="119">
        <v>507</v>
      </c>
      <c r="B590" s="120" t="s">
        <v>107</v>
      </c>
      <c r="C590" s="120" t="s">
        <v>1270</v>
      </c>
      <c r="D590" s="121">
        <v>1</v>
      </c>
      <c r="E590" s="121">
        <v>1</v>
      </c>
      <c r="F590" s="121">
        <v>1</v>
      </c>
      <c r="G590" s="121">
        <v>2</v>
      </c>
      <c r="H590" s="124">
        <v>5</v>
      </c>
      <c r="K590" s="11"/>
      <c r="L590" s="98"/>
      <c r="M590" s="98"/>
      <c r="O590" s="10"/>
      <c r="P590" s="10"/>
    </row>
    <row r="591" spans="1:16" ht="12.75" x14ac:dyDescent="0.2">
      <c r="A591" s="119">
        <v>508</v>
      </c>
      <c r="B591" s="120" t="s">
        <v>107</v>
      </c>
      <c r="C591" s="120" t="s">
        <v>807</v>
      </c>
      <c r="D591" s="121">
        <v>2</v>
      </c>
      <c r="E591" s="121">
        <v>2</v>
      </c>
      <c r="F591" s="121">
        <v>1</v>
      </c>
      <c r="G591" s="121">
        <v>5</v>
      </c>
      <c r="H591" s="124">
        <v>10</v>
      </c>
      <c r="K591" s="11"/>
      <c r="L591" s="98"/>
      <c r="M591" s="98"/>
      <c r="O591" s="10"/>
      <c r="P591" s="10"/>
    </row>
    <row r="592" spans="1:16" ht="12.75" x14ac:dyDescent="0.2">
      <c r="A592" s="99"/>
      <c r="B592" s="116" t="s">
        <v>97</v>
      </c>
      <c r="C592" s="105"/>
      <c r="D592" s="143">
        <v>28</v>
      </c>
      <c r="E592" s="143">
        <v>19</v>
      </c>
      <c r="F592" s="143">
        <v>23</v>
      </c>
      <c r="G592" s="143">
        <v>50</v>
      </c>
      <c r="H592" s="143">
        <v>120</v>
      </c>
      <c r="K592" s="11"/>
      <c r="L592" s="98"/>
      <c r="M592" s="98"/>
      <c r="O592" s="10"/>
      <c r="P592" s="10"/>
    </row>
    <row r="593" spans="1:16" ht="12.75" x14ac:dyDescent="0.2">
      <c r="A593" s="119">
        <v>509</v>
      </c>
      <c r="B593" s="120" t="s">
        <v>97</v>
      </c>
      <c r="C593" s="120" t="s">
        <v>1271</v>
      </c>
      <c r="D593" s="121">
        <v>17</v>
      </c>
      <c r="E593" s="121">
        <v>12</v>
      </c>
      <c r="F593" s="121">
        <v>14</v>
      </c>
      <c r="G593" s="121">
        <v>31</v>
      </c>
      <c r="H593" s="124">
        <v>74</v>
      </c>
      <c r="K593" s="11"/>
      <c r="L593" s="98"/>
      <c r="M593" s="98"/>
      <c r="O593" s="10"/>
      <c r="P593" s="10"/>
    </row>
    <row r="594" spans="1:16" ht="12.75" x14ac:dyDescent="0.2">
      <c r="A594" s="119">
        <v>510</v>
      </c>
      <c r="B594" s="120" t="s">
        <v>97</v>
      </c>
      <c r="C594" s="120" t="s">
        <v>807</v>
      </c>
      <c r="D594" s="121">
        <v>11</v>
      </c>
      <c r="E594" s="121">
        <v>7</v>
      </c>
      <c r="F594" s="121">
        <v>9</v>
      </c>
      <c r="G594" s="121">
        <v>19</v>
      </c>
      <c r="H594" s="124">
        <v>46</v>
      </c>
      <c r="K594" s="11"/>
      <c r="L594" s="98"/>
      <c r="M594" s="98"/>
      <c r="O594" s="10"/>
      <c r="P594" s="10"/>
    </row>
    <row r="595" spans="1:16" ht="12.75" x14ac:dyDescent="0.2">
      <c r="A595" s="99"/>
      <c r="B595" s="116" t="s">
        <v>81</v>
      </c>
      <c r="C595" s="105"/>
      <c r="D595" s="143">
        <v>423</v>
      </c>
      <c r="E595" s="143">
        <v>303</v>
      </c>
      <c r="F595" s="143">
        <v>344</v>
      </c>
      <c r="G595" s="143">
        <v>769</v>
      </c>
      <c r="H595" s="115">
        <v>1839</v>
      </c>
      <c r="K595" s="11"/>
      <c r="L595" s="98"/>
      <c r="M595" s="98"/>
      <c r="O595" s="10"/>
      <c r="P595" s="10"/>
    </row>
    <row r="596" spans="1:16" ht="12.75" x14ac:dyDescent="0.2">
      <c r="A596" s="119">
        <v>511</v>
      </c>
      <c r="B596" s="120" t="s">
        <v>81</v>
      </c>
      <c r="C596" s="120" t="s">
        <v>1272</v>
      </c>
      <c r="D596" s="121">
        <v>122</v>
      </c>
      <c r="E596" s="121">
        <v>88</v>
      </c>
      <c r="F596" s="121">
        <v>100</v>
      </c>
      <c r="G596" s="121">
        <v>220</v>
      </c>
      <c r="H596" s="124">
        <v>530</v>
      </c>
      <c r="K596" s="11"/>
      <c r="L596" s="98"/>
      <c r="M596" s="98"/>
      <c r="O596" s="10"/>
      <c r="P596" s="10"/>
    </row>
    <row r="597" spans="1:16" ht="12.75" x14ac:dyDescent="0.2">
      <c r="A597" s="119">
        <v>512</v>
      </c>
      <c r="B597" s="120" t="s">
        <v>81</v>
      </c>
      <c r="C597" s="120" t="s">
        <v>1273</v>
      </c>
      <c r="D597" s="121">
        <v>19</v>
      </c>
      <c r="E597" s="121">
        <v>14</v>
      </c>
      <c r="F597" s="121">
        <v>16</v>
      </c>
      <c r="G597" s="121">
        <v>36</v>
      </c>
      <c r="H597" s="124">
        <v>85</v>
      </c>
      <c r="K597" s="11"/>
      <c r="L597" s="98"/>
      <c r="M597" s="98"/>
      <c r="O597" s="10"/>
      <c r="P597" s="10"/>
    </row>
    <row r="598" spans="1:16" ht="12.75" x14ac:dyDescent="0.2">
      <c r="A598" s="119">
        <v>513</v>
      </c>
      <c r="B598" s="120" t="s">
        <v>81</v>
      </c>
      <c r="C598" s="120" t="s">
        <v>1274</v>
      </c>
      <c r="D598" s="121">
        <v>108</v>
      </c>
      <c r="E598" s="121">
        <v>75</v>
      </c>
      <c r="F598" s="121">
        <v>78</v>
      </c>
      <c r="G598" s="121">
        <v>199</v>
      </c>
      <c r="H598" s="124">
        <v>460</v>
      </c>
      <c r="K598" s="11"/>
      <c r="L598" s="98"/>
      <c r="M598" s="98"/>
      <c r="O598" s="10"/>
      <c r="P598" s="10"/>
    </row>
    <row r="599" spans="1:16" ht="12.75" x14ac:dyDescent="0.2">
      <c r="A599" s="119">
        <v>514</v>
      </c>
      <c r="B599" s="120" t="s">
        <v>81</v>
      </c>
      <c r="C599" s="120" t="s">
        <v>807</v>
      </c>
      <c r="D599" s="121">
        <v>174</v>
      </c>
      <c r="E599" s="121">
        <v>126</v>
      </c>
      <c r="F599" s="121">
        <v>150</v>
      </c>
      <c r="G599" s="121">
        <v>314</v>
      </c>
      <c r="H599" s="124">
        <v>764</v>
      </c>
      <c r="K599" s="11"/>
      <c r="L599" s="98"/>
      <c r="M599" s="98"/>
      <c r="O599" s="10"/>
      <c r="P599" s="10"/>
    </row>
    <row r="600" spans="1:16" ht="12.75" x14ac:dyDescent="0.2">
      <c r="A600" s="99"/>
      <c r="B600" s="116" t="s">
        <v>101</v>
      </c>
      <c r="C600" s="105"/>
      <c r="D600" s="143">
        <v>15</v>
      </c>
      <c r="E600" s="143">
        <v>10</v>
      </c>
      <c r="F600" s="143">
        <v>15</v>
      </c>
      <c r="G600" s="143">
        <v>30</v>
      </c>
      <c r="H600" s="143">
        <v>70</v>
      </c>
      <c r="K600" s="11"/>
      <c r="L600" s="98"/>
      <c r="M600" s="98"/>
      <c r="O600" s="10"/>
      <c r="P600" s="10"/>
    </row>
    <row r="601" spans="1:16" ht="12.75" x14ac:dyDescent="0.2">
      <c r="A601" s="119">
        <v>515</v>
      </c>
      <c r="B601" s="120" t="s">
        <v>101</v>
      </c>
      <c r="C601" s="120" t="s">
        <v>1275</v>
      </c>
      <c r="D601" s="121">
        <v>3</v>
      </c>
      <c r="E601" s="121">
        <v>2</v>
      </c>
      <c r="F601" s="121">
        <v>3</v>
      </c>
      <c r="G601" s="121">
        <v>5</v>
      </c>
      <c r="H601" s="124">
        <v>13</v>
      </c>
      <c r="K601" s="11"/>
      <c r="L601" s="98"/>
      <c r="M601" s="98"/>
      <c r="O601" s="10"/>
      <c r="P601" s="10"/>
    </row>
    <row r="602" spans="1:16" ht="12.75" x14ac:dyDescent="0.2">
      <c r="A602" s="119">
        <v>516</v>
      </c>
      <c r="B602" s="120" t="s">
        <v>101</v>
      </c>
      <c r="C602" s="120" t="s">
        <v>807</v>
      </c>
      <c r="D602" s="121">
        <v>12</v>
      </c>
      <c r="E602" s="121">
        <v>8</v>
      </c>
      <c r="F602" s="121">
        <v>12</v>
      </c>
      <c r="G602" s="121">
        <v>25</v>
      </c>
      <c r="H602" s="124">
        <v>57</v>
      </c>
      <c r="K602" s="11"/>
      <c r="L602" s="98"/>
      <c r="M602" s="98"/>
      <c r="O602" s="10"/>
      <c r="P602" s="10"/>
    </row>
    <row r="603" spans="1:16" ht="12.75" x14ac:dyDescent="0.2">
      <c r="A603" s="99"/>
      <c r="B603" s="116" t="s">
        <v>74</v>
      </c>
      <c r="C603" s="105"/>
      <c r="D603" s="143">
        <v>540</v>
      </c>
      <c r="E603" s="143">
        <v>340</v>
      </c>
      <c r="F603" s="143">
        <v>380</v>
      </c>
      <c r="G603" s="143">
        <v>940</v>
      </c>
      <c r="H603" s="115">
        <v>2200</v>
      </c>
      <c r="K603" s="11"/>
      <c r="L603" s="98"/>
      <c r="M603" s="98"/>
      <c r="O603" s="10"/>
      <c r="P603" s="10"/>
    </row>
    <row r="604" spans="1:16" ht="12.75" x14ac:dyDescent="0.2">
      <c r="A604" s="119">
        <v>517</v>
      </c>
      <c r="B604" s="120" t="s">
        <v>74</v>
      </c>
      <c r="C604" s="120" t="s">
        <v>1276</v>
      </c>
      <c r="D604" s="121">
        <v>32</v>
      </c>
      <c r="E604" s="121">
        <v>21</v>
      </c>
      <c r="F604" s="121">
        <v>24</v>
      </c>
      <c r="G604" s="121">
        <v>59</v>
      </c>
      <c r="H604" s="124">
        <v>136</v>
      </c>
      <c r="K604" s="11"/>
      <c r="L604" s="98"/>
      <c r="M604" s="98"/>
      <c r="O604" s="10"/>
      <c r="P604" s="10"/>
    </row>
    <row r="605" spans="1:16" ht="12.75" x14ac:dyDescent="0.2">
      <c r="A605" s="119">
        <v>518</v>
      </c>
      <c r="B605" s="120" t="s">
        <v>74</v>
      </c>
      <c r="C605" s="120" t="s">
        <v>1277</v>
      </c>
      <c r="D605" s="121">
        <v>287</v>
      </c>
      <c r="E605" s="121">
        <v>181</v>
      </c>
      <c r="F605" s="121">
        <v>205</v>
      </c>
      <c r="G605" s="121">
        <v>502</v>
      </c>
      <c r="H605" s="123">
        <v>1175</v>
      </c>
      <c r="K605" s="11"/>
      <c r="L605" s="98"/>
      <c r="M605" s="98"/>
      <c r="O605" s="10"/>
      <c r="P605" s="10"/>
    </row>
    <row r="606" spans="1:16" ht="12.75" x14ac:dyDescent="0.2">
      <c r="A606" s="119">
        <v>519</v>
      </c>
      <c r="B606" s="120" t="s">
        <v>74</v>
      </c>
      <c r="C606" s="120" t="s">
        <v>1278</v>
      </c>
      <c r="D606" s="121">
        <v>32</v>
      </c>
      <c r="E606" s="121">
        <v>21</v>
      </c>
      <c r="F606" s="121">
        <v>23</v>
      </c>
      <c r="G606" s="121">
        <v>58</v>
      </c>
      <c r="H606" s="124">
        <v>134</v>
      </c>
      <c r="K606" s="11"/>
      <c r="L606" s="98"/>
      <c r="M606" s="98"/>
      <c r="O606" s="10"/>
      <c r="P606" s="10"/>
    </row>
    <row r="607" spans="1:16" ht="12.75" x14ac:dyDescent="0.2">
      <c r="A607" s="119">
        <v>520</v>
      </c>
      <c r="B607" s="120" t="s">
        <v>74</v>
      </c>
      <c r="C607" s="120" t="s">
        <v>807</v>
      </c>
      <c r="D607" s="121">
        <v>189</v>
      </c>
      <c r="E607" s="121">
        <v>117</v>
      </c>
      <c r="F607" s="121">
        <v>128</v>
      </c>
      <c r="G607" s="121">
        <v>321</v>
      </c>
      <c r="H607" s="124">
        <v>755</v>
      </c>
      <c r="K607" s="11"/>
      <c r="L607" s="98"/>
      <c r="M607" s="98"/>
      <c r="O607" s="10"/>
      <c r="P607" s="10"/>
    </row>
    <row r="608" spans="1:16" ht="12.75" x14ac:dyDescent="0.2">
      <c r="A608" s="99"/>
      <c r="B608" s="116" t="s">
        <v>111</v>
      </c>
      <c r="C608" s="105"/>
      <c r="D608" s="143">
        <v>2</v>
      </c>
      <c r="E608" s="143">
        <v>2</v>
      </c>
      <c r="F608" s="143">
        <v>1</v>
      </c>
      <c r="G608" s="143">
        <v>1</v>
      </c>
      <c r="H608" s="143">
        <v>6</v>
      </c>
      <c r="K608" s="11"/>
      <c r="L608" s="98"/>
      <c r="M608" s="98"/>
      <c r="O608" s="10"/>
      <c r="P608" s="10"/>
    </row>
    <row r="609" spans="1:16" ht="12.75" x14ac:dyDescent="0.2">
      <c r="A609" s="119">
        <v>521</v>
      </c>
      <c r="B609" s="120" t="s">
        <v>111</v>
      </c>
      <c r="C609" s="120" t="s">
        <v>1279</v>
      </c>
      <c r="D609" s="121">
        <v>1</v>
      </c>
      <c r="E609" s="121">
        <v>1</v>
      </c>
      <c r="F609" s="121">
        <v>1</v>
      </c>
      <c r="G609" s="121">
        <v>1</v>
      </c>
      <c r="H609" s="124">
        <v>4</v>
      </c>
      <c r="K609" s="11"/>
      <c r="L609" s="98"/>
      <c r="M609" s="98"/>
      <c r="O609" s="10"/>
      <c r="P609" s="10"/>
    </row>
    <row r="610" spans="1:16" ht="12.75" x14ac:dyDescent="0.2">
      <c r="A610" s="119">
        <v>522</v>
      </c>
      <c r="B610" s="120" t="s">
        <v>111</v>
      </c>
      <c r="C610" s="120" t="s">
        <v>807</v>
      </c>
      <c r="D610" s="121">
        <v>1</v>
      </c>
      <c r="E610" s="121">
        <v>1</v>
      </c>
      <c r="F610" s="121" t="s">
        <v>831</v>
      </c>
      <c r="G610" s="121" t="s">
        <v>831</v>
      </c>
      <c r="H610" s="124">
        <v>2</v>
      </c>
      <c r="K610" s="11"/>
      <c r="L610" s="98"/>
      <c r="M610" s="98"/>
      <c r="O610" s="10"/>
      <c r="P610" s="10"/>
    </row>
    <row r="611" spans="1:16" ht="12.75" x14ac:dyDescent="0.2">
      <c r="A611" s="99"/>
      <c r="B611" s="116" t="s">
        <v>102</v>
      </c>
      <c r="C611" s="105"/>
      <c r="D611" s="143">
        <v>133</v>
      </c>
      <c r="E611" s="143">
        <v>84</v>
      </c>
      <c r="F611" s="143">
        <v>90</v>
      </c>
      <c r="G611" s="143">
        <v>223</v>
      </c>
      <c r="H611" s="143">
        <v>530</v>
      </c>
      <c r="K611" s="11"/>
      <c r="L611" s="98"/>
      <c r="M611" s="98"/>
      <c r="O611" s="10"/>
      <c r="P611" s="10"/>
    </row>
    <row r="612" spans="1:16" ht="12.75" x14ac:dyDescent="0.2">
      <c r="A612" s="119">
        <v>523</v>
      </c>
      <c r="B612" s="120" t="s">
        <v>102</v>
      </c>
      <c r="C612" s="120" t="s">
        <v>1280</v>
      </c>
      <c r="D612" s="121">
        <v>3</v>
      </c>
      <c r="E612" s="121">
        <v>2</v>
      </c>
      <c r="F612" s="121">
        <v>2</v>
      </c>
      <c r="G612" s="121">
        <v>5</v>
      </c>
      <c r="H612" s="124">
        <v>12</v>
      </c>
      <c r="K612" s="11"/>
      <c r="L612" s="98"/>
      <c r="M612" s="98"/>
      <c r="O612" s="10"/>
      <c r="P612" s="10"/>
    </row>
    <row r="613" spans="1:16" ht="12.75" x14ac:dyDescent="0.2">
      <c r="A613" s="119">
        <v>524</v>
      </c>
      <c r="B613" s="120" t="s">
        <v>102</v>
      </c>
      <c r="C613" s="120" t="s">
        <v>1281</v>
      </c>
      <c r="D613" s="121">
        <v>6</v>
      </c>
      <c r="E613" s="121">
        <v>4</v>
      </c>
      <c r="F613" s="121">
        <v>4</v>
      </c>
      <c r="G613" s="121">
        <v>9</v>
      </c>
      <c r="H613" s="124">
        <v>23</v>
      </c>
      <c r="K613" s="11"/>
      <c r="L613" s="98"/>
      <c r="M613" s="98"/>
      <c r="O613" s="10"/>
      <c r="P613" s="10"/>
    </row>
    <row r="614" spans="1:16" ht="12.75" x14ac:dyDescent="0.2">
      <c r="A614" s="119">
        <v>525</v>
      </c>
      <c r="B614" s="120" t="s">
        <v>102</v>
      </c>
      <c r="C614" s="120" t="s">
        <v>1282</v>
      </c>
      <c r="D614" s="121">
        <v>3</v>
      </c>
      <c r="E614" s="121">
        <v>2</v>
      </c>
      <c r="F614" s="121">
        <v>2</v>
      </c>
      <c r="G614" s="121">
        <v>3</v>
      </c>
      <c r="H614" s="124">
        <v>10</v>
      </c>
      <c r="K614" s="11"/>
      <c r="L614" s="98"/>
      <c r="M614" s="98"/>
      <c r="O614" s="10"/>
      <c r="P614" s="10"/>
    </row>
    <row r="615" spans="1:16" ht="12.75" x14ac:dyDescent="0.2">
      <c r="A615" s="119">
        <v>526</v>
      </c>
      <c r="B615" s="120" t="s">
        <v>102</v>
      </c>
      <c r="C615" s="120" t="s">
        <v>1283</v>
      </c>
      <c r="D615" s="121">
        <v>2</v>
      </c>
      <c r="E615" s="121">
        <v>1</v>
      </c>
      <c r="F615" s="121">
        <v>2</v>
      </c>
      <c r="G615" s="121">
        <v>4</v>
      </c>
      <c r="H615" s="124">
        <v>9</v>
      </c>
      <c r="K615" s="11"/>
      <c r="L615" s="98"/>
      <c r="M615" s="98"/>
      <c r="O615" s="10"/>
      <c r="P615" s="10"/>
    </row>
    <row r="616" spans="1:16" ht="12.75" x14ac:dyDescent="0.2">
      <c r="A616" s="119">
        <v>527</v>
      </c>
      <c r="B616" s="120" t="s">
        <v>102</v>
      </c>
      <c r="C616" s="120" t="s">
        <v>1284</v>
      </c>
      <c r="D616" s="121">
        <v>5</v>
      </c>
      <c r="E616" s="121">
        <v>3</v>
      </c>
      <c r="F616" s="121">
        <v>3</v>
      </c>
      <c r="G616" s="121">
        <v>8</v>
      </c>
      <c r="H616" s="124">
        <v>19</v>
      </c>
      <c r="K616" s="11"/>
      <c r="L616" s="98"/>
      <c r="M616" s="98"/>
      <c r="O616" s="10"/>
      <c r="P616" s="10"/>
    </row>
    <row r="617" spans="1:16" ht="12.75" x14ac:dyDescent="0.2">
      <c r="A617" s="119">
        <v>528</v>
      </c>
      <c r="B617" s="120" t="s">
        <v>102</v>
      </c>
      <c r="C617" s="120" t="s">
        <v>1285</v>
      </c>
      <c r="D617" s="121">
        <v>11</v>
      </c>
      <c r="E617" s="121">
        <v>7</v>
      </c>
      <c r="F617" s="121">
        <v>8</v>
      </c>
      <c r="G617" s="121">
        <v>19</v>
      </c>
      <c r="H617" s="124">
        <v>45</v>
      </c>
      <c r="K617" s="11"/>
      <c r="L617" s="98"/>
      <c r="M617" s="98"/>
      <c r="O617" s="10"/>
      <c r="P617" s="10"/>
    </row>
    <row r="618" spans="1:16" ht="12.75" x14ac:dyDescent="0.2">
      <c r="A618" s="119">
        <v>529</v>
      </c>
      <c r="B618" s="120" t="s">
        <v>102</v>
      </c>
      <c r="C618" s="120" t="s">
        <v>1287</v>
      </c>
      <c r="D618" s="121">
        <v>3</v>
      </c>
      <c r="E618" s="121">
        <v>2</v>
      </c>
      <c r="F618" s="121">
        <v>2</v>
      </c>
      <c r="G618" s="121">
        <v>6</v>
      </c>
      <c r="H618" s="124">
        <v>13</v>
      </c>
      <c r="K618" s="11"/>
      <c r="L618" s="98"/>
      <c r="M618" s="98"/>
      <c r="O618" s="10"/>
      <c r="P618" s="10"/>
    </row>
    <row r="619" spans="1:16" ht="12.75" x14ac:dyDescent="0.2">
      <c r="A619" s="119">
        <v>530</v>
      </c>
      <c r="B619" s="120" t="s">
        <v>102</v>
      </c>
      <c r="C619" s="120" t="s">
        <v>1288</v>
      </c>
      <c r="D619" s="121">
        <v>10</v>
      </c>
      <c r="E619" s="121">
        <v>6</v>
      </c>
      <c r="F619" s="121">
        <v>6</v>
      </c>
      <c r="G619" s="121">
        <v>16</v>
      </c>
      <c r="H619" s="124">
        <v>38</v>
      </c>
      <c r="K619" s="11"/>
      <c r="L619" s="98"/>
      <c r="M619" s="98"/>
      <c r="O619" s="10"/>
      <c r="P619" s="10"/>
    </row>
    <row r="620" spans="1:16" ht="12.75" x14ac:dyDescent="0.2">
      <c r="A620" s="119">
        <v>531</v>
      </c>
      <c r="B620" s="120" t="s">
        <v>102</v>
      </c>
      <c r="C620" s="120" t="s">
        <v>1289</v>
      </c>
      <c r="D620" s="121">
        <v>25</v>
      </c>
      <c r="E620" s="121">
        <v>17</v>
      </c>
      <c r="F620" s="121">
        <v>18</v>
      </c>
      <c r="G620" s="121">
        <v>43</v>
      </c>
      <c r="H620" s="124">
        <v>103</v>
      </c>
      <c r="K620" s="11"/>
      <c r="L620" s="98"/>
      <c r="M620" s="98"/>
      <c r="O620" s="10"/>
      <c r="P620" s="10"/>
    </row>
    <row r="621" spans="1:16" ht="12.75" x14ac:dyDescent="0.2">
      <c r="A621" s="119">
        <v>532</v>
      </c>
      <c r="B621" s="120" t="s">
        <v>102</v>
      </c>
      <c r="C621" s="120" t="s">
        <v>807</v>
      </c>
      <c r="D621" s="121">
        <v>65</v>
      </c>
      <c r="E621" s="121">
        <v>40</v>
      </c>
      <c r="F621" s="121">
        <v>43</v>
      </c>
      <c r="G621" s="121">
        <v>110</v>
      </c>
      <c r="H621" s="124">
        <v>258</v>
      </c>
      <c r="K621" s="11"/>
      <c r="L621" s="98"/>
      <c r="M621" s="98"/>
      <c r="O621" s="10"/>
      <c r="P621" s="10"/>
    </row>
    <row r="622" spans="1:16" ht="12.75" x14ac:dyDescent="0.2">
      <c r="A622" s="99"/>
      <c r="B622" s="116" t="s">
        <v>98</v>
      </c>
      <c r="C622" s="105"/>
      <c r="D622" s="143">
        <v>225</v>
      </c>
      <c r="E622" s="143">
        <v>160</v>
      </c>
      <c r="F622" s="143">
        <v>185</v>
      </c>
      <c r="G622" s="143">
        <v>425</v>
      </c>
      <c r="H622" s="143">
        <v>995</v>
      </c>
      <c r="K622" s="11"/>
      <c r="L622" s="98"/>
      <c r="M622" s="98"/>
      <c r="O622" s="10"/>
      <c r="P622" s="10"/>
    </row>
    <row r="623" spans="1:16" ht="12.75" x14ac:dyDescent="0.2">
      <c r="A623" s="119">
        <v>533</v>
      </c>
      <c r="B623" s="120" t="s">
        <v>98</v>
      </c>
      <c r="C623" s="120" t="s">
        <v>1291</v>
      </c>
      <c r="D623" s="121">
        <v>38</v>
      </c>
      <c r="E623" s="121">
        <v>30</v>
      </c>
      <c r="F623" s="121">
        <v>33</v>
      </c>
      <c r="G623" s="121">
        <v>75</v>
      </c>
      <c r="H623" s="124">
        <v>176</v>
      </c>
      <c r="K623" s="11"/>
      <c r="L623" s="98"/>
      <c r="M623" s="98"/>
      <c r="O623" s="10"/>
      <c r="P623" s="10"/>
    </row>
    <row r="624" spans="1:16" ht="12.75" x14ac:dyDescent="0.2">
      <c r="A624" s="119">
        <v>534</v>
      </c>
      <c r="B624" s="120" t="s">
        <v>98</v>
      </c>
      <c r="C624" s="120" t="s">
        <v>1293</v>
      </c>
      <c r="D624" s="121">
        <v>73</v>
      </c>
      <c r="E624" s="121">
        <v>52</v>
      </c>
      <c r="F624" s="121">
        <v>61</v>
      </c>
      <c r="G624" s="121">
        <v>137</v>
      </c>
      <c r="H624" s="124">
        <v>323</v>
      </c>
      <c r="K624" s="11"/>
      <c r="L624" s="98"/>
      <c r="M624" s="98"/>
      <c r="O624" s="10"/>
      <c r="P624" s="10"/>
    </row>
    <row r="625" spans="1:16" ht="12.75" x14ac:dyDescent="0.2">
      <c r="A625" s="119">
        <v>535</v>
      </c>
      <c r="B625" s="120" t="s">
        <v>98</v>
      </c>
      <c r="C625" s="120" t="s">
        <v>98</v>
      </c>
      <c r="D625" s="121">
        <v>2</v>
      </c>
      <c r="E625" s="121">
        <v>2</v>
      </c>
      <c r="F625" s="121">
        <v>2</v>
      </c>
      <c r="G625" s="121">
        <v>4</v>
      </c>
      <c r="H625" s="124">
        <v>10</v>
      </c>
      <c r="K625" s="11"/>
      <c r="L625" s="98"/>
      <c r="M625" s="98"/>
      <c r="O625" s="10"/>
      <c r="P625" s="10"/>
    </row>
    <row r="626" spans="1:16" ht="12.75" x14ac:dyDescent="0.2">
      <c r="A626" s="119">
        <v>536</v>
      </c>
      <c r="B626" s="120" t="s">
        <v>98</v>
      </c>
      <c r="C626" s="120" t="s">
        <v>807</v>
      </c>
      <c r="D626" s="121">
        <v>112</v>
      </c>
      <c r="E626" s="121">
        <v>76</v>
      </c>
      <c r="F626" s="121">
        <v>89</v>
      </c>
      <c r="G626" s="121">
        <v>209</v>
      </c>
      <c r="H626" s="124">
        <v>486</v>
      </c>
      <c r="K626" s="11"/>
      <c r="L626" s="98"/>
      <c r="M626" s="98"/>
      <c r="O626" s="10"/>
      <c r="P626" s="10"/>
    </row>
    <row r="627" spans="1:16" ht="12.75" x14ac:dyDescent="0.2">
      <c r="A627" s="119">
        <v>537</v>
      </c>
      <c r="B627" s="116" t="s">
        <v>1295</v>
      </c>
      <c r="C627" s="105"/>
      <c r="D627" s="163">
        <v>2</v>
      </c>
      <c r="E627" s="163">
        <v>2</v>
      </c>
      <c r="F627" s="163">
        <v>2</v>
      </c>
      <c r="G627" s="163">
        <v>4</v>
      </c>
      <c r="H627" s="143">
        <v>10</v>
      </c>
      <c r="K627" s="11"/>
      <c r="L627" s="98"/>
      <c r="M627" s="98"/>
      <c r="O627" s="10"/>
      <c r="P627" s="10"/>
    </row>
    <row r="628" spans="1:16" ht="12.75" x14ac:dyDescent="0.2">
      <c r="A628" s="99"/>
      <c r="B628" s="116" t="s">
        <v>116</v>
      </c>
      <c r="C628" s="105"/>
      <c r="D628" s="143">
        <v>125</v>
      </c>
      <c r="E628" s="143">
        <v>90</v>
      </c>
      <c r="F628" s="143">
        <v>100</v>
      </c>
      <c r="G628" s="143">
        <v>235</v>
      </c>
      <c r="H628" s="143">
        <v>550</v>
      </c>
      <c r="K628" s="11"/>
      <c r="L628" s="98"/>
      <c r="M628" s="98"/>
      <c r="O628" s="10"/>
      <c r="P628" s="10"/>
    </row>
    <row r="629" spans="1:16" ht="12.75" x14ac:dyDescent="0.2">
      <c r="A629" s="119">
        <v>538</v>
      </c>
      <c r="B629" s="120" t="s">
        <v>116</v>
      </c>
      <c r="C629" s="120" t="s">
        <v>1297</v>
      </c>
      <c r="D629" s="121">
        <v>23</v>
      </c>
      <c r="E629" s="121">
        <v>16</v>
      </c>
      <c r="F629" s="121">
        <v>19</v>
      </c>
      <c r="G629" s="121">
        <v>42</v>
      </c>
      <c r="H629" s="124">
        <v>100</v>
      </c>
      <c r="K629" s="11"/>
      <c r="L629" s="98"/>
      <c r="M629" s="98"/>
      <c r="O629" s="10"/>
      <c r="P629" s="10"/>
    </row>
    <row r="630" spans="1:16" ht="12.75" x14ac:dyDescent="0.2">
      <c r="A630" s="119">
        <v>539</v>
      </c>
      <c r="B630" s="120" t="s">
        <v>116</v>
      </c>
      <c r="C630" s="120" t="s">
        <v>807</v>
      </c>
      <c r="D630" s="121">
        <v>102</v>
      </c>
      <c r="E630" s="121">
        <v>74</v>
      </c>
      <c r="F630" s="121">
        <v>81</v>
      </c>
      <c r="G630" s="121">
        <v>193</v>
      </c>
      <c r="H630" s="124">
        <v>450</v>
      </c>
      <c r="K630" s="11"/>
      <c r="L630" s="98"/>
      <c r="M630" s="98"/>
      <c r="O630" s="10"/>
      <c r="P630" s="10"/>
    </row>
    <row r="631" spans="1:16" ht="12.75" x14ac:dyDescent="0.2">
      <c r="A631" s="99"/>
      <c r="B631" s="104"/>
      <c r="C631" s="175" t="s">
        <v>1298</v>
      </c>
      <c r="D631" s="110">
        <v>5422</v>
      </c>
      <c r="E631" s="110">
        <v>3935</v>
      </c>
      <c r="F631" s="110">
        <v>4230</v>
      </c>
      <c r="G631" s="110">
        <v>10033</v>
      </c>
      <c r="H631" s="110">
        <v>23620</v>
      </c>
      <c r="K631" s="11"/>
      <c r="L631" s="98"/>
      <c r="M631" s="98"/>
      <c r="O631" s="10"/>
      <c r="P631" s="10"/>
    </row>
    <row r="632" spans="1:16" ht="12.75" x14ac:dyDescent="0.2">
      <c r="A632" s="99"/>
      <c r="B632" s="343" t="s">
        <v>1299</v>
      </c>
      <c r="C632" s="333"/>
      <c r="D632" s="177">
        <v>276837</v>
      </c>
      <c r="E632" s="178">
        <v>184553</v>
      </c>
      <c r="F632" s="178">
        <v>203948</v>
      </c>
      <c r="G632" s="178">
        <v>485143</v>
      </c>
      <c r="H632" s="178">
        <v>1150481</v>
      </c>
      <c r="K632" s="11"/>
      <c r="L632" s="98"/>
      <c r="M632" s="98"/>
      <c r="O632" s="10"/>
      <c r="P632" s="10"/>
    </row>
    <row r="633" spans="1:16" ht="12.75" x14ac:dyDescent="0.2">
      <c r="K633" s="108"/>
      <c r="L633" s="98"/>
      <c r="M633" s="98"/>
      <c r="O633" s="10"/>
      <c r="P633" s="10"/>
    </row>
    <row r="634" spans="1:16" ht="12.75" x14ac:dyDescent="0.2">
      <c r="K634" s="11"/>
      <c r="L634" s="98"/>
      <c r="M634" s="98"/>
      <c r="O634" s="10"/>
      <c r="P634" s="10"/>
    </row>
    <row r="635" spans="1:16" ht="12.75" x14ac:dyDescent="0.2">
      <c r="K635" s="11"/>
      <c r="L635" s="98"/>
      <c r="M635" s="98"/>
      <c r="O635" s="10"/>
      <c r="P635" s="10"/>
    </row>
    <row r="636" spans="1:16" ht="12.75" x14ac:dyDescent="0.2">
      <c r="K636" s="11"/>
      <c r="L636" s="98"/>
      <c r="M636" s="98"/>
      <c r="O636" s="10"/>
      <c r="P636" s="10"/>
    </row>
    <row r="637" spans="1:16" ht="12.75" x14ac:dyDescent="0.2">
      <c r="K637" s="11"/>
      <c r="L637" s="98"/>
      <c r="M637" s="98"/>
      <c r="O637" s="10"/>
      <c r="P637" s="10"/>
    </row>
    <row r="638" spans="1:16" ht="12.75" x14ac:dyDescent="0.2">
      <c r="K638" s="11"/>
      <c r="L638" s="98"/>
      <c r="M638" s="98"/>
      <c r="O638" s="10"/>
      <c r="P638" s="10"/>
    </row>
    <row r="639" spans="1:16" ht="12.75" x14ac:dyDescent="0.2">
      <c r="K639" s="11"/>
      <c r="L639" s="98"/>
      <c r="M639" s="98"/>
      <c r="O639" s="10"/>
      <c r="P639" s="10"/>
    </row>
    <row r="640" spans="1:16" ht="12.75" x14ac:dyDescent="0.2">
      <c r="K640" s="11"/>
      <c r="L640" s="98"/>
      <c r="M640" s="98"/>
      <c r="O640" s="10"/>
      <c r="P640" s="10"/>
    </row>
    <row r="641" spans="11:16" ht="12.75" x14ac:dyDescent="0.2">
      <c r="K641" s="11"/>
      <c r="L641" s="98"/>
      <c r="M641" s="98"/>
      <c r="O641" s="10"/>
      <c r="P641" s="10"/>
    </row>
    <row r="642" spans="11:16" ht="12.75" x14ac:dyDescent="0.2">
      <c r="K642" s="11"/>
      <c r="L642" s="98"/>
      <c r="M642" s="98"/>
      <c r="O642" s="10"/>
      <c r="P642" s="10"/>
    </row>
    <row r="643" spans="11:16" ht="12.75" x14ac:dyDescent="0.2">
      <c r="K643" s="11"/>
      <c r="L643" s="98"/>
      <c r="M643" s="98"/>
      <c r="O643" s="10"/>
      <c r="P643" s="10"/>
    </row>
    <row r="644" spans="11:16" ht="12.75" x14ac:dyDescent="0.2">
      <c r="K644" s="11"/>
      <c r="L644" s="98"/>
      <c r="M644" s="98"/>
      <c r="O644" s="10"/>
      <c r="P644" s="10"/>
    </row>
    <row r="645" spans="11:16" ht="12.75" x14ac:dyDescent="0.2">
      <c r="K645" s="11"/>
      <c r="L645" s="98"/>
      <c r="M645" s="98"/>
      <c r="O645" s="10"/>
      <c r="P645" s="10"/>
    </row>
    <row r="646" spans="11:16" ht="12.75" x14ac:dyDescent="0.2">
      <c r="K646" s="11"/>
      <c r="L646" s="98"/>
      <c r="M646" s="98"/>
      <c r="O646" s="10"/>
      <c r="P646" s="10"/>
    </row>
    <row r="647" spans="11:16" ht="12.75" x14ac:dyDescent="0.2">
      <c r="K647" s="11"/>
      <c r="L647" s="98"/>
      <c r="M647" s="98"/>
      <c r="O647" s="10"/>
      <c r="P647" s="10"/>
    </row>
    <row r="648" spans="11:16" ht="12.75" x14ac:dyDescent="0.2">
      <c r="K648" s="11"/>
      <c r="L648" s="98"/>
      <c r="M648" s="98"/>
      <c r="O648" s="10"/>
      <c r="P648" s="10"/>
    </row>
    <row r="649" spans="11:16" ht="12.75" x14ac:dyDescent="0.2">
      <c r="K649" s="11"/>
      <c r="L649" s="98"/>
      <c r="M649" s="98"/>
      <c r="O649" s="10"/>
      <c r="P649" s="10"/>
    </row>
    <row r="650" spans="11:16" ht="12.75" x14ac:dyDescent="0.2">
      <c r="K650" s="11"/>
      <c r="L650" s="98"/>
      <c r="M650" s="98"/>
      <c r="O650" s="10"/>
      <c r="P650" s="10"/>
    </row>
    <row r="651" spans="11:16" ht="12.75" x14ac:dyDescent="0.2">
      <c r="K651" s="11"/>
      <c r="L651" s="98"/>
      <c r="M651" s="98"/>
      <c r="O651" s="10"/>
      <c r="P651" s="10"/>
    </row>
    <row r="652" spans="11:16" ht="12.75" x14ac:dyDescent="0.2">
      <c r="K652" s="11"/>
      <c r="L652" s="98"/>
      <c r="M652" s="98"/>
      <c r="O652" s="10"/>
      <c r="P652" s="10"/>
    </row>
    <row r="653" spans="11:16" ht="12.75" x14ac:dyDescent="0.2">
      <c r="K653" s="11"/>
      <c r="L653" s="98"/>
      <c r="M653" s="98"/>
      <c r="O653" s="10"/>
      <c r="P653" s="10"/>
    </row>
    <row r="654" spans="11:16" ht="12.75" x14ac:dyDescent="0.2">
      <c r="K654" s="11"/>
      <c r="L654" s="98"/>
      <c r="M654" s="98"/>
      <c r="O654" s="10"/>
      <c r="P654" s="10"/>
    </row>
    <row r="655" spans="11:16" ht="12.75" x14ac:dyDescent="0.2">
      <c r="K655" s="11"/>
      <c r="L655" s="98"/>
      <c r="M655" s="98"/>
      <c r="O655" s="10"/>
      <c r="P655" s="10"/>
    </row>
    <row r="656" spans="11:16" ht="12.75" x14ac:dyDescent="0.2">
      <c r="K656" s="11"/>
      <c r="L656" s="98"/>
      <c r="M656" s="98"/>
      <c r="O656" s="10"/>
      <c r="P656" s="10"/>
    </row>
    <row r="657" spans="11:16" ht="12.75" x14ac:dyDescent="0.2">
      <c r="K657" s="11"/>
      <c r="L657" s="98"/>
      <c r="M657" s="98"/>
      <c r="O657" s="10"/>
      <c r="P657" s="10"/>
    </row>
    <row r="658" spans="11:16" ht="12.75" x14ac:dyDescent="0.2">
      <c r="K658" s="11"/>
      <c r="L658" s="98"/>
      <c r="M658" s="98"/>
      <c r="O658" s="10"/>
      <c r="P658" s="10"/>
    </row>
    <row r="659" spans="11:16" ht="12.75" x14ac:dyDescent="0.2">
      <c r="K659" s="11"/>
      <c r="L659" s="98"/>
      <c r="M659" s="98"/>
      <c r="O659" s="10"/>
      <c r="P659" s="10"/>
    </row>
    <row r="660" spans="11:16" ht="12.75" x14ac:dyDescent="0.2">
      <c r="K660" s="11"/>
      <c r="L660" s="98"/>
      <c r="M660" s="98"/>
      <c r="O660" s="10"/>
      <c r="P660" s="10"/>
    </row>
    <row r="661" spans="11:16" ht="12.75" x14ac:dyDescent="0.2">
      <c r="K661" s="11"/>
      <c r="L661" s="98"/>
      <c r="M661" s="98"/>
      <c r="O661" s="10"/>
      <c r="P661" s="10"/>
    </row>
    <row r="662" spans="11:16" ht="12.75" x14ac:dyDescent="0.2">
      <c r="K662" s="11"/>
      <c r="L662" s="98"/>
      <c r="M662" s="98"/>
      <c r="O662" s="10"/>
      <c r="P662" s="10"/>
    </row>
    <row r="663" spans="11:16" ht="12.75" x14ac:dyDescent="0.2">
      <c r="K663" s="11"/>
      <c r="L663" s="98"/>
      <c r="M663" s="98"/>
      <c r="O663" s="10"/>
      <c r="P663" s="10"/>
    </row>
    <row r="664" spans="11:16" ht="12.75" x14ac:dyDescent="0.2">
      <c r="K664" s="11"/>
      <c r="L664" s="98"/>
      <c r="M664" s="98"/>
      <c r="O664" s="10"/>
      <c r="P664" s="10"/>
    </row>
    <row r="665" spans="11:16" ht="12.75" x14ac:dyDescent="0.2">
      <c r="K665" s="11"/>
      <c r="L665" s="98"/>
      <c r="M665" s="98"/>
      <c r="O665" s="10"/>
      <c r="P665" s="10"/>
    </row>
    <row r="666" spans="11:16" ht="12.75" x14ac:dyDescent="0.2">
      <c r="K666" s="11"/>
      <c r="L666" s="98"/>
      <c r="M666" s="98"/>
      <c r="O666" s="10"/>
      <c r="P666" s="10"/>
    </row>
    <row r="667" spans="11:16" ht="12.75" x14ac:dyDescent="0.2">
      <c r="K667" s="11"/>
      <c r="L667" s="98"/>
      <c r="M667" s="98"/>
      <c r="O667" s="10"/>
      <c r="P667" s="10"/>
    </row>
    <row r="668" spans="11:16" ht="12.75" x14ac:dyDescent="0.2">
      <c r="K668" s="11"/>
      <c r="L668" s="98"/>
      <c r="M668" s="98"/>
      <c r="O668" s="10"/>
      <c r="P668" s="10"/>
    </row>
    <row r="669" spans="11:16" ht="12.75" x14ac:dyDescent="0.2">
      <c r="K669" s="11"/>
      <c r="L669" s="98"/>
      <c r="M669" s="98"/>
      <c r="O669" s="10"/>
      <c r="P669" s="10"/>
    </row>
    <row r="670" spans="11:16" ht="12.75" x14ac:dyDescent="0.2">
      <c r="K670" s="11"/>
      <c r="L670" s="98"/>
      <c r="M670" s="98"/>
      <c r="O670" s="10"/>
      <c r="P670" s="10"/>
    </row>
    <row r="671" spans="11:16" ht="12.75" x14ac:dyDescent="0.2">
      <c r="K671" s="11"/>
      <c r="L671" s="98"/>
      <c r="M671" s="98"/>
      <c r="O671" s="10"/>
      <c r="P671" s="10"/>
    </row>
    <row r="672" spans="11:16" ht="12.75" x14ac:dyDescent="0.2">
      <c r="K672" s="11"/>
      <c r="L672" s="98"/>
      <c r="M672" s="98"/>
      <c r="O672" s="10"/>
      <c r="P672" s="10"/>
    </row>
    <row r="673" spans="11:16" ht="12.75" x14ac:dyDescent="0.2">
      <c r="K673" s="11"/>
      <c r="L673" s="98"/>
      <c r="M673" s="98"/>
      <c r="O673" s="10"/>
      <c r="P673" s="10"/>
    </row>
    <row r="674" spans="11:16" ht="12.75" x14ac:dyDescent="0.2">
      <c r="K674" s="11"/>
      <c r="L674" s="98"/>
      <c r="M674" s="98"/>
      <c r="O674" s="10"/>
      <c r="P674" s="10"/>
    </row>
    <row r="675" spans="11:16" ht="12.75" x14ac:dyDescent="0.2">
      <c r="K675" s="11"/>
      <c r="L675" s="98"/>
      <c r="M675" s="98"/>
      <c r="O675" s="10"/>
      <c r="P675" s="10"/>
    </row>
    <row r="676" spans="11:16" ht="12.75" x14ac:dyDescent="0.2">
      <c r="K676" s="11"/>
      <c r="L676" s="98"/>
      <c r="M676" s="98"/>
      <c r="O676" s="10"/>
      <c r="P676" s="10"/>
    </row>
    <row r="677" spans="11:16" ht="12.75" x14ac:dyDescent="0.2">
      <c r="K677" s="11"/>
      <c r="L677" s="98"/>
      <c r="M677" s="98"/>
      <c r="O677" s="10"/>
      <c r="P677" s="10"/>
    </row>
    <row r="678" spans="11:16" ht="12.75" x14ac:dyDescent="0.2">
      <c r="K678" s="11"/>
      <c r="L678" s="98"/>
      <c r="M678" s="98"/>
      <c r="O678" s="10"/>
      <c r="P678" s="10"/>
    </row>
    <row r="679" spans="11:16" ht="12.75" x14ac:dyDescent="0.2">
      <c r="K679" s="11"/>
      <c r="L679" s="98"/>
      <c r="M679" s="98"/>
      <c r="O679" s="10"/>
      <c r="P679" s="10"/>
    </row>
    <row r="680" spans="11:16" ht="12.75" x14ac:dyDescent="0.2">
      <c r="K680" s="11"/>
      <c r="L680" s="98"/>
      <c r="M680" s="98"/>
      <c r="O680" s="10"/>
      <c r="P680" s="10"/>
    </row>
    <row r="681" spans="11:16" ht="12.75" x14ac:dyDescent="0.2">
      <c r="K681" s="11"/>
      <c r="L681" s="98"/>
      <c r="M681" s="98"/>
      <c r="O681" s="10"/>
      <c r="P681" s="10"/>
    </row>
    <row r="682" spans="11:16" ht="12.75" x14ac:dyDescent="0.2">
      <c r="K682" s="11"/>
      <c r="L682" s="98"/>
      <c r="M682" s="98"/>
      <c r="O682" s="10"/>
      <c r="P682" s="10"/>
    </row>
    <row r="683" spans="11:16" ht="12.75" x14ac:dyDescent="0.2">
      <c r="K683" s="11"/>
      <c r="L683" s="98"/>
      <c r="M683" s="98"/>
      <c r="O683" s="10"/>
      <c r="P683" s="10"/>
    </row>
    <row r="684" spans="11:16" ht="12.75" x14ac:dyDescent="0.2">
      <c r="K684" s="11"/>
      <c r="L684" s="98"/>
      <c r="M684" s="98"/>
      <c r="O684" s="10"/>
      <c r="P684" s="10"/>
    </row>
    <row r="685" spans="11:16" ht="12.75" x14ac:dyDescent="0.2">
      <c r="K685" s="11"/>
      <c r="L685" s="98"/>
      <c r="M685" s="98"/>
      <c r="O685" s="10"/>
      <c r="P685" s="10"/>
    </row>
    <row r="686" spans="11:16" ht="12.75" x14ac:dyDescent="0.2">
      <c r="K686" s="11"/>
      <c r="L686" s="98"/>
      <c r="M686" s="98"/>
      <c r="O686" s="10"/>
      <c r="P686" s="10"/>
    </row>
    <row r="687" spans="11:16" ht="12.75" x14ac:dyDescent="0.2">
      <c r="K687" s="11"/>
      <c r="L687" s="98"/>
      <c r="M687" s="98"/>
      <c r="O687" s="10"/>
      <c r="P687" s="10"/>
    </row>
    <row r="688" spans="11:16" ht="12.75" x14ac:dyDescent="0.2">
      <c r="K688" s="11"/>
      <c r="L688" s="98"/>
      <c r="M688" s="98"/>
      <c r="O688" s="10"/>
      <c r="P688" s="10"/>
    </row>
    <row r="689" spans="11:16" ht="12.75" x14ac:dyDescent="0.2">
      <c r="K689" s="11"/>
      <c r="L689" s="98"/>
      <c r="M689" s="98"/>
      <c r="O689" s="10"/>
      <c r="P689" s="10"/>
    </row>
    <row r="690" spans="11:16" ht="12.75" x14ac:dyDescent="0.2">
      <c r="K690" s="11"/>
      <c r="L690" s="98"/>
      <c r="M690" s="98"/>
      <c r="O690" s="10"/>
      <c r="P690" s="10"/>
    </row>
    <row r="691" spans="11:16" ht="12.75" x14ac:dyDescent="0.2">
      <c r="K691" s="11"/>
      <c r="L691" s="98"/>
      <c r="M691" s="98"/>
      <c r="O691" s="10"/>
      <c r="P691" s="10"/>
    </row>
    <row r="692" spans="11:16" ht="12.75" x14ac:dyDescent="0.2">
      <c r="K692" s="11"/>
      <c r="L692" s="98"/>
      <c r="M692" s="98"/>
      <c r="O692" s="10"/>
      <c r="P692" s="10"/>
    </row>
    <row r="693" spans="11:16" ht="12.75" x14ac:dyDescent="0.2">
      <c r="K693" s="11"/>
      <c r="L693" s="98"/>
      <c r="M693" s="98"/>
      <c r="O693" s="10"/>
      <c r="P693" s="10"/>
    </row>
    <row r="694" spans="11:16" ht="12.75" x14ac:dyDescent="0.2">
      <c r="K694" s="11"/>
      <c r="L694" s="98"/>
      <c r="M694" s="98"/>
      <c r="O694" s="10"/>
      <c r="P694" s="10"/>
    </row>
    <row r="695" spans="11:16" ht="12.75" x14ac:dyDescent="0.2">
      <c r="K695" s="11"/>
      <c r="L695" s="98"/>
      <c r="M695" s="98"/>
      <c r="O695" s="10"/>
      <c r="P695" s="10"/>
    </row>
    <row r="696" spans="11:16" ht="12.75" x14ac:dyDescent="0.2">
      <c r="K696" s="11"/>
      <c r="L696" s="98"/>
      <c r="M696" s="98"/>
      <c r="O696" s="10"/>
      <c r="P696" s="10"/>
    </row>
    <row r="697" spans="11:16" ht="12.75" x14ac:dyDescent="0.2">
      <c r="K697" s="11"/>
      <c r="L697" s="98"/>
      <c r="M697" s="98"/>
      <c r="O697" s="10"/>
      <c r="P697" s="10"/>
    </row>
    <row r="698" spans="11:16" ht="12.75" x14ac:dyDescent="0.2">
      <c r="K698" s="11"/>
      <c r="L698" s="98"/>
      <c r="M698" s="98"/>
      <c r="O698" s="10"/>
      <c r="P698" s="10"/>
    </row>
    <row r="699" spans="11:16" ht="12.75" x14ac:dyDescent="0.2">
      <c r="K699" s="11"/>
      <c r="L699" s="98"/>
      <c r="M699" s="98"/>
      <c r="O699" s="10"/>
      <c r="P699" s="10"/>
    </row>
    <row r="700" spans="11:16" ht="12.75" x14ac:dyDescent="0.2">
      <c r="K700" s="11"/>
      <c r="L700" s="98"/>
      <c r="M700" s="98"/>
      <c r="O700" s="10"/>
      <c r="P700" s="10"/>
    </row>
    <row r="701" spans="11:16" ht="12.75" x14ac:dyDescent="0.2">
      <c r="K701" s="11"/>
      <c r="L701" s="98"/>
      <c r="M701" s="98"/>
      <c r="O701" s="10"/>
      <c r="P701" s="10"/>
    </row>
    <row r="702" spans="11:16" ht="12.75" x14ac:dyDescent="0.2">
      <c r="K702" s="11"/>
      <c r="L702" s="98"/>
      <c r="M702" s="98"/>
      <c r="O702" s="10"/>
      <c r="P702" s="10"/>
    </row>
    <row r="703" spans="11:16" ht="12.75" x14ac:dyDescent="0.2">
      <c r="K703" s="11"/>
      <c r="L703" s="98"/>
      <c r="M703" s="98"/>
      <c r="O703" s="10"/>
      <c r="P703" s="10"/>
    </row>
    <row r="704" spans="11:16" ht="12.75" x14ac:dyDescent="0.2">
      <c r="K704" s="11"/>
      <c r="L704" s="98"/>
      <c r="M704" s="98"/>
      <c r="O704" s="10"/>
      <c r="P704" s="10"/>
    </row>
    <row r="705" spans="11:16" ht="12.75" x14ac:dyDescent="0.2">
      <c r="K705" s="11"/>
      <c r="L705" s="98"/>
      <c r="M705" s="98"/>
      <c r="O705" s="10"/>
      <c r="P705" s="10"/>
    </row>
    <row r="706" spans="11:16" ht="12.75" x14ac:dyDescent="0.2">
      <c r="K706" s="11"/>
      <c r="L706" s="98"/>
      <c r="M706" s="98"/>
      <c r="O706" s="10"/>
      <c r="P706" s="10"/>
    </row>
    <row r="707" spans="11:16" ht="12.75" x14ac:dyDescent="0.2">
      <c r="K707" s="11"/>
      <c r="L707" s="98"/>
      <c r="M707" s="98"/>
      <c r="O707" s="10"/>
      <c r="P707" s="10"/>
    </row>
    <row r="708" spans="11:16" ht="12.75" x14ac:dyDescent="0.2">
      <c r="K708" s="11"/>
      <c r="L708" s="98"/>
      <c r="M708" s="98"/>
      <c r="O708" s="10"/>
      <c r="P708" s="10"/>
    </row>
    <row r="709" spans="11:16" ht="12.75" x14ac:dyDescent="0.2">
      <c r="K709" s="11"/>
      <c r="L709" s="98"/>
      <c r="M709" s="98"/>
      <c r="O709" s="10"/>
      <c r="P709" s="10"/>
    </row>
    <row r="710" spans="11:16" ht="12.75" x14ac:dyDescent="0.2">
      <c r="K710" s="11"/>
      <c r="L710" s="98"/>
      <c r="M710" s="98"/>
      <c r="O710" s="10"/>
      <c r="P710" s="10"/>
    </row>
    <row r="711" spans="11:16" ht="12.75" x14ac:dyDescent="0.2">
      <c r="K711" s="11"/>
      <c r="L711" s="98"/>
      <c r="M711" s="98"/>
      <c r="O711" s="10"/>
      <c r="P711" s="10"/>
    </row>
    <row r="712" spans="11:16" ht="12.75" x14ac:dyDescent="0.2">
      <c r="K712" s="11"/>
      <c r="L712" s="98"/>
      <c r="M712" s="98"/>
      <c r="O712" s="10"/>
      <c r="P712" s="10"/>
    </row>
    <row r="713" spans="11:16" ht="12.75" x14ac:dyDescent="0.2">
      <c r="K713" s="11"/>
      <c r="L713" s="98"/>
      <c r="M713" s="98"/>
      <c r="O713" s="10"/>
      <c r="P713" s="10"/>
    </row>
    <row r="714" spans="11:16" ht="12.75" x14ac:dyDescent="0.2">
      <c r="K714" s="11"/>
      <c r="L714" s="98"/>
      <c r="M714" s="98"/>
      <c r="O714" s="10"/>
      <c r="P714" s="10"/>
    </row>
    <row r="715" spans="11:16" ht="12.75" x14ac:dyDescent="0.2">
      <c r="K715" s="11"/>
      <c r="L715" s="98"/>
      <c r="M715" s="98"/>
      <c r="O715" s="10"/>
      <c r="P715" s="10"/>
    </row>
    <row r="716" spans="11:16" ht="12.75" x14ac:dyDescent="0.2">
      <c r="K716" s="11"/>
      <c r="L716" s="98"/>
      <c r="M716" s="98"/>
      <c r="O716" s="10"/>
      <c r="P716" s="10"/>
    </row>
    <row r="717" spans="11:16" ht="12.75" x14ac:dyDescent="0.2">
      <c r="K717" s="11"/>
      <c r="L717" s="98"/>
      <c r="M717" s="98"/>
      <c r="O717" s="10"/>
      <c r="P717" s="10"/>
    </row>
    <row r="718" spans="11:16" ht="12.75" x14ac:dyDescent="0.2">
      <c r="K718" s="11"/>
      <c r="L718" s="98"/>
      <c r="M718" s="98"/>
      <c r="O718" s="10"/>
      <c r="P718" s="10"/>
    </row>
    <row r="719" spans="11:16" ht="12.75" x14ac:dyDescent="0.2">
      <c r="K719" s="11"/>
      <c r="L719" s="98"/>
      <c r="M719" s="98"/>
      <c r="O719" s="10"/>
      <c r="P719" s="10"/>
    </row>
    <row r="720" spans="11:16" ht="12.75" x14ac:dyDescent="0.2">
      <c r="K720" s="11"/>
      <c r="L720" s="98"/>
      <c r="M720" s="98"/>
      <c r="O720" s="10"/>
      <c r="P720" s="10"/>
    </row>
    <row r="721" spans="11:16" ht="12.75" x14ac:dyDescent="0.2">
      <c r="K721" s="11"/>
      <c r="L721" s="98"/>
      <c r="M721" s="98"/>
      <c r="O721" s="10"/>
      <c r="P721" s="10"/>
    </row>
    <row r="722" spans="11:16" ht="12.75" x14ac:dyDescent="0.2">
      <c r="K722" s="11"/>
      <c r="L722" s="98"/>
      <c r="M722" s="98"/>
      <c r="O722" s="10"/>
      <c r="P722" s="10"/>
    </row>
    <row r="723" spans="11:16" ht="12.75" x14ac:dyDescent="0.2">
      <c r="K723" s="11"/>
      <c r="L723" s="98"/>
      <c r="M723" s="98"/>
      <c r="O723" s="10"/>
      <c r="P723" s="10"/>
    </row>
    <row r="724" spans="11:16" ht="12.75" x14ac:dyDescent="0.2">
      <c r="K724" s="11"/>
      <c r="L724" s="98"/>
      <c r="M724" s="98"/>
      <c r="O724" s="10"/>
      <c r="P724" s="10"/>
    </row>
    <row r="725" spans="11:16" ht="12.75" x14ac:dyDescent="0.2">
      <c r="K725" s="11"/>
      <c r="L725" s="98"/>
      <c r="M725" s="98"/>
      <c r="O725" s="10"/>
      <c r="P725" s="10"/>
    </row>
    <row r="726" spans="11:16" ht="12.75" x14ac:dyDescent="0.2">
      <c r="K726" s="11"/>
      <c r="L726" s="98"/>
      <c r="M726" s="98"/>
      <c r="O726" s="10"/>
      <c r="P726" s="10"/>
    </row>
    <row r="727" spans="11:16" ht="12.75" x14ac:dyDescent="0.2">
      <c r="K727" s="11"/>
      <c r="L727" s="98"/>
      <c r="M727" s="98"/>
      <c r="O727" s="10"/>
      <c r="P727" s="10"/>
    </row>
    <row r="728" spans="11:16" ht="12.75" x14ac:dyDescent="0.2">
      <c r="K728" s="11"/>
      <c r="L728" s="98"/>
      <c r="M728" s="98"/>
      <c r="O728" s="10"/>
      <c r="P728" s="10"/>
    </row>
    <row r="729" spans="11:16" ht="12.75" x14ac:dyDescent="0.2">
      <c r="K729" s="11"/>
      <c r="L729" s="98"/>
      <c r="M729" s="98"/>
      <c r="O729" s="10"/>
      <c r="P729" s="10"/>
    </row>
    <row r="730" spans="11:16" ht="12.75" x14ac:dyDescent="0.2">
      <c r="K730" s="11"/>
      <c r="L730" s="98"/>
      <c r="M730" s="98"/>
      <c r="O730" s="10"/>
      <c r="P730" s="10"/>
    </row>
    <row r="731" spans="11:16" ht="12.75" x14ac:dyDescent="0.2">
      <c r="K731" s="11"/>
      <c r="L731" s="98"/>
      <c r="M731" s="98"/>
      <c r="O731" s="10"/>
      <c r="P731" s="10"/>
    </row>
    <row r="732" spans="11:16" ht="12.75" x14ac:dyDescent="0.2">
      <c r="K732" s="11"/>
      <c r="L732" s="98"/>
      <c r="M732" s="98"/>
      <c r="O732" s="10"/>
      <c r="P732" s="10"/>
    </row>
    <row r="733" spans="11:16" ht="12.75" x14ac:dyDescent="0.2">
      <c r="K733" s="11"/>
      <c r="L733" s="98"/>
      <c r="M733" s="98"/>
      <c r="O733" s="10"/>
      <c r="P733" s="10"/>
    </row>
    <row r="734" spans="11:16" ht="12.75" x14ac:dyDescent="0.2">
      <c r="K734" s="11"/>
      <c r="L734" s="98"/>
      <c r="M734" s="98"/>
      <c r="O734" s="10"/>
      <c r="P734" s="10"/>
    </row>
    <row r="735" spans="11:16" ht="12.75" x14ac:dyDescent="0.2">
      <c r="K735" s="11"/>
      <c r="L735" s="98"/>
      <c r="M735" s="98"/>
      <c r="O735" s="10"/>
      <c r="P735" s="10"/>
    </row>
    <row r="736" spans="11:16" ht="12.75" x14ac:dyDescent="0.2">
      <c r="K736" s="11"/>
      <c r="L736" s="98"/>
      <c r="M736" s="98"/>
      <c r="O736" s="10"/>
      <c r="P736" s="10"/>
    </row>
    <row r="737" spans="11:16" ht="12.75" x14ac:dyDescent="0.2">
      <c r="K737" s="11"/>
      <c r="L737" s="98"/>
      <c r="M737" s="98"/>
      <c r="O737" s="10"/>
      <c r="P737" s="10"/>
    </row>
    <row r="738" spans="11:16" ht="12.75" x14ac:dyDescent="0.2">
      <c r="K738" s="11"/>
      <c r="L738" s="98"/>
      <c r="M738" s="98"/>
      <c r="O738" s="10"/>
      <c r="P738" s="10"/>
    </row>
    <row r="739" spans="11:16" ht="12.75" x14ac:dyDescent="0.2">
      <c r="K739" s="11"/>
      <c r="L739" s="98"/>
      <c r="M739" s="98"/>
      <c r="O739" s="10"/>
      <c r="P739" s="10"/>
    </row>
    <row r="740" spans="11:16" ht="12.75" x14ac:dyDescent="0.2">
      <c r="K740" s="11"/>
      <c r="L740" s="98"/>
      <c r="M740" s="98"/>
      <c r="O740" s="10"/>
      <c r="P740" s="10"/>
    </row>
    <row r="741" spans="11:16" ht="12.75" x14ac:dyDescent="0.2">
      <c r="K741" s="11"/>
      <c r="L741" s="98"/>
      <c r="M741" s="98"/>
      <c r="O741" s="10"/>
      <c r="P741" s="10"/>
    </row>
    <row r="742" spans="11:16" ht="12.75" x14ac:dyDescent="0.2">
      <c r="K742" s="11"/>
      <c r="L742" s="98"/>
      <c r="M742" s="98"/>
      <c r="O742" s="10"/>
      <c r="P742" s="10"/>
    </row>
    <row r="743" spans="11:16" ht="12.75" x14ac:dyDescent="0.2">
      <c r="K743" s="11"/>
      <c r="L743" s="98"/>
      <c r="M743" s="98"/>
      <c r="O743" s="10"/>
      <c r="P743" s="10"/>
    </row>
    <row r="744" spans="11:16" ht="12.75" x14ac:dyDescent="0.2">
      <c r="K744" s="11"/>
      <c r="L744" s="98"/>
      <c r="M744" s="98"/>
      <c r="O744" s="10"/>
      <c r="P744" s="10"/>
    </row>
    <row r="745" spans="11:16" ht="12.75" x14ac:dyDescent="0.2">
      <c r="K745" s="11"/>
      <c r="L745" s="98"/>
      <c r="M745" s="98"/>
      <c r="O745" s="10"/>
      <c r="P745" s="10"/>
    </row>
    <row r="746" spans="11:16" ht="12.75" x14ac:dyDescent="0.2">
      <c r="K746" s="11"/>
      <c r="L746" s="98"/>
      <c r="M746" s="98"/>
      <c r="O746" s="10"/>
      <c r="P746" s="10"/>
    </row>
    <row r="747" spans="11:16" ht="12.75" x14ac:dyDescent="0.2">
      <c r="K747" s="11"/>
      <c r="L747" s="98"/>
      <c r="M747" s="98"/>
      <c r="O747" s="10"/>
      <c r="P747" s="10"/>
    </row>
    <row r="748" spans="11:16" ht="12.75" x14ac:dyDescent="0.2">
      <c r="K748" s="11"/>
      <c r="L748" s="98"/>
      <c r="M748" s="98"/>
      <c r="O748" s="10"/>
      <c r="P748" s="10"/>
    </row>
    <row r="749" spans="11:16" ht="12.75" x14ac:dyDescent="0.2">
      <c r="K749" s="11"/>
      <c r="L749" s="98"/>
      <c r="M749" s="98"/>
      <c r="O749" s="10"/>
      <c r="P749" s="10"/>
    </row>
    <row r="750" spans="11:16" ht="12.75" x14ac:dyDescent="0.2">
      <c r="K750" s="11"/>
      <c r="L750" s="98"/>
      <c r="M750" s="98"/>
      <c r="O750" s="10"/>
      <c r="P750" s="10"/>
    </row>
    <row r="751" spans="11:16" ht="12.75" x14ac:dyDescent="0.2">
      <c r="K751" s="11"/>
      <c r="L751" s="98"/>
      <c r="M751" s="98"/>
      <c r="O751" s="10"/>
      <c r="P751" s="10"/>
    </row>
    <row r="752" spans="11:16" ht="12.75" x14ac:dyDescent="0.2">
      <c r="K752" s="11"/>
      <c r="L752" s="98"/>
      <c r="M752" s="98"/>
      <c r="O752" s="10"/>
      <c r="P752" s="10"/>
    </row>
    <row r="753" spans="11:16" ht="12.75" x14ac:dyDescent="0.2">
      <c r="K753" s="11"/>
      <c r="L753" s="98"/>
      <c r="M753" s="98"/>
      <c r="O753" s="10"/>
      <c r="P753" s="10"/>
    </row>
    <row r="754" spans="11:16" ht="12.75" x14ac:dyDescent="0.2">
      <c r="K754" s="11"/>
      <c r="L754" s="98"/>
      <c r="M754" s="98"/>
      <c r="O754" s="10"/>
      <c r="P754" s="10"/>
    </row>
    <row r="755" spans="11:16" ht="12.75" x14ac:dyDescent="0.2">
      <c r="K755" s="11"/>
      <c r="L755" s="98"/>
      <c r="M755" s="98"/>
      <c r="O755" s="10"/>
      <c r="P755" s="10"/>
    </row>
    <row r="756" spans="11:16" ht="12.75" x14ac:dyDescent="0.2">
      <c r="K756" s="11"/>
      <c r="L756" s="98"/>
      <c r="M756" s="98"/>
      <c r="O756" s="10"/>
      <c r="P756" s="10"/>
    </row>
    <row r="757" spans="11:16" ht="12.75" x14ac:dyDescent="0.2">
      <c r="K757" s="11"/>
      <c r="L757" s="98"/>
      <c r="M757" s="98"/>
      <c r="O757" s="10"/>
      <c r="P757" s="10"/>
    </row>
    <row r="758" spans="11:16" ht="12.75" x14ac:dyDescent="0.2">
      <c r="K758" s="11"/>
      <c r="L758" s="98"/>
      <c r="M758" s="98"/>
      <c r="O758" s="10"/>
      <c r="P758" s="10"/>
    </row>
    <row r="759" spans="11:16" ht="12.75" x14ac:dyDescent="0.2">
      <c r="K759" s="11"/>
      <c r="L759" s="98"/>
      <c r="M759" s="98"/>
      <c r="O759" s="10"/>
      <c r="P759" s="10"/>
    </row>
    <row r="760" spans="11:16" ht="12.75" x14ac:dyDescent="0.2">
      <c r="K760" s="11"/>
      <c r="L760" s="98"/>
      <c r="M760" s="98"/>
      <c r="O760" s="10"/>
      <c r="P760" s="10"/>
    </row>
    <row r="761" spans="11:16" ht="12.75" x14ac:dyDescent="0.2">
      <c r="K761" s="11"/>
      <c r="L761" s="98"/>
      <c r="M761" s="98"/>
      <c r="O761" s="10"/>
      <c r="P761" s="10"/>
    </row>
    <row r="762" spans="11:16" ht="12.75" x14ac:dyDescent="0.2">
      <c r="K762" s="11"/>
      <c r="L762" s="98"/>
      <c r="M762" s="98"/>
      <c r="O762" s="10"/>
      <c r="P762" s="10"/>
    </row>
    <row r="763" spans="11:16" ht="12.75" x14ac:dyDescent="0.2">
      <c r="K763" s="11"/>
      <c r="L763" s="98"/>
      <c r="M763" s="98"/>
      <c r="O763" s="10"/>
      <c r="P763" s="10"/>
    </row>
    <row r="764" spans="11:16" ht="12.75" x14ac:dyDescent="0.2">
      <c r="K764" s="11"/>
      <c r="L764" s="98"/>
      <c r="M764" s="98"/>
      <c r="O764" s="10"/>
      <c r="P764" s="10"/>
    </row>
    <row r="765" spans="11:16" ht="12.75" x14ac:dyDescent="0.2">
      <c r="K765" s="11"/>
      <c r="L765" s="98"/>
      <c r="M765" s="98"/>
      <c r="O765" s="10"/>
      <c r="P765" s="10"/>
    </row>
    <row r="766" spans="11:16" ht="12.75" x14ac:dyDescent="0.2">
      <c r="K766" s="11"/>
      <c r="L766" s="98"/>
      <c r="M766" s="98"/>
      <c r="O766" s="10"/>
      <c r="P766" s="10"/>
    </row>
    <row r="767" spans="11:16" ht="12.75" x14ac:dyDescent="0.2">
      <c r="K767" s="11"/>
      <c r="L767" s="98"/>
      <c r="M767" s="98"/>
      <c r="O767" s="10"/>
      <c r="P767" s="10"/>
    </row>
    <row r="768" spans="11:16" ht="12.75" x14ac:dyDescent="0.2">
      <c r="K768" s="11"/>
      <c r="L768" s="98"/>
      <c r="M768" s="98"/>
      <c r="O768" s="10"/>
      <c r="P768" s="10"/>
    </row>
    <row r="769" spans="11:16" ht="12.75" x14ac:dyDescent="0.2">
      <c r="K769" s="11"/>
      <c r="L769" s="98"/>
      <c r="M769" s="98"/>
      <c r="O769" s="10"/>
      <c r="P769" s="10"/>
    </row>
    <row r="770" spans="11:16" ht="12.75" x14ac:dyDescent="0.2">
      <c r="K770" s="11"/>
      <c r="L770" s="98"/>
      <c r="M770" s="98"/>
      <c r="O770" s="10"/>
      <c r="P770" s="10"/>
    </row>
    <row r="771" spans="11:16" ht="12.75" x14ac:dyDescent="0.2">
      <c r="K771" s="11"/>
      <c r="L771" s="98"/>
      <c r="M771" s="98"/>
      <c r="O771" s="10"/>
      <c r="P771" s="10"/>
    </row>
    <row r="772" spans="11:16" ht="12.75" x14ac:dyDescent="0.2">
      <c r="K772" s="11"/>
      <c r="L772" s="98"/>
      <c r="M772" s="98"/>
      <c r="O772" s="10"/>
      <c r="P772" s="10"/>
    </row>
    <row r="773" spans="11:16" ht="12.75" x14ac:dyDescent="0.2">
      <c r="K773" s="11"/>
      <c r="L773" s="98"/>
      <c r="M773" s="98"/>
      <c r="O773" s="10"/>
      <c r="P773" s="10"/>
    </row>
    <row r="774" spans="11:16" ht="12.75" x14ac:dyDescent="0.2">
      <c r="K774" s="11"/>
      <c r="L774" s="98"/>
      <c r="M774" s="98"/>
      <c r="O774" s="10"/>
      <c r="P774" s="10"/>
    </row>
    <row r="775" spans="11:16" ht="12.75" x14ac:dyDescent="0.2">
      <c r="K775" s="11"/>
      <c r="L775" s="98"/>
      <c r="M775" s="98"/>
      <c r="O775" s="10"/>
      <c r="P775" s="10"/>
    </row>
    <row r="776" spans="11:16" ht="12.75" x14ac:dyDescent="0.2">
      <c r="K776" s="11"/>
      <c r="L776" s="98"/>
      <c r="M776" s="98"/>
      <c r="O776" s="10"/>
      <c r="P776" s="10"/>
    </row>
    <row r="777" spans="11:16" ht="12.75" x14ac:dyDescent="0.2">
      <c r="K777" s="11"/>
      <c r="L777" s="98"/>
      <c r="M777" s="98"/>
      <c r="O777" s="10"/>
      <c r="P777" s="10"/>
    </row>
    <row r="778" spans="11:16" ht="12.75" x14ac:dyDescent="0.2">
      <c r="K778" s="11"/>
      <c r="L778" s="98"/>
      <c r="M778" s="98"/>
      <c r="O778" s="10"/>
      <c r="P778" s="10"/>
    </row>
    <row r="779" spans="11:16" ht="12.75" x14ac:dyDescent="0.2">
      <c r="K779" s="11"/>
      <c r="L779" s="98"/>
      <c r="M779" s="98"/>
      <c r="O779" s="10"/>
      <c r="P779" s="10"/>
    </row>
    <row r="780" spans="11:16" ht="12.75" x14ac:dyDescent="0.2">
      <c r="K780" s="11"/>
      <c r="L780" s="98"/>
      <c r="M780" s="98"/>
      <c r="O780" s="10"/>
      <c r="P780" s="10"/>
    </row>
    <row r="781" spans="11:16" ht="12.75" x14ac:dyDescent="0.2">
      <c r="K781" s="11"/>
      <c r="L781" s="98"/>
      <c r="M781" s="98"/>
      <c r="O781" s="10"/>
      <c r="P781" s="10"/>
    </row>
    <row r="782" spans="11:16" ht="12.75" x14ac:dyDescent="0.2">
      <c r="K782" s="11"/>
      <c r="L782" s="98"/>
      <c r="M782" s="98"/>
      <c r="O782" s="10"/>
      <c r="P782" s="10"/>
    </row>
    <row r="783" spans="11:16" ht="12.75" x14ac:dyDescent="0.2">
      <c r="K783" s="11"/>
      <c r="L783" s="98"/>
      <c r="M783" s="98"/>
      <c r="O783" s="10"/>
      <c r="P783" s="10"/>
    </row>
    <row r="784" spans="11:16" ht="12.75" x14ac:dyDescent="0.2">
      <c r="K784" s="11"/>
      <c r="L784" s="98"/>
      <c r="M784" s="98"/>
      <c r="O784" s="10"/>
      <c r="P784" s="10"/>
    </row>
    <row r="785" spans="11:16" ht="12.75" x14ac:dyDescent="0.2">
      <c r="K785" s="11"/>
      <c r="L785" s="98"/>
      <c r="M785" s="98"/>
      <c r="O785" s="10"/>
      <c r="P785" s="10"/>
    </row>
    <row r="786" spans="11:16" ht="12.75" x14ac:dyDescent="0.2">
      <c r="K786" s="11"/>
      <c r="L786" s="98"/>
      <c r="M786" s="98"/>
      <c r="O786" s="10"/>
      <c r="P786" s="10"/>
    </row>
    <row r="787" spans="11:16" ht="12.75" x14ac:dyDescent="0.2">
      <c r="K787" s="11"/>
      <c r="L787" s="98"/>
      <c r="M787" s="98"/>
      <c r="O787" s="10"/>
      <c r="P787" s="10"/>
    </row>
    <row r="788" spans="11:16" ht="12.75" x14ac:dyDescent="0.2">
      <c r="K788" s="11"/>
      <c r="L788" s="98"/>
      <c r="M788" s="98"/>
      <c r="O788" s="10"/>
      <c r="P788" s="10"/>
    </row>
    <row r="789" spans="11:16" ht="12.75" x14ac:dyDescent="0.2">
      <c r="K789" s="11"/>
      <c r="L789" s="98"/>
      <c r="M789" s="98"/>
      <c r="O789" s="10"/>
      <c r="P789" s="10"/>
    </row>
    <row r="790" spans="11:16" ht="12.75" x14ac:dyDescent="0.2">
      <c r="K790" s="11"/>
      <c r="L790" s="98"/>
      <c r="M790" s="98"/>
      <c r="O790" s="10"/>
      <c r="P790" s="10"/>
    </row>
    <row r="791" spans="11:16" ht="12.75" x14ac:dyDescent="0.2">
      <c r="K791" s="11"/>
      <c r="L791" s="98"/>
      <c r="M791" s="98"/>
      <c r="O791" s="10"/>
      <c r="P791" s="10"/>
    </row>
    <row r="792" spans="11:16" ht="12.75" x14ac:dyDescent="0.2">
      <c r="K792" s="11"/>
      <c r="L792" s="98"/>
      <c r="M792" s="98"/>
      <c r="O792" s="10"/>
      <c r="P792" s="10"/>
    </row>
    <row r="793" spans="11:16" ht="12.75" x14ac:dyDescent="0.2">
      <c r="K793" s="11"/>
      <c r="L793" s="98"/>
      <c r="M793" s="98"/>
      <c r="O793" s="10"/>
      <c r="P793" s="10"/>
    </row>
    <row r="794" spans="11:16" ht="12.75" x14ac:dyDescent="0.2">
      <c r="K794" s="11"/>
      <c r="L794" s="98"/>
      <c r="M794" s="98"/>
      <c r="O794" s="10"/>
      <c r="P794" s="10"/>
    </row>
    <row r="795" spans="11:16" ht="12.75" x14ac:dyDescent="0.2">
      <c r="K795" s="11"/>
      <c r="L795" s="98"/>
      <c r="M795" s="98"/>
      <c r="O795" s="10"/>
      <c r="P795" s="10"/>
    </row>
    <row r="796" spans="11:16" ht="12.75" x14ac:dyDescent="0.2">
      <c r="K796" s="11"/>
      <c r="L796" s="98"/>
      <c r="M796" s="98"/>
      <c r="O796" s="10"/>
      <c r="P796" s="10"/>
    </row>
    <row r="797" spans="11:16" ht="12.75" x14ac:dyDescent="0.2">
      <c r="K797" s="11"/>
      <c r="L797" s="98"/>
      <c r="M797" s="98"/>
      <c r="O797" s="10"/>
      <c r="P797" s="10"/>
    </row>
    <row r="798" spans="11:16" ht="12.75" x14ac:dyDescent="0.2">
      <c r="K798" s="11"/>
      <c r="L798" s="98"/>
      <c r="M798" s="98"/>
      <c r="O798" s="10"/>
      <c r="P798" s="10"/>
    </row>
    <row r="799" spans="11:16" ht="12.75" x14ac:dyDescent="0.2">
      <c r="K799" s="11"/>
      <c r="L799" s="98"/>
      <c r="M799" s="98"/>
      <c r="O799" s="10"/>
      <c r="P799" s="10"/>
    </row>
    <row r="800" spans="11:16" ht="12.75" x14ac:dyDescent="0.2">
      <c r="K800" s="11"/>
      <c r="L800" s="98"/>
      <c r="M800" s="98"/>
      <c r="O800" s="10"/>
      <c r="P800" s="10"/>
    </row>
    <row r="801" spans="11:16" ht="12.75" x14ac:dyDescent="0.2">
      <c r="K801" s="11"/>
      <c r="L801" s="98"/>
      <c r="M801" s="98"/>
      <c r="O801" s="10"/>
      <c r="P801" s="10"/>
    </row>
    <row r="802" spans="11:16" ht="12.75" x14ac:dyDescent="0.2">
      <c r="K802" s="11"/>
      <c r="L802" s="98"/>
      <c r="M802" s="98"/>
      <c r="O802" s="10"/>
      <c r="P802" s="10"/>
    </row>
    <row r="803" spans="11:16" ht="12.75" x14ac:dyDescent="0.2">
      <c r="K803" s="11"/>
      <c r="L803" s="98"/>
      <c r="M803" s="98"/>
      <c r="O803" s="10"/>
      <c r="P803" s="10"/>
    </row>
    <row r="804" spans="11:16" ht="12.75" x14ac:dyDescent="0.2">
      <c r="K804" s="11"/>
      <c r="L804" s="98"/>
      <c r="M804" s="98"/>
      <c r="O804" s="10"/>
      <c r="P804" s="10"/>
    </row>
    <row r="805" spans="11:16" ht="12.75" x14ac:dyDescent="0.2">
      <c r="K805" s="11"/>
      <c r="L805" s="98"/>
      <c r="M805" s="98"/>
      <c r="O805" s="10"/>
      <c r="P805" s="10"/>
    </row>
    <row r="806" spans="11:16" ht="12.75" x14ac:dyDescent="0.2">
      <c r="K806" s="11"/>
      <c r="L806" s="98"/>
      <c r="M806" s="98"/>
      <c r="O806" s="10"/>
      <c r="P806" s="10"/>
    </row>
    <row r="807" spans="11:16" ht="12.75" x14ac:dyDescent="0.2">
      <c r="K807" s="11"/>
      <c r="L807" s="98"/>
      <c r="M807" s="98"/>
      <c r="O807" s="10"/>
      <c r="P807" s="10"/>
    </row>
    <row r="808" spans="11:16" ht="12.75" x14ac:dyDescent="0.2">
      <c r="K808" s="11"/>
      <c r="L808" s="98"/>
      <c r="M808" s="98"/>
      <c r="O808" s="10"/>
      <c r="P808" s="10"/>
    </row>
    <row r="809" spans="11:16" ht="12.75" x14ac:dyDescent="0.2">
      <c r="K809" s="11"/>
      <c r="L809" s="98"/>
      <c r="M809" s="98"/>
      <c r="O809" s="10"/>
      <c r="P809" s="10"/>
    </row>
    <row r="810" spans="11:16" ht="12.75" x14ac:dyDescent="0.2">
      <c r="K810" s="11"/>
      <c r="L810" s="98"/>
      <c r="M810" s="98"/>
      <c r="O810" s="10"/>
      <c r="P810" s="10"/>
    </row>
    <row r="811" spans="11:16" ht="12.75" x14ac:dyDescent="0.2">
      <c r="K811" s="11"/>
      <c r="L811" s="98"/>
      <c r="M811" s="98"/>
      <c r="O811" s="10"/>
      <c r="P811" s="10"/>
    </row>
    <row r="812" spans="11:16" ht="12.75" x14ac:dyDescent="0.2">
      <c r="K812" s="11"/>
      <c r="L812" s="98"/>
      <c r="M812" s="98"/>
      <c r="O812" s="10"/>
      <c r="P812" s="10"/>
    </row>
    <row r="813" spans="11:16" ht="12.75" x14ac:dyDescent="0.2">
      <c r="K813" s="11"/>
      <c r="L813" s="98"/>
      <c r="M813" s="98"/>
      <c r="O813" s="10"/>
      <c r="P813" s="10"/>
    </row>
    <row r="814" spans="11:16" ht="12.75" x14ac:dyDescent="0.2">
      <c r="K814" s="11"/>
      <c r="L814" s="98"/>
      <c r="M814" s="98"/>
      <c r="O814" s="10"/>
      <c r="P814" s="10"/>
    </row>
    <row r="815" spans="11:16" ht="12.75" x14ac:dyDescent="0.2">
      <c r="K815" s="11"/>
      <c r="L815" s="98"/>
      <c r="M815" s="98"/>
      <c r="O815" s="10"/>
      <c r="P815" s="10"/>
    </row>
    <row r="816" spans="11:16" ht="12.75" x14ac:dyDescent="0.2">
      <c r="K816" s="11"/>
      <c r="L816" s="98"/>
      <c r="M816" s="98"/>
      <c r="O816" s="10"/>
      <c r="P816" s="10"/>
    </row>
    <row r="817" spans="11:16" ht="12.75" x14ac:dyDescent="0.2">
      <c r="K817" s="11"/>
      <c r="L817" s="98"/>
      <c r="M817" s="98"/>
      <c r="O817" s="10"/>
      <c r="P817" s="10"/>
    </row>
    <row r="818" spans="11:16" ht="12.75" x14ac:dyDescent="0.2">
      <c r="K818" s="11"/>
      <c r="L818" s="98"/>
      <c r="M818" s="98"/>
      <c r="O818" s="10"/>
      <c r="P818" s="10"/>
    </row>
    <row r="819" spans="11:16" ht="12.75" x14ac:dyDescent="0.2">
      <c r="K819" s="11"/>
      <c r="L819" s="98"/>
      <c r="M819" s="98"/>
      <c r="O819" s="10"/>
      <c r="P819" s="10"/>
    </row>
    <row r="820" spans="11:16" ht="12.75" x14ac:dyDescent="0.2">
      <c r="K820" s="11"/>
      <c r="L820" s="98"/>
      <c r="M820" s="98"/>
      <c r="O820" s="10"/>
      <c r="P820" s="10"/>
    </row>
    <row r="821" spans="11:16" ht="12.75" x14ac:dyDescent="0.2">
      <c r="K821" s="11"/>
      <c r="L821" s="98"/>
      <c r="M821" s="98"/>
      <c r="O821" s="10"/>
      <c r="P821" s="10"/>
    </row>
    <row r="822" spans="11:16" ht="12.75" x14ac:dyDescent="0.2">
      <c r="K822" s="11"/>
      <c r="L822" s="98"/>
      <c r="M822" s="98"/>
      <c r="O822" s="10"/>
      <c r="P822" s="10"/>
    </row>
    <row r="823" spans="11:16" ht="12.75" x14ac:dyDescent="0.2">
      <c r="K823" s="11"/>
      <c r="L823" s="98"/>
      <c r="M823" s="98"/>
      <c r="O823" s="10"/>
      <c r="P823" s="10"/>
    </row>
    <row r="824" spans="11:16" ht="12.75" x14ac:dyDescent="0.2">
      <c r="K824" s="11"/>
      <c r="L824" s="98"/>
      <c r="M824" s="98"/>
      <c r="O824" s="10"/>
      <c r="P824" s="10"/>
    </row>
    <row r="825" spans="11:16" ht="12.75" x14ac:dyDescent="0.2">
      <c r="K825" s="11"/>
      <c r="L825" s="98"/>
      <c r="M825" s="98"/>
      <c r="O825" s="10"/>
      <c r="P825" s="10"/>
    </row>
    <row r="826" spans="11:16" ht="12.75" x14ac:dyDescent="0.2">
      <c r="K826" s="11"/>
      <c r="L826" s="98"/>
      <c r="M826" s="98"/>
      <c r="O826" s="10"/>
      <c r="P826" s="10"/>
    </row>
    <row r="827" spans="11:16" ht="12.75" x14ac:dyDescent="0.2">
      <c r="K827" s="11"/>
      <c r="L827" s="98"/>
      <c r="M827" s="98"/>
      <c r="O827" s="10"/>
      <c r="P827" s="10"/>
    </row>
    <row r="828" spans="11:16" ht="12.75" x14ac:dyDescent="0.2">
      <c r="K828" s="11"/>
      <c r="L828" s="98"/>
      <c r="M828" s="98"/>
      <c r="O828" s="10"/>
      <c r="P828" s="10"/>
    </row>
    <row r="829" spans="11:16" ht="12.75" x14ac:dyDescent="0.2">
      <c r="K829" s="11"/>
      <c r="L829" s="98"/>
      <c r="M829" s="98"/>
      <c r="O829" s="10"/>
      <c r="P829" s="10"/>
    </row>
    <row r="830" spans="11:16" ht="12.75" x14ac:dyDescent="0.2">
      <c r="K830" s="11"/>
      <c r="L830" s="98"/>
      <c r="M830" s="98"/>
      <c r="O830" s="10"/>
      <c r="P830" s="10"/>
    </row>
    <row r="831" spans="11:16" ht="12.75" x14ac:dyDescent="0.2">
      <c r="K831" s="11"/>
      <c r="L831" s="98"/>
      <c r="M831" s="98"/>
      <c r="O831" s="10"/>
      <c r="P831" s="10"/>
    </row>
    <row r="832" spans="11:16" ht="12.75" x14ac:dyDescent="0.2">
      <c r="K832" s="11"/>
      <c r="L832" s="98"/>
      <c r="M832" s="98"/>
      <c r="O832" s="10"/>
      <c r="P832" s="10"/>
    </row>
    <row r="833" spans="11:16" ht="12.75" x14ac:dyDescent="0.2">
      <c r="K833" s="11"/>
      <c r="L833" s="98"/>
      <c r="M833" s="98"/>
      <c r="O833" s="10"/>
      <c r="P833" s="10"/>
    </row>
    <row r="834" spans="11:16" ht="12.75" x14ac:dyDescent="0.2">
      <c r="K834" s="11"/>
      <c r="L834" s="98"/>
      <c r="M834" s="98"/>
      <c r="O834" s="10"/>
      <c r="P834" s="10"/>
    </row>
    <row r="835" spans="11:16" ht="12.75" x14ac:dyDescent="0.2">
      <c r="K835" s="11"/>
      <c r="L835" s="98"/>
      <c r="M835" s="98"/>
      <c r="O835" s="10"/>
      <c r="P835" s="10"/>
    </row>
    <row r="836" spans="11:16" ht="12.75" x14ac:dyDescent="0.2">
      <c r="K836" s="11"/>
      <c r="L836" s="98"/>
      <c r="M836" s="98"/>
      <c r="O836" s="10"/>
      <c r="P836" s="10"/>
    </row>
    <row r="837" spans="11:16" ht="12.75" x14ac:dyDescent="0.2">
      <c r="K837" s="11"/>
      <c r="L837" s="98"/>
      <c r="M837" s="98"/>
      <c r="O837" s="10"/>
      <c r="P837" s="10"/>
    </row>
    <row r="838" spans="11:16" ht="12.75" x14ac:dyDescent="0.2">
      <c r="K838" s="11"/>
      <c r="L838" s="98"/>
      <c r="M838" s="98"/>
      <c r="O838" s="10"/>
      <c r="P838" s="10"/>
    </row>
    <row r="839" spans="11:16" ht="12.75" x14ac:dyDescent="0.2">
      <c r="K839" s="11"/>
      <c r="L839" s="98"/>
      <c r="M839" s="98"/>
      <c r="O839" s="10"/>
      <c r="P839" s="10"/>
    </row>
    <row r="840" spans="11:16" ht="12.75" x14ac:dyDescent="0.2">
      <c r="K840" s="11"/>
      <c r="L840" s="98"/>
      <c r="M840" s="98"/>
      <c r="O840" s="10"/>
      <c r="P840" s="10"/>
    </row>
    <row r="841" spans="11:16" ht="12.75" x14ac:dyDescent="0.2">
      <c r="K841" s="11"/>
      <c r="L841" s="98"/>
      <c r="M841" s="98"/>
      <c r="O841" s="10"/>
      <c r="P841" s="10"/>
    </row>
    <row r="842" spans="11:16" ht="12.75" x14ac:dyDescent="0.2">
      <c r="K842" s="11"/>
      <c r="L842" s="98"/>
      <c r="M842" s="98"/>
      <c r="O842" s="10"/>
      <c r="P842" s="10"/>
    </row>
    <row r="843" spans="11:16" ht="12.75" x14ac:dyDescent="0.2">
      <c r="K843" s="11"/>
      <c r="L843" s="98"/>
      <c r="M843" s="98"/>
      <c r="O843" s="10"/>
      <c r="P843" s="10"/>
    </row>
    <row r="844" spans="11:16" ht="12.75" x14ac:dyDescent="0.2">
      <c r="K844" s="11"/>
      <c r="L844" s="98"/>
      <c r="M844" s="98"/>
      <c r="O844" s="10"/>
      <c r="P844" s="10"/>
    </row>
    <row r="845" spans="11:16" ht="12.75" x14ac:dyDescent="0.2">
      <c r="K845" s="11"/>
      <c r="L845" s="98"/>
      <c r="M845" s="98"/>
      <c r="O845" s="10"/>
      <c r="P845" s="10"/>
    </row>
    <row r="846" spans="11:16" ht="12.75" x14ac:dyDescent="0.2">
      <c r="K846" s="11"/>
      <c r="L846" s="98"/>
      <c r="M846" s="98"/>
      <c r="O846" s="10"/>
      <c r="P846" s="10"/>
    </row>
    <row r="847" spans="11:16" ht="12.75" x14ac:dyDescent="0.2">
      <c r="K847" s="11"/>
      <c r="L847" s="98"/>
      <c r="M847" s="98"/>
      <c r="O847" s="10"/>
      <c r="P847" s="10"/>
    </row>
    <row r="848" spans="11:16" ht="12.75" x14ac:dyDescent="0.2">
      <c r="K848" s="11"/>
      <c r="L848" s="98"/>
      <c r="M848" s="98"/>
      <c r="O848" s="10"/>
      <c r="P848" s="10"/>
    </row>
    <row r="849" spans="11:16" ht="12.75" x14ac:dyDescent="0.2">
      <c r="K849" s="11"/>
      <c r="L849" s="98"/>
      <c r="M849" s="98"/>
      <c r="O849" s="10"/>
      <c r="P849" s="10"/>
    </row>
    <row r="850" spans="11:16" ht="12.75" x14ac:dyDescent="0.2">
      <c r="K850" s="11"/>
      <c r="L850" s="98"/>
      <c r="M850" s="98"/>
      <c r="O850" s="10"/>
      <c r="P850" s="10"/>
    </row>
    <row r="851" spans="11:16" ht="12.75" x14ac:dyDescent="0.2">
      <c r="K851" s="11"/>
      <c r="L851" s="98"/>
      <c r="M851" s="98"/>
      <c r="O851" s="10"/>
      <c r="P851" s="10"/>
    </row>
    <row r="852" spans="11:16" ht="12.75" x14ac:dyDescent="0.2">
      <c r="K852" s="11"/>
      <c r="L852" s="98"/>
      <c r="M852" s="98"/>
      <c r="O852" s="10"/>
      <c r="P852" s="10"/>
    </row>
    <row r="853" spans="11:16" ht="12.75" x14ac:dyDescent="0.2">
      <c r="K853" s="11"/>
      <c r="L853" s="98"/>
      <c r="M853" s="98"/>
      <c r="O853" s="10"/>
      <c r="P853" s="10"/>
    </row>
    <row r="854" spans="11:16" ht="12.75" x14ac:dyDescent="0.2">
      <c r="K854" s="11"/>
      <c r="L854" s="98"/>
      <c r="M854" s="98"/>
      <c r="O854" s="10"/>
      <c r="P854" s="10"/>
    </row>
    <row r="855" spans="11:16" ht="12.75" x14ac:dyDescent="0.2">
      <c r="K855" s="11"/>
      <c r="L855" s="98"/>
      <c r="M855" s="98"/>
      <c r="O855" s="10"/>
      <c r="P855" s="10"/>
    </row>
    <row r="856" spans="11:16" ht="12.75" x14ac:dyDescent="0.2">
      <c r="K856" s="11"/>
      <c r="L856" s="98"/>
      <c r="M856" s="98"/>
      <c r="O856" s="10"/>
      <c r="P856" s="10"/>
    </row>
    <row r="857" spans="11:16" ht="12.75" x14ac:dyDescent="0.2">
      <c r="K857" s="11"/>
      <c r="L857" s="98"/>
      <c r="M857" s="98"/>
      <c r="O857" s="10"/>
      <c r="P857" s="10"/>
    </row>
    <row r="858" spans="11:16" ht="12.75" x14ac:dyDescent="0.2">
      <c r="K858" s="11"/>
      <c r="L858" s="98"/>
      <c r="M858" s="98"/>
      <c r="O858" s="10"/>
      <c r="P858" s="10"/>
    </row>
    <row r="859" spans="11:16" ht="12.75" x14ac:dyDescent="0.2">
      <c r="K859" s="11"/>
      <c r="L859" s="98"/>
      <c r="M859" s="98"/>
      <c r="O859" s="10"/>
      <c r="P859" s="10"/>
    </row>
    <row r="860" spans="11:16" ht="12.75" x14ac:dyDescent="0.2">
      <c r="K860" s="11"/>
      <c r="L860" s="98"/>
      <c r="M860" s="98"/>
      <c r="O860" s="10"/>
      <c r="P860" s="10"/>
    </row>
    <row r="861" spans="11:16" ht="12.75" x14ac:dyDescent="0.2">
      <c r="K861" s="11"/>
      <c r="L861" s="98"/>
      <c r="M861" s="98"/>
      <c r="O861" s="10"/>
      <c r="P861" s="10"/>
    </row>
    <row r="862" spans="11:16" ht="12.75" x14ac:dyDescent="0.2">
      <c r="K862" s="11"/>
      <c r="L862" s="98"/>
      <c r="M862" s="98"/>
      <c r="O862" s="10"/>
      <c r="P862" s="10"/>
    </row>
    <row r="863" spans="11:16" ht="12.75" x14ac:dyDescent="0.2">
      <c r="K863" s="11"/>
      <c r="L863" s="98"/>
      <c r="M863" s="98"/>
      <c r="O863" s="10"/>
      <c r="P863" s="10"/>
    </row>
    <row r="864" spans="11:16" ht="12.75" x14ac:dyDescent="0.2">
      <c r="K864" s="11"/>
      <c r="L864" s="98"/>
      <c r="M864" s="98"/>
      <c r="O864" s="10"/>
      <c r="P864" s="10"/>
    </row>
    <row r="865" spans="11:16" ht="12.75" x14ac:dyDescent="0.2">
      <c r="K865" s="11"/>
      <c r="L865" s="98"/>
      <c r="M865" s="98"/>
      <c r="O865" s="10"/>
      <c r="P865" s="10"/>
    </row>
    <row r="866" spans="11:16" ht="12.75" x14ac:dyDescent="0.2">
      <c r="K866" s="11"/>
      <c r="L866" s="98"/>
      <c r="M866" s="98"/>
      <c r="O866" s="10"/>
      <c r="P866" s="10"/>
    </row>
    <row r="867" spans="11:16" ht="12.75" x14ac:dyDescent="0.2">
      <c r="K867" s="11"/>
      <c r="L867" s="98"/>
      <c r="M867" s="98"/>
      <c r="O867" s="10"/>
      <c r="P867" s="10"/>
    </row>
    <row r="868" spans="11:16" ht="12.75" x14ac:dyDescent="0.2">
      <c r="K868" s="11"/>
      <c r="L868" s="98"/>
      <c r="M868" s="98"/>
      <c r="O868" s="10"/>
      <c r="P868" s="10"/>
    </row>
    <row r="869" spans="11:16" ht="12.75" x14ac:dyDescent="0.2">
      <c r="K869" s="11"/>
      <c r="L869" s="98"/>
      <c r="M869" s="98"/>
      <c r="O869" s="10"/>
      <c r="P869" s="10"/>
    </row>
    <row r="870" spans="11:16" ht="12.75" x14ac:dyDescent="0.2">
      <c r="K870" s="11"/>
      <c r="L870" s="98"/>
      <c r="M870" s="98"/>
      <c r="O870" s="10"/>
      <c r="P870" s="10"/>
    </row>
    <row r="871" spans="11:16" ht="12.75" x14ac:dyDescent="0.2">
      <c r="K871" s="11"/>
      <c r="L871" s="98"/>
      <c r="M871" s="98"/>
      <c r="O871" s="10"/>
      <c r="P871" s="10"/>
    </row>
    <row r="872" spans="11:16" ht="12.75" x14ac:dyDescent="0.2">
      <c r="K872" s="11"/>
      <c r="L872" s="98"/>
      <c r="M872" s="98"/>
      <c r="O872" s="10"/>
      <c r="P872" s="10"/>
    </row>
    <row r="873" spans="11:16" ht="12.75" x14ac:dyDescent="0.2">
      <c r="K873" s="11"/>
      <c r="L873" s="98"/>
      <c r="M873" s="98"/>
      <c r="O873" s="10"/>
      <c r="P873" s="10"/>
    </row>
    <row r="874" spans="11:16" ht="12.75" x14ac:dyDescent="0.2">
      <c r="K874" s="11"/>
      <c r="L874" s="98"/>
      <c r="M874" s="98"/>
      <c r="O874" s="10"/>
      <c r="P874" s="10"/>
    </row>
    <row r="875" spans="11:16" ht="12.75" x14ac:dyDescent="0.2">
      <c r="K875" s="11"/>
      <c r="L875" s="98"/>
      <c r="M875" s="98"/>
      <c r="O875" s="10"/>
      <c r="P875" s="10"/>
    </row>
    <row r="876" spans="11:16" ht="12.75" x14ac:dyDescent="0.2">
      <c r="K876" s="11"/>
      <c r="L876" s="98"/>
      <c r="M876" s="98"/>
      <c r="O876" s="10"/>
      <c r="P876" s="10"/>
    </row>
    <row r="877" spans="11:16" ht="12.75" x14ac:dyDescent="0.2">
      <c r="K877" s="11"/>
      <c r="L877" s="98"/>
      <c r="M877" s="98"/>
      <c r="O877" s="10"/>
      <c r="P877" s="10"/>
    </row>
    <row r="878" spans="11:16" ht="12.75" x14ac:dyDescent="0.2">
      <c r="K878" s="11"/>
      <c r="L878" s="98"/>
      <c r="M878" s="98"/>
      <c r="O878" s="10"/>
      <c r="P878" s="10"/>
    </row>
    <row r="879" spans="11:16" ht="12.75" x14ac:dyDescent="0.2">
      <c r="K879" s="11"/>
      <c r="L879" s="98"/>
      <c r="M879" s="98"/>
      <c r="O879" s="10"/>
      <c r="P879" s="10"/>
    </row>
    <row r="880" spans="11:16" ht="12.75" x14ac:dyDescent="0.2">
      <c r="K880" s="11"/>
      <c r="L880" s="98"/>
      <c r="M880" s="98"/>
      <c r="O880" s="10"/>
      <c r="P880" s="10"/>
    </row>
    <row r="881" spans="11:16" ht="12.75" x14ac:dyDescent="0.2">
      <c r="K881" s="11"/>
      <c r="L881" s="98"/>
      <c r="M881" s="98"/>
      <c r="O881" s="10"/>
      <c r="P881" s="10"/>
    </row>
    <row r="882" spans="11:16" ht="12.75" x14ac:dyDescent="0.2">
      <c r="K882" s="11"/>
      <c r="L882" s="98"/>
      <c r="M882" s="98"/>
      <c r="O882" s="10"/>
      <c r="P882" s="10"/>
    </row>
    <row r="883" spans="11:16" ht="12.75" x14ac:dyDescent="0.2">
      <c r="K883" s="11"/>
      <c r="L883" s="98"/>
      <c r="M883" s="98"/>
      <c r="O883" s="10"/>
      <c r="P883" s="10"/>
    </row>
    <row r="884" spans="11:16" ht="12.75" x14ac:dyDescent="0.2">
      <c r="K884" s="11"/>
      <c r="L884" s="98"/>
      <c r="M884" s="98"/>
      <c r="O884" s="10"/>
      <c r="P884" s="10"/>
    </row>
    <row r="885" spans="11:16" ht="12.75" x14ac:dyDescent="0.2">
      <c r="K885" s="11"/>
      <c r="L885" s="98"/>
      <c r="M885" s="98"/>
      <c r="O885" s="10"/>
      <c r="P885" s="10"/>
    </row>
    <row r="886" spans="11:16" ht="12.75" x14ac:dyDescent="0.2">
      <c r="K886" s="11"/>
      <c r="L886" s="98"/>
      <c r="M886" s="98"/>
      <c r="O886" s="10"/>
      <c r="P886" s="10"/>
    </row>
    <row r="887" spans="11:16" ht="12.75" x14ac:dyDescent="0.2">
      <c r="K887" s="11"/>
      <c r="L887" s="98"/>
      <c r="M887" s="98"/>
      <c r="O887" s="10"/>
      <c r="P887" s="10"/>
    </row>
    <row r="888" spans="11:16" ht="12.75" x14ac:dyDescent="0.2">
      <c r="K888" s="11"/>
      <c r="L888" s="98"/>
      <c r="M888" s="98"/>
      <c r="O888" s="10"/>
      <c r="P888" s="10"/>
    </row>
    <row r="889" spans="11:16" ht="12.75" x14ac:dyDescent="0.2">
      <c r="K889" s="11"/>
      <c r="L889" s="98"/>
      <c r="M889" s="98"/>
      <c r="O889" s="10"/>
      <c r="P889" s="10"/>
    </row>
    <row r="890" spans="11:16" ht="12.75" x14ac:dyDescent="0.2">
      <c r="K890" s="11"/>
      <c r="L890" s="98"/>
      <c r="M890" s="98"/>
      <c r="O890" s="10"/>
      <c r="P890" s="10"/>
    </row>
    <row r="891" spans="11:16" ht="12.75" x14ac:dyDescent="0.2">
      <c r="K891" s="11"/>
      <c r="L891" s="98"/>
      <c r="M891" s="98"/>
      <c r="O891" s="10"/>
      <c r="P891" s="10"/>
    </row>
    <row r="892" spans="11:16" ht="12.75" x14ac:dyDescent="0.2">
      <c r="K892" s="11"/>
      <c r="L892" s="98"/>
      <c r="M892" s="98"/>
      <c r="O892" s="10"/>
      <c r="P892" s="10"/>
    </row>
    <row r="893" spans="11:16" ht="12.75" x14ac:dyDescent="0.2">
      <c r="K893" s="11"/>
      <c r="L893" s="98"/>
      <c r="M893" s="98"/>
      <c r="O893" s="10"/>
      <c r="P893" s="10"/>
    </row>
    <row r="894" spans="11:16" ht="12.75" x14ac:dyDescent="0.2">
      <c r="K894" s="11"/>
      <c r="L894" s="98"/>
      <c r="M894" s="98"/>
      <c r="O894" s="10"/>
      <c r="P894" s="10"/>
    </row>
    <row r="895" spans="11:16" ht="12.75" x14ac:dyDescent="0.2">
      <c r="K895" s="11"/>
      <c r="L895" s="98"/>
      <c r="M895" s="98"/>
      <c r="O895" s="10"/>
      <c r="P895" s="10"/>
    </row>
    <row r="896" spans="11:16" ht="12.75" x14ac:dyDescent="0.2">
      <c r="K896" s="11"/>
      <c r="L896" s="98"/>
      <c r="M896" s="98"/>
      <c r="O896" s="10"/>
      <c r="P896" s="10"/>
    </row>
    <row r="897" spans="11:16" ht="12.75" x14ac:dyDescent="0.2">
      <c r="K897" s="11"/>
      <c r="L897" s="98"/>
      <c r="M897" s="98"/>
      <c r="O897" s="10"/>
      <c r="P897" s="10"/>
    </row>
    <row r="898" spans="11:16" ht="12.75" x14ac:dyDescent="0.2">
      <c r="K898" s="11"/>
      <c r="L898" s="98"/>
      <c r="M898" s="98"/>
      <c r="O898" s="10"/>
      <c r="P898" s="10"/>
    </row>
    <row r="899" spans="11:16" ht="12.75" x14ac:dyDescent="0.2">
      <c r="K899" s="11"/>
      <c r="L899" s="98"/>
      <c r="M899" s="98"/>
      <c r="O899" s="10"/>
      <c r="P899" s="10"/>
    </row>
    <row r="900" spans="11:16" ht="12.75" x14ac:dyDescent="0.2">
      <c r="K900" s="11"/>
      <c r="L900" s="98"/>
      <c r="M900" s="98"/>
      <c r="O900" s="10"/>
      <c r="P900" s="10"/>
    </row>
    <row r="901" spans="11:16" ht="12.75" x14ac:dyDescent="0.2">
      <c r="K901" s="11"/>
      <c r="L901" s="98"/>
      <c r="M901" s="98"/>
      <c r="O901" s="10"/>
      <c r="P901" s="10"/>
    </row>
    <row r="902" spans="11:16" ht="12.75" x14ac:dyDescent="0.2">
      <c r="K902" s="11"/>
      <c r="L902" s="98"/>
      <c r="M902" s="98"/>
      <c r="O902" s="10"/>
      <c r="P902" s="10"/>
    </row>
    <row r="903" spans="11:16" ht="12.75" x14ac:dyDescent="0.2">
      <c r="K903" s="11"/>
      <c r="L903" s="98"/>
      <c r="M903" s="98"/>
      <c r="O903" s="10"/>
      <c r="P903" s="10"/>
    </row>
    <row r="904" spans="11:16" ht="12.75" x14ac:dyDescent="0.2">
      <c r="K904" s="11"/>
      <c r="L904" s="98"/>
      <c r="M904" s="98"/>
      <c r="O904" s="10"/>
      <c r="P904" s="10"/>
    </row>
    <row r="905" spans="11:16" ht="12.75" x14ac:dyDescent="0.2">
      <c r="K905" s="11"/>
      <c r="L905" s="98"/>
      <c r="M905" s="98"/>
      <c r="O905" s="10"/>
      <c r="P905" s="10"/>
    </row>
    <row r="906" spans="11:16" ht="12.75" x14ac:dyDescent="0.2">
      <c r="K906" s="11"/>
      <c r="L906" s="98"/>
      <c r="M906" s="98"/>
      <c r="O906" s="10"/>
      <c r="P906" s="10"/>
    </row>
    <row r="907" spans="11:16" ht="12.75" x14ac:dyDescent="0.2">
      <c r="K907" s="11"/>
      <c r="L907" s="98"/>
      <c r="M907" s="98"/>
      <c r="O907" s="10"/>
      <c r="P907" s="10"/>
    </row>
    <row r="908" spans="11:16" ht="12.75" x14ac:dyDescent="0.2">
      <c r="K908" s="11"/>
      <c r="L908" s="98"/>
      <c r="M908" s="98"/>
      <c r="O908" s="10"/>
      <c r="P908" s="10"/>
    </row>
    <row r="909" spans="11:16" ht="12.75" x14ac:dyDescent="0.2">
      <c r="K909" s="11"/>
      <c r="L909" s="98"/>
      <c r="M909" s="98"/>
      <c r="O909" s="10"/>
      <c r="P909" s="10"/>
    </row>
    <row r="910" spans="11:16" ht="12.75" x14ac:dyDescent="0.2">
      <c r="K910" s="11"/>
      <c r="L910" s="98"/>
      <c r="M910" s="98"/>
      <c r="O910" s="10"/>
      <c r="P910" s="10"/>
    </row>
    <row r="911" spans="11:16" ht="12.75" x14ac:dyDescent="0.2">
      <c r="K911" s="11"/>
      <c r="L911" s="98"/>
      <c r="M911" s="98"/>
      <c r="O911" s="10"/>
      <c r="P911" s="10"/>
    </row>
    <row r="912" spans="11:16" ht="12.75" x14ac:dyDescent="0.2">
      <c r="K912" s="11"/>
      <c r="L912" s="98"/>
      <c r="M912" s="98"/>
      <c r="O912" s="10"/>
      <c r="P912" s="10"/>
    </row>
    <row r="913" spans="11:16" ht="12.75" x14ac:dyDescent="0.2">
      <c r="K913" s="11"/>
      <c r="L913" s="98"/>
      <c r="M913" s="98"/>
      <c r="O913" s="10"/>
      <c r="P913" s="10"/>
    </row>
    <row r="914" spans="11:16" ht="12.75" x14ac:dyDescent="0.2">
      <c r="K914" s="11"/>
      <c r="L914" s="98"/>
      <c r="M914" s="98"/>
      <c r="O914" s="10"/>
      <c r="P914" s="10"/>
    </row>
    <row r="915" spans="11:16" ht="12.75" x14ac:dyDescent="0.2">
      <c r="K915" s="11"/>
      <c r="L915" s="98"/>
      <c r="M915" s="98"/>
      <c r="O915" s="10"/>
      <c r="P915" s="10"/>
    </row>
    <row r="916" spans="11:16" ht="12.75" x14ac:dyDescent="0.2">
      <c r="K916" s="11"/>
      <c r="L916" s="98"/>
      <c r="M916" s="98"/>
      <c r="O916" s="10"/>
      <c r="P916" s="10"/>
    </row>
    <row r="917" spans="11:16" ht="12.75" x14ac:dyDescent="0.2">
      <c r="K917" s="11"/>
      <c r="L917" s="98"/>
      <c r="M917" s="98"/>
      <c r="O917" s="10"/>
      <c r="P917" s="10"/>
    </row>
    <row r="918" spans="11:16" ht="12.75" x14ac:dyDescent="0.2">
      <c r="K918" s="11"/>
      <c r="L918" s="98"/>
      <c r="M918" s="98"/>
      <c r="O918" s="10"/>
      <c r="P918" s="10"/>
    </row>
    <row r="919" spans="11:16" ht="12.75" x14ac:dyDescent="0.2">
      <c r="K919" s="11"/>
      <c r="L919" s="98"/>
      <c r="M919" s="98"/>
      <c r="O919" s="10"/>
      <c r="P919" s="10"/>
    </row>
    <row r="920" spans="11:16" ht="12.75" x14ac:dyDescent="0.2">
      <c r="K920" s="11"/>
      <c r="L920" s="98"/>
      <c r="M920" s="98"/>
      <c r="O920" s="10"/>
      <c r="P920" s="10"/>
    </row>
    <row r="921" spans="11:16" ht="12.75" x14ac:dyDescent="0.2">
      <c r="K921" s="11"/>
      <c r="L921" s="98"/>
      <c r="M921" s="98"/>
      <c r="O921" s="10"/>
      <c r="P921" s="10"/>
    </row>
    <row r="922" spans="11:16" ht="12.75" x14ac:dyDescent="0.2">
      <c r="K922" s="11"/>
      <c r="L922" s="98"/>
      <c r="M922" s="98"/>
      <c r="O922" s="10"/>
      <c r="P922" s="10"/>
    </row>
    <row r="923" spans="11:16" ht="12.75" x14ac:dyDescent="0.2">
      <c r="K923" s="11"/>
      <c r="L923" s="98"/>
      <c r="M923" s="98"/>
      <c r="O923" s="10"/>
      <c r="P923" s="10"/>
    </row>
    <row r="924" spans="11:16" ht="12.75" x14ac:dyDescent="0.2">
      <c r="K924" s="11"/>
      <c r="L924" s="98"/>
      <c r="M924" s="98"/>
      <c r="O924" s="10"/>
      <c r="P924" s="10"/>
    </row>
    <row r="925" spans="11:16" ht="12.75" x14ac:dyDescent="0.2">
      <c r="K925" s="11"/>
      <c r="L925" s="98"/>
      <c r="M925" s="98"/>
      <c r="O925" s="10"/>
      <c r="P925" s="10"/>
    </row>
    <row r="926" spans="11:16" ht="12.75" x14ac:dyDescent="0.2">
      <c r="K926" s="11"/>
      <c r="L926" s="98"/>
      <c r="M926" s="98"/>
      <c r="O926" s="10"/>
      <c r="P926" s="10"/>
    </row>
    <row r="927" spans="11:16" ht="12.75" x14ac:dyDescent="0.2">
      <c r="K927" s="11"/>
      <c r="L927" s="98"/>
      <c r="M927" s="98"/>
      <c r="O927" s="10"/>
      <c r="P927" s="10"/>
    </row>
    <row r="928" spans="11:16" ht="12.75" x14ac:dyDescent="0.2">
      <c r="K928" s="11"/>
      <c r="L928" s="98"/>
      <c r="M928" s="98"/>
      <c r="O928" s="10"/>
      <c r="P928" s="10"/>
    </row>
    <row r="929" spans="11:16" ht="12.75" x14ac:dyDescent="0.2">
      <c r="K929" s="11"/>
      <c r="L929" s="98"/>
      <c r="M929" s="98"/>
      <c r="O929" s="10"/>
      <c r="P929" s="10"/>
    </row>
    <row r="930" spans="11:16" ht="12.75" x14ac:dyDescent="0.2">
      <c r="K930" s="11"/>
      <c r="L930" s="98"/>
      <c r="M930" s="98"/>
      <c r="O930" s="10"/>
      <c r="P930" s="10"/>
    </row>
    <row r="931" spans="11:16" ht="12.75" x14ac:dyDescent="0.2">
      <c r="K931" s="11"/>
      <c r="L931" s="98"/>
      <c r="M931" s="98"/>
      <c r="O931" s="10"/>
      <c r="P931" s="10"/>
    </row>
    <row r="932" spans="11:16" ht="12.75" x14ac:dyDescent="0.2">
      <c r="K932" s="11"/>
      <c r="L932" s="98"/>
      <c r="M932" s="98"/>
      <c r="O932" s="10"/>
      <c r="P932" s="10"/>
    </row>
    <row r="933" spans="11:16" ht="12.75" x14ac:dyDescent="0.2">
      <c r="K933" s="11"/>
      <c r="L933" s="98"/>
      <c r="M933" s="98"/>
      <c r="O933" s="10"/>
      <c r="P933" s="10"/>
    </row>
    <row r="934" spans="11:16" ht="12.75" x14ac:dyDescent="0.2">
      <c r="K934" s="11"/>
      <c r="L934" s="98"/>
      <c r="M934" s="98"/>
      <c r="O934" s="10"/>
      <c r="P934" s="10"/>
    </row>
    <row r="935" spans="11:16" ht="12.75" x14ac:dyDescent="0.2">
      <c r="K935" s="11"/>
      <c r="L935" s="98"/>
      <c r="M935" s="98"/>
      <c r="O935" s="10"/>
      <c r="P935" s="10"/>
    </row>
    <row r="936" spans="11:16" ht="12.75" x14ac:dyDescent="0.2">
      <c r="K936" s="11"/>
      <c r="L936" s="98"/>
      <c r="M936" s="98"/>
      <c r="O936" s="10"/>
      <c r="P936" s="10"/>
    </row>
    <row r="937" spans="11:16" ht="12.75" x14ac:dyDescent="0.2">
      <c r="K937" s="11"/>
      <c r="L937" s="98"/>
      <c r="M937" s="98"/>
      <c r="O937" s="10"/>
      <c r="P937" s="10"/>
    </row>
    <row r="938" spans="11:16" ht="12.75" x14ac:dyDescent="0.2">
      <c r="K938" s="11"/>
      <c r="L938" s="98"/>
      <c r="M938" s="98"/>
      <c r="O938" s="10"/>
      <c r="P938" s="10"/>
    </row>
    <row r="939" spans="11:16" ht="12.75" x14ac:dyDescent="0.2">
      <c r="K939" s="11"/>
      <c r="L939" s="98"/>
      <c r="M939" s="98"/>
      <c r="O939" s="10"/>
      <c r="P939" s="10"/>
    </row>
    <row r="940" spans="11:16" ht="12.75" x14ac:dyDescent="0.2">
      <c r="K940" s="11"/>
      <c r="L940" s="98"/>
      <c r="M940" s="98"/>
      <c r="O940" s="10"/>
      <c r="P940" s="10"/>
    </row>
    <row r="941" spans="11:16" ht="12.75" x14ac:dyDescent="0.2">
      <c r="K941" s="11"/>
      <c r="L941" s="98"/>
      <c r="M941" s="98"/>
      <c r="O941" s="10"/>
      <c r="P941" s="10"/>
    </row>
    <row r="942" spans="11:16" ht="12.75" x14ac:dyDescent="0.2">
      <c r="K942" s="11"/>
      <c r="L942" s="98"/>
      <c r="M942" s="98"/>
      <c r="O942" s="10"/>
      <c r="P942" s="10"/>
    </row>
    <row r="943" spans="11:16" ht="12.75" x14ac:dyDescent="0.2">
      <c r="K943" s="11"/>
      <c r="L943" s="98"/>
      <c r="M943" s="98"/>
      <c r="O943" s="10"/>
      <c r="P943" s="10"/>
    </row>
    <row r="944" spans="11:16" ht="12.75" x14ac:dyDescent="0.2">
      <c r="K944" s="11"/>
      <c r="L944" s="98"/>
      <c r="M944" s="98"/>
      <c r="O944" s="10"/>
      <c r="P944" s="10"/>
    </row>
    <row r="945" spans="11:16" ht="12.75" x14ac:dyDescent="0.2">
      <c r="K945" s="11"/>
      <c r="L945" s="98"/>
      <c r="M945" s="98"/>
      <c r="O945" s="10"/>
      <c r="P945" s="10"/>
    </row>
    <row r="946" spans="11:16" ht="12.75" x14ac:dyDescent="0.2">
      <c r="K946" s="11"/>
      <c r="L946" s="98"/>
      <c r="M946" s="98"/>
      <c r="O946" s="10"/>
      <c r="P946" s="10"/>
    </row>
    <row r="947" spans="11:16" ht="12.75" x14ac:dyDescent="0.2">
      <c r="K947" s="11"/>
      <c r="L947" s="98"/>
      <c r="M947" s="98"/>
      <c r="O947" s="10"/>
      <c r="P947" s="10"/>
    </row>
    <row r="948" spans="11:16" ht="12.75" x14ac:dyDescent="0.2">
      <c r="K948" s="11"/>
      <c r="L948" s="98"/>
      <c r="M948" s="98"/>
      <c r="O948" s="10"/>
      <c r="P948" s="10"/>
    </row>
    <row r="949" spans="11:16" ht="12.75" x14ac:dyDescent="0.2">
      <c r="K949" s="11"/>
      <c r="L949" s="98"/>
      <c r="M949" s="98"/>
      <c r="O949" s="10"/>
      <c r="P949" s="10"/>
    </row>
    <row r="950" spans="11:16" ht="12.75" x14ac:dyDescent="0.2">
      <c r="K950" s="11"/>
      <c r="L950" s="98"/>
      <c r="M950" s="98"/>
      <c r="O950" s="10"/>
      <c r="P950" s="10"/>
    </row>
    <row r="951" spans="11:16" ht="12.75" x14ac:dyDescent="0.2">
      <c r="K951" s="11"/>
      <c r="L951" s="98"/>
      <c r="M951" s="98"/>
      <c r="O951" s="10"/>
      <c r="P951" s="10"/>
    </row>
    <row r="952" spans="11:16" ht="12.75" x14ac:dyDescent="0.2">
      <c r="K952" s="11"/>
      <c r="L952" s="98"/>
      <c r="M952" s="98"/>
      <c r="O952" s="10"/>
      <c r="P952" s="10"/>
    </row>
    <row r="953" spans="11:16" ht="12.75" x14ac:dyDescent="0.2">
      <c r="K953" s="11"/>
      <c r="L953" s="98"/>
      <c r="M953" s="98"/>
      <c r="O953" s="10"/>
      <c r="P953" s="10"/>
    </row>
    <row r="954" spans="11:16" ht="12.75" x14ac:dyDescent="0.2">
      <c r="K954" s="11"/>
      <c r="L954" s="98"/>
      <c r="M954" s="98"/>
      <c r="O954" s="10"/>
      <c r="P954" s="10"/>
    </row>
    <row r="955" spans="11:16" ht="12.75" x14ac:dyDescent="0.2">
      <c r="K955" s="11"/>
      <c r="L955" s="98"/>
      <c r="M955" s="98"/>
      <c r="O955" s="10"/>
      <c r="P955" s="10"/>
    </row>
    <row r="956" spans="11:16" ht="12.75" x14ac:dyDescent="0.2">
      <c r="K956" s="11"/>
      <c r="L956" s="98"/>
      <c r="M956" s="98"/>
      <c r="O956" s="10"/>
      <c r="P956" s="10"/>
    </row>
    <row r="957" spans="11:16" ht="12.75" x14ac:dyDescent="0.2">
      <c r="K957" s="11"/>
      <c r="L957" s="98"/>
      <c r="M957" s="98"/>
      <c r="O957" s="10"/>
      <c r="P957" s="10"/>
    </row>
    <row r="958" spans="11:16" ht="12.75" x14ac:dyDescent="0.2">
      <c r="K958" s="11"/>
      <c r="L958" s="98"/>
      <c r="M958" s="98"/>
      <c r="O958" s="10"/>
      <c r="P958" s="10"/>
    </row>
    <row r="959" spans="11:16" ht="12.75" x14ac:dyDescent="0.2">
      <c r="K959" s="11"/>
      <c r="L959" s="98"/>
      <c r="M959" s="98"/>
      <c r="O959" s="10"/>
      <c r="P959" s="10"/>
    </row>
    <row r="960" spans="11:16" ht="12.75" x14ac:dyDescent="0.2">
      <c r="K960" s="11"/>
      <c r="L960" s="98"/>
      <c r="M960" s="98"/>
      <c r="O960" s="10"/>
      <c r="P960" s="10"/>
    </row>
    <row r="961" spans="11:16" ht="12.75" x14ac:dyDescent="0.2">
      <c r="K961" s="11"/>
      <c r="L961" s="98"/>
      <c r="M961" s="98"/>
      <c r="O961" s="10"/>
      <c r="P961" s="10"/>
    </row>
    <row r="962" spans="11:16" ht="12.75" x14ac:dyDescent="0.2">
      <c r="K962" s="11"/>
      <c r="L962" s="98"/>
      <c r="M962" s="98"/>
      <c r="O962" s="10"/>
      <c r="P962" s="10"/>
    </row>
    <row r="963" spans="11:16" ht="12.75" x14ac:dyDescent="0.2">
      <c r="K963" s="11"/>
      <c r="L963" s="98"/>
      <c r="M963" s="98"/>
      <c r="O963" s="10"/>
      <c r="P963" s="10"/>
    </row>
    <row r="964" spans="11:16" ht="12.75" x14ac:dyDescent="0.2">
      <c r="K964" s="11"/>
      <c r="L964" s="98"/>
      <c r="M964" s="98"/>
      <c r="O964" s="10"/>
      <c r="P964" s="10"/>
    </row>
    <row r="965" spans="11:16" ht="12.75" x14ac:dyDescent="0.2">
      <c r="K965" s="11"/>
      <c r="L965" s="98"/>
      <c r="M965" s="98"/>
      <c r="O965" s="10"/>
      <c r="P965" s="10"/>
    </row>
    <row r="966" spans="11:16" ht="12.75" x14ac:dyDescent="0.2">
      <c r="K966" s="11"/>
      <c r="L966" s="98"/>
      <c r="M966" s="98"/>
      <c r="O966" s="10"/>
      <c r="P966" s="10"/>
    </row>
    <row r="967" spans="11:16" ht="12.75" x14ac:dyDescent="0.2">
      <c r="K967" s="11"/>
      <c r="L967" s="98"/>
      <c r="M967" s="98"/>
      <c r="O967" s="10"/>
      <c r="P967" s="10"/>
    </row>
    <row r="968" spans="11:16" ht="12.75" x14ac:dyDescent="0.2">
      <c r="K968" s="11"/>
      <c r="L968" s="98"/>
      <c r="M968" s="98"/>
      <c r="O968" s="10"/>
      <c r="P968" s="10"/>
    </row>
    <row r="969" spans="11:16" ht="12.75" x14ac:dyDescent="0.2">
      <c r="K969" s="11"/>
      <c r="L969" s="98"/>
      <c r="M969" s="98"/>
      <c r="O969" s="10"/>
      <c r="P969" s="10"/>
    </row>
    <row r="970" spans="11:16" ht="12.75" x14ac:dyDescent="0.2">
      <c r="K970" s="11"/>
      <c r="L970" s="98"/>
      <c r="M970" s="98"/>
      <c r="O970" s="10"/>
      <c r="P970" s="10"/>
    </row>
    <row r="971" spans="11:16" ht="12.75" x14ac:dyDescent="0.2">
      <c r="K971" s="11"/>
      <c r="L971" s="98"/>
      <c r="M971" s="98"/>
      <c r="O971" s="10"/>
      <c r="P971" s="10"/>
    </row>
    <row r="972" spans="11:16" ht="12.75" x14ac:dyDescent="0.2">
      <c r="K972" s="11"/>
      <c r="L972" s="98"/>
      <c r="M972" s="98"/>
      <c r="O972" s="10"/>
      <c r="P972" s="10"/>
    </row>
    <row r="973" spans="11:16" ht="12.75" x14ac:dyDescent="0.2">
      <c r="K973" s="11"/>
      <c r="L973" s="98"/>
      <c r="M973" s="98"/>
      <c r="O973" s="10"/>
      <c r="P973" s="10"/>
    </row>
    <row r="974" spans="11:16" ht="12.75" x14ac:dyDescent="0.2">
      <c r="K974" s="11"/>
      <c r="L974" s="98"/>
      <c r="M974" s="98"/>
      <c r="O974" s="10"/>
      <c r="P974" s="10"/>
    </row>
    <row r="975" spans="11:16" ht="12.75" x14ac:dyDescent="0.2">
      <c r="K975" s="11"/>
      <c r="L975" s="98"/>
      <c r="M975" s="98"/>
      <c r="O975" s="10"/>
      <c r="P975" s="10"/>
    </row>
    <row r="976" spans="11:16" ht="12.75" x14ac:dyDescent="0.2">
      <c r="K976" s="11"/>
      <c r="L976" s="98"/>
      <c r="M976" s="98"/>
      <c r="O976" s="10"/>
      <c r="P976" s="10"/>
    </row>
    <row r="977" spans="11:16" ht="12.75" x14ac:dyDescent="0.2">
      <c r="K977" s="11"/>
      <c r="L977" s="98"/>
      <c r="M977" s="98"/>
      <c r="O977" s="10"/>
      <c r="P977" s="10"/>
    </row>
    <row r="978" spans="11:16" ht="12.75" x14ac:dyDescent="0.2">
      <c r="K978" s="11"/>
      <c r="L978" s="98"/>
      <c r="M978" s="98"/>
      <c r="O978" s="10"/>
      <c r="P978" s="10"/>
    </row>
    <row r="979" spans="11:16" ht="12.75" x14ac:dyDescent="0.2">
      <c r="K979" s="11"/>
      <c r="L979" s="98"/>
      <c r="M979" s="98"/>
      <c r="O979" s="10"/>
      <c r="P979" s="10"/>
    </row>
    <row r="980" spans="11:16" ht="12.75" x14ac:dyDescent="0.2">
      <c r="K980" s="11"/>
      <c r="L980" s="98"/>
      <c r="M980" s="98"/>
      <c r="O980" s="10"/>
      <c r="P980" s="10"/>
    </row>
    <row r="981" spans="11:16" ht="12.75" x14ac:dyDescent="0.2">
      <c r="K981" s="11"/>
      <c r="L981" s="98"/>
      <c r="M981" s="98"/>
      <c r="O981" s="10"/>
      <c r="P981" s="10"/>
    </row>
    <row r="982" spans="11:16" ht="12.75" x14ac:dyDescent="0.2">
      <c r="K982" s="11"/>
      <c r="L982" s="98"/>
      <c r="M982" s="98"/>
      <c r="O982" s="10"/>
      <c r="P982" s="10"/>
    </row>
    <row r="983" spans="11:16" ht="12.75" x14ac:dyDescent="0.2">
      <c r="K983" s="11"/>
      <c r="L983" s="98"/>
      <c r="M983" s="98"/>
      <c r="O983" s="10"/>
      <c r="P983" s="10"/>
    </row>
    <row r="984" spans="11:16" ht="12.75" x14ac:dyDescent="0.2">
      <c r="K984" s="11"/>
      <c r="L984" s="98"/>
      <c r="M984" s="98"/>
      <c r="O984" s="10"/>
      <c r="P984" s="10"/>
    </row>
    <row r="985" spans="11:16" ht="12.75" x14ac:dyDescent="0.2">
      <c r="K985" s="11"/>
      <c r="L985" s="98"/>
      <c r="M985" s="98"/>
      <c r="O985" s="10"/>
      <c r="P985" s="10"/>
    </row>
    <row r="986" spans="11:16" ht="12.75" x14ac:dyDescent="0.2">
      <c r="K986" s="11"/>
      <c r="L986" s="98"/>
      <c r="M986" s="98"/>
      <c r="O986" s="10"/>
      <c r="P986" s="10"/>
    </row>
    <row r="987" spans="11:16" ht="12.75" x14ac:dyDescent="0.2">
      <c r="K987" s="11"/>
      <c r="L987" s="98"/>
      <c r="M987" s="98"/>
      <c r="O987" s="10"/>
      <c r="P987" s="10"/>
    </row>
    <row r="988" spans="11:16" ht="12.75" x14ac:dyDescent="0.2">
      <c r="K988" s="11"/>
      <c r="L988" s="98"/>
      <c r="M988" s="98"/>
      <c r="O988" s="10"/>
      <c r="P988" s="10"/>
    </row>
    <row r="989" spans="11:16" ht="12.75" x14ac:dyDescent="0.2">
      <c r="K989" s="11"/>
      <c r="L989" s="98"/>
      <c r="M989" s="98"/>
      <c r="O989" s="10"/>
      <c r="P989" s="10"/>
    </row>
    <row r="990" spans="11:16" ht="12.75" x14ac:dyDescent="0.2">
      <c r="K990" s="11"/>
      <c r="L990" s="98"/>
      <c r="M990" s="98"/>
      <c r="O990" s="10"/>
      <c r="P990" s="10"/>
    </row>
    <row r="991" spans="11:16" ht="12.75" x14ac:dyDescent="0.2">
      <c r="K991" s="11"/>
      <c r="L991" s="98"/>
      <c r="M991" s="98"/>
      <c r="O991" s="10"/>
      <c r="P991" s="10"/>
    </row>
    <row r="992" spans="11:16" ht="12.75" x14ac:dyDescent="0.2">
      <c r="K992" s="11"/>
      <c r="L992" s="98"/>
      <c r="M992" s="98"/>
      <c r="O992" s="10"/>
      <c r="P992" s="10"/>
    </row>
    <row r="993" spans="11:16" ht="12.75" x14ac:dyDescent="0.2">
      <c r="K993" s="11"/>
      <c r="L993" s="98"/>
      <c r="M993" s="98"/>
      <c r="O993" s="10"/>
      <c r="P993" s="10"/>
    </row>
    <row r="994" spans="11:16" ht="12.75" x14ac:dyDescent="0.2">
      <c r="K994" s="11"/>
      <c r="L994" s="98"/>
      <c r="M994" s="98"/>
      <c r="O994" s="10"/>
      <c r="P994" s="10"/>
    </row>
    <row r="995" spans="11:16" ht="12.75" x14ac:dyDescent="0.2">
      <c r="K995" s="11"/>
      <c r="L995" s="98"/>
      <c r="M995" s="98"/>
      <c r="O995" s="10"/>
      <c r="P995" s="10"/>
    </row>
    <row r="996" spans="11:16" ht="12.75" x14ac:dyDescent="0.2">
      <c r="K996" s="11"/>
      <c r="L996" s="98"/>
      <c r="M996" s="98"/>
      <c r="O996" s="10"/>
      <c r="P996" s="10"/>
    </row>
    <row r="997" spans="11:16" ht="12.75" x14ac:dyDescent="0.2">
      <c r="K997" s="11"/>
      <c r="L997" s="98"/>
      <c r="M997" s="98"/>
      <c r="O997" s="10"/>
      <c r="P997" s="10"/>
    </row>
    <row r="998" spans="11:16" ht="12.75" x14ac:dyDescent="0.2">
      <c r="K998" s="11"/>
      <c r="L998" s="98"/>
      <c r="M998" s="98"/>
      <c r="O998" s="10"/>
      <c r="P998" s="10"/>
    </row>
    <row r="999" spans="11:16" ht="12.75" x14ac:dyDescent="0.2">
      <c r="K999" s="11"/>
      <c r="L999" s="98"/>
      <c r="M999" s="98"/>
      <c r="O999" s="10"/>
      <c r="P999" s="10"/>
    </row>
    <row r="1000" spans="11:16" ht="12.75" x14ac:dyDescent="0.2">
      <c r="K1000" s="11"/>
      <c r="L1000" s="98"/>
      <c r="M1000" s="98"/>
      <c r="O1000" s="10"/>
      <c r="P1000" s="10"/>
    </row>
    <row r="1001" spans="11:16" ht="12.75" x14ac:dyDescent="0.2">
      <c r="K1001" s="11"/>
      <c r="L1001" s="98"/>
      <c r="M1001" s="98"/>
      <c r="O1001" s="10"/>
      <c r="P1001" s="10"/>
    </row>
  </sheetData>
  <sheetProtection algorithmName="SHA-512" hashValue="95rRITrjLt//pROKo27zUwvao1yNyqwZ2I1poednYuGS67PNpMHVWEzEvVraAH8bskbLWqSFykx0YtVH1ONo4w==" saltValue="n7DF5Nr7uSo10r96Qg+LhA==" spinCount="100000" sheet="1" objects="1" scenarios="1"/>
  <mergeCells count="6">
    <mergeCell ref="B632:C632"/>
    <mergeCell ref="A2:K2"/>
    <mergeCell ref="B4:C4"/>
    <mergeCell ref="D4:H4"/>
    <mergeCell ref="A6:B6"/>
    <mergeCell ref="B555:C55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outlinePr summaryBelow="0" summaryRight="0"/>
  </sheetPr>
  <dimension ref="A1:T66"/>
  <sheetViews>
    <sheetView workbookViewId="0">
      <selection activeCell="O35" sqref="O35"/>
    </sheetView>
  </sheetViews>
  <sheetFormatPr defaultColWidth="14.42578125" defaultRowHeight="15.75" customHeight="1" x14ac:dyDescent="0.2"/>
  <sheetData>
    <row r="1" spans="1:20" ht="15.75" customHeight="1" x14ac:dyDescent="0.2">
      <c r="A1" s="350" t="s">
        <v>1286</v>
      </c>
      <c r="B1" s="333"/>
      <c r="C1" s="333"/>
      <c r="D1" s="333"/>
      <c r="E1" s="333"/>
      <c r="F1" s="333"/>
      <c r="G1" s="333"/>
      <c r="H1" s="168"/>
      <c r="I1" s="168"/>
      <c r="J1" s="168"/>
      <c r="K1" s="168"/>
      <c r="L1" s="168"/>
      <c r="M1" s="168"/>
      <c r="N1" s="168"/>
      <c r="O1" s="168"/>
      <c r="P1" s="168"/>
      <c r="Q1" s="168"/>
    </row>
    <row r="2" spans="1:20" ht="15.75" customHeight="1" x14ac:dyDescent="0.25">
      <c r="A2" s="169"/>
      <c r="B2" s="351" t="s">
        <v>1290</v>
      </c>
      <c r="C2" s="348"/>
      <c r="D2" s="348"/>
      <c r="E2" s="348"/>
      <c r="F2" s="348"/>
      <c r="G2" s="348"/>
      <c r="H2" s="348"/>
      <c r="I2" s="348"/>
      <c r="J2" s="348"/>
      <c r="K2" s="349"/>
      <c r="L2" s="352" t="s">
        <v>1292</v>
      </c>
      <c r="M2" s="348"/>
      <c r="N2" s="348"/>
      <c r="O2" s="348"/>
      <c r="P2" s="348"/>
      <c r="Q2" s="348"/>
    </row>
    <row r="3" spans="1:20" ht="15.75" customHeight="1" x14ac:dyDescent="0.25">
      <c r="A3" s="170" t="s">
        <v>1294</v>
      </c>
      <c r="B3" s="171">
        <v>2010</v>
      </c>
      <c r="C3" s="172">
        <v>2011</v>
      </c>
      <c r="D3" s="172">
        <v>2012</v>
      </c>
      <c r="E3" s="172">
        <v>2013</v>
      </c>
      <c r="F3" s="172">
        <v>2014</v>
      </c>
      <c r="G3" s="172">
        <v>2015</v>
      </c>
      <c r="H3" s="172">
        <v>2016</v>
      </c>
      <c r="I3" s="172">
        <v>2017</v>
      </c>
      <c r="J3" s="172">
        <v>2018</v>
      </c>
      <c r="K3" s="171">
        <v>2019</v>
      </c>
      <c r="L3" s="171">
        <v>2020</v>
      </c>
      <c r="M3" s="172">
        <v>2021</v>
      </c>
      <c r="N3" s="172">
        <v>2022</v>
      </c>
      <c r="O3" s="172">
        <v>2023</v>
      </c>
      <c r="P3" s="172">
        <v>2024</v>
      </c>
      <c r="Q3" s="172">
        <v>2025</v>
      </c>
    </row>
    <row r="4" spans="1:20" ht="15.75" customHeight="1" x14ac:dyDescent="0.25">
      <c r="A4" s="173" t="s">
        <v>1296</v>
      </c>
      <c r="B4" s="174">
        <v>37367579</v>
      </c>
      <c r="C4" s="176">
        <v>37729544</v>
      </c>
      <c r="D4" s="176">
        <v>38101155</v>
      </c>
      <c r="E4" s="176">
        <v>38410053</v>
      </c>
      <c r="F4" s="176">
        <v>38742595</v>
      </c>
      <c r="G4" s="176">
        <v>39055383</v>
      </c>
      <c r="H4" s="176">
        <v>39308636</v>
      </c>
      <c r="I4" s="176">
        <v>39590613</v>
      </c>
      <c r="J4" s="176">
        <v>39817785</v>
      </c>
      <c r="K4" s="174">
        <v>39959095</v>
      </c>
      <c r="L4" s="174">
        <v>40129160</v>
      </c>
      <c r="M4" s="176">
        <v>40311230</v>
      </c>
      <c r="N4" s="176">
        <v>40507293</v>
      </c>
      <c r="O4" s="176">
        <v>40716512</v>
      </c>
      <c r="P4" s="176">
        <v>40938929</v>
      </c>
      <c r="Q4" s="176">
        <v>41176614</v>
      </c>
    </row>
    <row r="5" spans="1:20" ht="15.75" customHeight="1" x14ac:dyDescent="0.25">
      <c r="A5" s="179" t="s">
        <v>1300</v>
      </c>
      <c r="B5" s="180">
        <v>1516357</v>
      </c>
      <c r="C5" s="180">
        <v>1534536</v>
      </c>
      <c r="D5" s="180">
        <v>1557085</v>
      </c>
      <c r="E5" s="180">
        <v>1577934</v>
      </c>
      <c r="F5" s="180">
        <v>1601017</v>
      </c>
      <c r="G5" s="180">
        <v>1621520</v>
      </c>
      <c r="H5" s="180">
        <v>1637792</v>
      </c>
      <c r="I5" s="180">
        <v>1651559</v>
      </c>
      <c r="J5" s="180">
        <v>1662730</v>
      </c>
      <c r="K5" s="180">
        <v>1674115</v>
      </c>
      <c r="L5" s="180">
        <v>1685886</v>
      </c>
      <c r="M5" s="180">
        <v>1698350</v>
      </c>
      <c r="N5" s="180">
        <v>1711617</v>
      </c>
      <c r="O5" s="180">
        <v>1725728</v>
      </c>
      <c r="P5" s="180">
        <v>1740631</v>
      </c>
      <c r="Q5" s="180">
        <v>1756709</v>
      </c>
      <c r="S5" s="181"/>
    </row>
    <row r="6" spans="1:20" ht="15.75" customHeight="1" x14ac:dyDescent="0.25">
      <c r="A6" s="179" t="s">
        <v>1255</v>
      </c>
      <c r="B6" s="180">
        <v>1175</v>
      </c>
      <c r="C6" s="180">
        <v>1170</v>
      </c>
      <c r="D6" s="180">
        <v>1166</v>
      </c>
      <c r="E6" s="180">
        <v>1164</v>
      </c>
      <c r="F6" s="180">
        <v>1161</v>
      </c>
      <c r="G6" s="180">
        <v>1154</v>
      </c>
      <c r="H6" s="180">
        <v>1151</v>
      </c>
      <c r="I6" s="180">
        <v>1146</v>
      </c>
      <c r="J6" s="180">
        <v>1134</v>
      </c>
      <c r="K6" s="180">
        <v>1128</v>
      </c>
      <c r="L6" s="180">
        <v>1117</v>
      </c>
      <c r="M6" s="180">
        <v>1108</v>
      </c>
      <c r="N6" s="180">
        <v>1098</v>
      </c>
      <c r="O6" s="180">
        <v>1090</v>
      </c>
      <c r="P6" s="180">
        <v>1084</v>
      </c>
      <c r="Q6" s="180">
        <v>1080</v>
      </c>
      <c r="S6" s="181"/>
      <c r="T6" s="45">
        <f>S4/1800000</f>
        <v>0</v>
      </c>
    </row>
    <row r="7" spans="1:20" ht="15.75" customHeight="1" x14ac:dyDescent="0.25">
      <c r="A7" s="179" t="s">
        <v>1301</v>
      </c>
      <c r="B7" s="180">
        <v>37682</v>
      </c>
      <c r="C7" s="180">
        <v>37007</v>
      </c>
      <c r="D7" s="180">
        <v>36631</v>
      </c>
      <c r="E7" s="180">
        <v>36167</v>
      </c>
      <c r="F7" s="180">
        <v>36403</v>
      </c>
      <c r="G7" s="180">
        <v>36385</v>
      </c>
      <c r="H7" s="180">
        <v>36843</v>
      </c>
      <c r="I7" s="180">
        <v>37391</v>
      </c>
      <c r="J7" s="180">
        <v>38146</v>
      </c>
      <c r="K7" s="180">
        <v>38223</v>
      </c>
      <c r="L7" s="180">
        <v>38531</v>
      </c>
      <c r="M7" s="180">
        <v>38818</v>
      </c>
      <c r="N7" s="180">
        <v>39069</v>
      </c>
      <c r="O7" s="180">
        <v>39283</v>
      </c>
      <c r="P7" s="180">
        <v>39469</v>
      </c>
      <c r="Q7" s="180">
        <v>39613</v>
      </c>
    </row>
    <row r="8" spans="1:20" ht="15.75" customHeight="1" x14ac:dyDescent="0.25">
      <c r="A8" s="170" t="s">
        <v>1302</v>
      </c>
      <c r="B8" s="174">
        <v>220377</v>
      </c>
      <c r="C8" s="174">
        <v>220988</v>
      </c>
      <c r="D8" s="174">
        <v>222159</v>
      </c>
      <c r="E8" s="174">
        <v>222374</v>
      </c>
      <c r="F8" s="174">
        <v>223743</v>
      </c>
      <c r="G8" s="174">
        <v>224301</v>
      </c>
      <c r="H8" s="174">
        <v>224785</v>
      </c>
      <c r="I8" s="174">
        <v>226421</v>
      </c>
      <c r="J8" s="174">
        <v>227353</v>
      </c>
      <c r="K8" s="174">
        <v>216965</v>
      </c>
      <c r="L8" s="174">
        <v>217769</v>
      </c>
      <c r="M8" s="174">
        <v>219725</v>
      </c>
      <c r="N8" s="174">
        <v>222303</v>
      </c>
      <c r="O8" s="174">
        <v>225571</v>
      </c>
      <c r="P8" s="174">
        <v>228109</v>
      </c>
      <c r="Q8" s="174">
        <v>230003</v>
      </c>
    </row>
    <row r="9" spans="1:20" ht="15.75" customHeight="1" x14ac:dyDescent="0.25">
      <c r="A9" s="182" t="s">
        <v>1303</v>
      </c>
      <c r="B9" s="180">
        <v>45542</v>
      </c>
      <c r="C9" s="180">
        <v>45399</v>
      </c>
      <c r="D9" s="180">
        <v>45296</v>
      </c>
      <c r="E9" s="180">
        <v>45117</v>
      </c>
      <c r="F9" s="180">
        <v>45014</v>
      </c>
      <c r="G9" s="180">
        <v>44907</v>
      </c>
      <c r="H9" s="180">
        <v>44763</v>
      </c>
      <c r="I9" s="180">
        <v>44656</v>
      </c>
      <c r="J9" s="180">
        <v>44572</v>
      </c>
      <c r="K9" s="180">
        <v>44394</v>
      </c>
      <c r="L9" s="180">
        <v>44289</v>
      </c>
      <c r="M9" s="180">
        <v>44182</v>
      </c>
      <c r="N9" s="180">
        <v>44065</v>
      </c>
      <c r="O9" s="180">
        <v>43932</v>
      </c>
      <c r="P9" s="180">
        <v>43801</v>
      </c>
      <c r="Q9" s="180">
        <v>43648</v>
      </c>
    </row>
    <row r="10" spans="1:20" ht="15.75" customHeight="1" x14ac:dyDescent="0.25">
      <c r="A10" s="179" t="s">
        <v>1304</v>
      </c>
      <c r="B10" s="180">
        <v>21322</v>
      </c>
      <c r="C10" s="180">
        <v>21414</v>
      </c>
      <c r="D10" s="180">
        <v>21492</v>
      </c>
      <c r="E10" s="180">
        <v>21590</v>
      </c>
      <c r="F10" s="180">
        <v>21626</v>
      </c>
      <c r="G10" s="180">
        <v>21814</v>
      </c>
      <c r="H10" s="180">
        <v>22069</v>
      </c>
      <c r="I10" s="180">
        <v>22253</v>
      </c>
      <c r="J10" s="180">
        <v>22260</v>
      </c>
      <c r="K10" s="180">
        <v>22483</v>
      </c>
      <c r="L10" s="180">
        <v>22593</v>
      </c>
      <c r="M10" s="180">
        <v>22690</v>
      </c>
      <c r="N10" s="180">
        <v>22795</v>
      </c>
      <c r="O10" s="180">
        <v>22891</v>
      </c>
      <c r="P10" s="180">
        <v>22992</v>
      </c>
      <c r="Q10" s="180">
        <v>23093</v>
      </c>
    </row>
    <row r="11" spans="1:20" ht="15.75" customHeight="1" x14ac:dyDescent="0.25">
      <c r="A11" s="179" t="s">
        <v>1305</v>
      </c>
      <c r="B11" s="180">
        <v>1052613</v>
      </c>
      <c r="C11" s="180">
        <v>1065963</v>
      </c>
      <c r="D11" s="180">
        <v>1077943</v>
      </c>
      <c r="E11" s="180">
        <v>1091492</v>
      </c>
      <c r="F11" s="180">
        <v>1103981</v>
      </c>
      <c r="G11" s="180">
        <v>1118070</v>
      </c>
      <c r="H11" s="180">
        <v>1129996</v>
      </c>
      <c r="I11" s="180">
        <v>1138191</v>
      </c>
      <c r="J11" s="180">
        <v>1147327</v>
      </c>
      <c r="K11" s="180">
        <v>1153077</v>
      </c>
      <c r="L11" s="180">
        <v>1160099</v>
      </c>
      <c r="M11" s="180">
        <v>1167551</v>
      </c>
      <c r="N11" s="180">
        <v>1175500</v>
      </c>
      <c r="O11" s="180">
        <v>1184244</v>
      </c>
      <c r="P11" s="180">
        <v>1193653</v>
      </c>
      <c r="Q11" s="180">
        <v>1203635</v>
      </c>
    </row>
    <row r="12" spans="1:20" ht="15.75" customHeight="1" x14ac:dyDescent="0.25">
      <c r="A12" s="179" t="s">
        <v>1306</v>
      </c>
      <c r="B12" s="180">
        <v>28403</v>
      </c>
      <c r="C12" s="180">
        <v>28257</v>
      </c>
      <c r="D12" s="180">
        <v>28040</v>
      </c>
      <c r="E12" s="180">
        <v>27564</v>
      </c>
      <c r="F12" s="180">
        <v>27212</v>
      </c>
      <c r="G12" s="180">
        <v>27076</v>
      </c>
      <c r="H12" s="180">
        <v>26961</v>
      </c>
      <c r="I12" s="180">
        <v>26764</v>
      </c>
      <c r="J12" s="180">
        <v>27419</v>
      </c>
      <c r="K12" s="180">
        <v>27520</v>
      </c>
      <c r="L12" s="180">
        <v>27558</v>
      </c>
      <c r="M12" s="180">
        <v>27566</v>
      </c>
      <c r="N12" s="180">
        <v>27569</v>
      </c>
      <c r="O12" s="180">
        <v>27552</v>
      </c>
      <c r="P12" s="180">
        <v>27521</v>
      </c>
      <c r="Q12" s="180">
        <v>27471</v>
      </c>
    </row>
    <row r="13" spans="1:20" ht="15.75" customHeight="1" x14ac:dyDescent="0.25">
      <c r="A13" s="170" t="s">
        <v>1307</v>
      </c>
      <c r="B13" s="174">
        <v>181191</v>
      </c>
      <c r="C13" s="174">
        <v>181209</v>
      </c>
      <c r="D13" s="174">
        <v>181448</v>
      </c>
      <c r="E13" s="174">
        <v>182612</v>
      </c>
      <c r="F13" s="174">
        <v>182701</v>
      </c>
      <c r="G13" s="174">
        <v>183269</v>
      </c>
      <c r="H13" s="174">
        <v>184232</v>
      </c>
      <c r="I13" s="174">
        <v>186531</v>
      </c>
      <c r="J13" s="174">
        <v>189360</v>
      </c>
      <c r="K13" s="174">
        <v>191210</v>
      </c>
      <c r="L13" s="174">
        <v>193098</v>
      </c>
      <c r="M13" s="174">
        <v>194934</v>
      </c>
      <c r="N13" s="174">
        <v>196587</v>
      </c>
      <c r="O13" s="174">
        <v>198159</v>
      </c>
      <c r="P13" s="174">
        <v>199594</v>
      </c>
      <c r="Q13" s="174">
        <v>201041</v>
      </c>
    </row>
    <row r="14" spans="1:20" ht="15.75" customHeight="1" x14ac:dyDescent="0.25">
      <c r="A14" s="182" t="s">
        <v>1308</v>
      </c>
      <c r="B14" s="180">
        <v>933238</v>
      </c>
      <c r="C14" s="180">
        <v>943968</v>
      </c>
      <c r="D14" s="180">
        <v>952866</v>
      </c>
      <c r="E14" s="180">
        <v>960412</v>
      </c>
      <c r="F14" s="180">
        <v>969682</v>
      </c>
      <c r="G14" s="180">
        <v>979827</v>
      </c>
      <c r="H14" s="180">
        <v>988682</v>
      </c>
      <c r="I14" s="180">
        <v>999423</v>
      </c>
      <c r="J14" s="180">
        <v>1010837</v>
      </c>
      <c r="K14" s="180">
        <v>1021960</v>
      </c>
      <c r="L14" s="180">
        <v>1032227</v>
      </c>
      <c r="M14" s="180">
        <v>1042157</v>
      </c>
      <c r="N14" s="180">
        <v>1051954</v>
      </c>
      <c r="O14" s="180">
        <v>1061253</v>
      </c>
      <c r="P14" s="180">
        <v>1070321</v>
      </c>
      <c r="Q14" s="180">
        <v>1079082</v>
      </c>
    </row>
    <row r="15" spans="1:20" ht="15.75" customHeight="1" x14ac:dyDescent="0.25">
      <c r="A15" s="179" t="s">
        <v>1309</v>
      </c>
      <c r="B15" s="180">
        <v>28229</v>
      </c>
      <c r="C15" s="180">
        <v>28300</v>
      </c>
      <c r="D15" s="180">
        <v>28156</v>
      </c>
      <c r="E15" s="180">
        <v>28214</v>
      </c>
      <c r="F15" s="180">
        <v>28345</v>
      </c>
      <c r="G15" s="180">
        <v>28361</v>
      </c>
      <c r="H15" s="180">
        <v>28449</v>
      </c>
      <c r="I15" s="180">
        <v>28619</v>
      </c>
      <c r="J15" s="180">
        <v>28755</v>
      </c>
      <c r="K15" s="180">
        <v>29197</v>
      </c>
      <c r="L15" s="180">
        <v>29348</v>
      </c>
      <c r="M15" s="180">
        <v>29494</v>
      </c>
      <c r="N15" s="180">
        <v>29624</v>
      </c>
      <c r="O15" s="180">
        <v>29750</v>
      </c>
      <c r="P15" s="180">
        <v>29859</v>
      </c>
      <c r="Q15" s="180">
        <v>29969</v>
      </c>
    </row>
    <row r="16" spans="1:20" ht="15.75" customHeight="1" x14ac:dyDescent="0.25">
      <c r="A16" s="179" t="s">
        <v>1310</v>
      </c>
      <c r="B16" s="180">
        <v>135094</v>
      </c>
      <c r="C16" s="180">
        <v>135542</v>
      </c>
      <c r="D16" s="180">
        <v>135014</v>
      </c>
      <c r="E16" s="180">
        <v>134962</v>
      </c>
      <c r="F16" s="180">
        <v>134664</v>
      </c>
      <c r="G16" s="180">
        <v>135050</v>
      </c>
      <c r="H16" s="180">
        <v>135784</v>
      </c>
      <c r="I16" s="180">
        <v>135798</v>
      </c>
      <c r="J16" s="180">
        <v>135765</v>
      </c>
      <c r="K16" s="180">
        <v>134909</v>
      </c>
      <c r="L16" s="180">
        <v>134098</v>
      </c>
      <c r="M16" s="180">
        <v>133316</v>
      </c>
      <c r="N16" s="180">
        <v>132600</v>
      </c>
      <c r="O16" s="180">
        <v>132026</v>
      </c>
      <c r="P16" s="180">
        <v>131563</v>
      </c>
      <c r="Q16" s="180">
        <v>131184</v>
      </c>
    </row>
    <row r="17" spans="1:17" ht="15.75" customHeight="1" x14ac:dyDescent="0.25">
      <c r="A17" s="179" t="s">
        <v>1311</v>
      </c>
      <c r="B17" s="180">
        <v>175404</v>
      </c>
      <c r="C17" s="180">
        <v>177992</v>
      </c>
      <c r="D17" s="180">
        <v>179431</v>
      </c>
      <c r="E17" s="180">
        <v>180240</v>
      </c>
      <c r="F17" s="180">
        <v>182809</v>
      </c>
      <c r="G17" s="180">
        <v>184931</v>
      </c>
      <c r="H17" s="180">
        <v>186292</v>
      </c>
      <c r="I17" s="180">
        <v>187792</v>
      </c>
      <c r="J17" s="180">
        <v>188948</v>
      </c>
      <c r="K17" s="180">
        <v>190025</v>
      </c>
      <c r="L17" s="180">
        <v>191649</v>
      </c>
      <c r="M17" s="180">
        <v>193269</v>
      </c>
      <c r="N17" s="180">
        <v>194950</v>
      </c>
      <c r="O17" s="180">
        <v>196481</v>
      </c>
      <c r="P17" s="180">
        <v>198108</v>
      </c>
      <c r="Q17" s="180">
        <v>199680</v>
      </c>
    </row>
    <row r="18" spans="1:17" ht="15.75" customHeight="1" x14ac:dyDescent="0.25">
      <c r="A18" s="170" t="s">
        <v>1312</v>
      </c>
      <c r="B18" s="174">
        <v>18547</v>
      </c>
      <c r="C18" s="174">
        <v>18559</v>
      </c>
      <c r="D18" s="174">
        <v>18584</v>
      </c>
      <c r="E18" s="174">
        <v>18591</v>
      </c>
      <c r="F18" s="174">
        <v>18650</v>
      </c>
      <c r="G18" s="174">
        <v>18635</v>
      </c>
      <c r="H18" s="174">
        <v>18628</v>
      </c>
      <c r="I18" s="174">
        <v>18565</v>
      </c>
      <c r="J18" s="174">
        <v>18522</v>
      </c>
      <c r="K18" s="174">
        <v>18462</v>
      </c>
      <c r="L18" s="174">
        <v>18453</v>
      </c>
      <c r="M18" s="174">
        <v>18436</v>
      </c>
      <c r="N18" s="174">
        <v>18415</v>
      </c>
      <c r="O18" s="174">
        <v>18387</v>
      </c>
      <c r="P18" s="174">
        <v>18363</v>
      </c>
      <c r="Q18" s="174">
        <v>18328</v>
      </c>
    </row>
    <row r="19" spans="1:17" ht="15.75" customHeight="1" x14ac:dyDescent="0.25">
      <c r="A19" s="182" t="s">
        <v>1313</v>
      </c>
      <c r="B19" s="180">
        <v>842063</v>
      </c>
      <c r="C19" s="180">
        <v>850970</v>
      </c>
      <c r="D19" s="180">
        <v>859797</v>
      </c>
      <c r="E19" s="180">
        <v>869447</v>
      </c>
      <c r="F19" s="180">
        <v>876536</v>
      </c>
      <c r="G19" s="180">
        <v>883202</v>
      </c>
      <c r="H19" s="180">
        <v>887433</v>
      </c>
      <c r="I19" s="180">
        <v>897416</v>
      </c>
      <c r="J19" s="180">
        <v>907055</v>
      </c>
      <c r="K19" s="180">
        <v>917379</v>
      </c>
      <c r="L19" s="180">
        <v>927251</v>
      </c>
      <c r="M19" s="180">
        <v>937037</v>
      </c>
      <c r="N19" s="180">
        <v>946724</v>
      </c>
      <c r="O19" s="180">
        <v>956336</v>
      </c>
      <c r="P19" s="180">
        <v>965740</v>
      </c>
      <c r="Q19" s="180">
        <v>974972</v>
      </c>
    </row>
    <row r="20" spans="1:17" ht="15.75" customHeight="1" x14ac:dyDescent="0.25">
      <c r="A20" s="179" t="s">
        <v>1314</v>
      </c>
      <c r="B20" s="180">
        <v>152407</v>
      </c>
      <c r="C20" s="180">
        <v>151756</v>
      </c>
      <c r="D20" s="180">
        <v>150376</v>
      </c>
      <c r="E20" s="180">
        <v>150522</v>
      </c>
      <c r="F20" s="180">
        <v>149566</v>
      </c>
      <c r="G20" s="180">
        <v>149887</v>
      </c>
      <c r="H20" s="180">
        <v>149274</v>
      </c>
      <c r="I20" s="180">
        <v>150929</v>
      </c>
      <c r="J20" s="180">
        <v>153318</v>
      </c>
      <c r="K20" s="180">
        <v>154446</v>
      </c>
      <c r="L20" s="180">
        <v>156444</v>
      </c>
      <c r="M20" s="180">
        <v>158332</v>
      </c>
      <c r="N20" s="180">
        <v>160090</v>
      </c>
      <c r="O20" s="180">
        <v>161763</v>
      </c>
      <c r="P20" s="180">
        <v>163250</v>
      </c>
      <c r="Q20" s="180">
        <v>164684</v>
      </c>
    </row>
    <row r="21" spans="1:17" ht="15.75" customHeight="1" x14ac:dyDescent="0.25">
      <c r="A21" s="179" t="s">
        <v>1315</v>
      </c>
      <c r="B21" s="180">
        <v>65048</v>
      </c>
      <c r="C21" s="180">
        <v>64916</v>
      </c>
      <c r="D21" s="180">
        <v>65014</v>
      </c>
      <c r="E21" s="180">
        <v>64905</v>
      </c>
      <c r="F21" s="180">
        <v>65131</v>
      </c>
      <c r="G21" s="180">
        <v>64785</v>
      </c>
      <c r="H21" s="180">
        <v>64468</v>
      </c>
      <c r="I21" s="180">
        <v>64864</v>
      </c>
      <c r="J21" s="180">
        <v>65020</v>
      </c>
      <c r="K21" s="180">
        <v>64889</v>
      </c>
      <c r="L21" s="180">
        <v>64871</v>
      </c>
      <c r="M21" s="180">
        <v>64884</v>
      </c>
      <c r="N21" s="180">
        <v>64938</v>
      </c>
      <c r="O21" s="180">
        <v>65010</v>
      </c>
      <c r="P21" s="180">
        <v>65101</v>
      </c>
      <c r="Q21" s="180">
        <v>65208</v>
      </c>
    </row>
    <row r="22" spans="1:17" ht="15.75" customHeight="1" x14ac:dyDescent="0.25">
      <c r="A22" s="179" t="s">
        <v>1316</v>
      </c>
      <c r="B22" s="180">
        <v>34809</v>
      </c>
      <c r="C22" s="180">
        <v>34541</v>
      </c>
      <c r="D22" s="180">
        <v>33025</v>
      </c>
      <c r="E22" s="180">
        <v>32317</v>
      </c>
      <c r="F22" s="180">
        <v>31834</v>
      </c>
      <c r="G22" s="180">
        <v>30912</v>
      </c>
      <c r="H22" s="180">
        <v>30494</v>
      </c>
      <c r="I22" s="180">
        <v>30543</v>
      </c>
      <c r="J22" s="180">
        <v>30527</v>
      </c>
      <c r="K22" s="180">
        <v>29880</v>
      </c>
      <c r="L22" s="180">
        <v>30065</v>
      </c>
      <c r="M22" s="180">
        <v>30194</v>
      </c>
      <c r="N22" s="180">
        <v>30272</v>
      </c>
      <c r="O22" s="180">
        <v>30284</v>
      </c>
      <c r="P22" s="180">
        <v>30235</v>
      </c>
      <c r="Q22" s="180">
        <v>30135</v>
      </c>
    </row>
    <row r="23" spans="1:17" ht="15.75" customHeight="1" x14ac:dyDescent="0.25">
      <c r="A23" s="170" t="s">
        <v>1317</v>
      </c>
      <c r="B23" s="174">
        <v>9846651</v>
      </c>
      <c r="C23" s="174">
        <v>9913481</v>
      </c>
      <c r="D23" s="174">
        <v>10006227</v>
      </c>
      <c r="E23" s="174">
        <v>10064909</v>
      </c>
      <c r="F23" s="174">
        <v>10124206</v>
      </c>
      <c r="G23" s="174">
        <v>10176031</v>
      </c>
      <c r="H23" s="174">
        <v>10211351</v>
      </c>
      <c r="I23" s="174">
        <v>10255733</v>
      </c>
      <c r="J23" s="174">
        <v>10269935</v>
      </c>
      <c r="K23" s="174">
        <v>10260237</v>
      </c>
      <c r="L23" s="174">
        <v>10257557</v>
      </c>
      <c r="M23" s="174">
        <v>10259169</v>
      </c>
      <c r="N23" s="174">
        <v>10265369</v>
      </c>
      <c r="O23" s="174">
        <v>10276394</v>
      </c>
      <c r="P23" s="174">
        <v>10292478</v>
      </c>
      <c r="Q23" s="174">
        <v>10314467</v>
      </c>
    </row>
    <row r="24" spans="1:17" ht="15.75" customHeight="1" x14ac:dyDescent="0.25">
      <c r="A24" s="182" t="s">
        <v>1318</v>
      </c>
      <c r="B24" s="180">
        <v>150175</v>
      </c>
      <c r="C24" s="180">
        <v>151688</v>
      </c>
      <c r="D24" s="180">
        <v>150910</v>
      </c>
      <c r="E24" s="180">
        <v>152175</v>
      </c>
      <c r="F24" s="180">
        <v>153907</v>
      </c>
      <c r="G24" s="180">
        <v>154548</v>
      </c>
      <c r="H24" s="180">
        <v>155148</v>
      </c>
      <c r="I24" s="180">
        <v>156733</v>
      </c>
      <c r="J24" s="180">
        <v>158511</v>
      </c>
      <c r="K24" s="180">
        <v>158940</v>
      </c>
      <c r="L24" s="180">
        <v>160089</v>
      </c>
      <c r="M24" s="180">
        <v>161177</v>
      </c>
      <c r="N24" s="180">
        <v>162321</v>
      </c>
      <c r="O24" s="180">
        <v>163393</v>
      </c>
      <c r="P24" s="180">
        <v>164358</v>
      </c>
      <c r="Q24" s="180">
        <v>165308</v>
      </c>
    </row>
    <row r="25" spans="1:17" ht="15.75" customHeight="1" x14ac:dyDescent="0.25">
      <c r="A25" s="179" t="s">
        <v>1319</v>
      </c>
      <c r="B25" s="180">
        <v>252640</v>
      </c>
      <c r="C25" s="180">
        <v>254831</v>
      </c>
      <c r="D25" s="180">
        <v>256389</v>
      </c>
      <c r="E25" s="180">
        <v>259073</v>
      </c>
      <c r="F25" s="180">
        <v>261243</v>
      </c>
      <c r="G25" s="180">
        <v>261605</v>
      </c>
      <c r="H25" s="180">
        <v>262494</v>
      </c>
      <c r="I25" s="180">
        <v>262047</v>
      </c>
      <c r="J25" s="180">
        <v>262326</v>
      </c>
      <c r="K25" s="180">
        <v>261627</v>
      </c>
      <c r="L25" s="180">
        <v>260800</v>
      </c>
      <c r="M25" s="180">
        <v>260068</v>
      </c>
      <c r="N25" s="180">
        <v>259587</v>
      </c>
      <c r="O25" s="180">
        <v>259345</v>
      </c>
      <c r="P25" s="180">
        <v>259362</v>
      </c>
      <c r="Q25" s="180">
        <v>259607</v>
      </c>
    </row>
    <row r="26" spans="1:17" ht="15.75" customHeight="1" x14ac:dyDescent="0.25">
      <c r="A26" s="179" t="s">
        <v>1269</v>
      </c>
      <c r="B26" s="180">
        <v>18245</v>
      </c>
      <c r="C26" s="180">
        <v>18241</v>
      </c>
      <c r="D26" s="180">
        <v>18224</v>
      </c>
      <c r="E26" s="180">
        <v>18157</v>
      </c>
      <c r="F26" s="180">
        <v>18135</v>
      </c>
      <c r="G26" s="180">
        <v>18086</v>
      </c>
      <c r="H26" s="180">
        <v>18066</v>
      </c>
      <c r="I26" s="180">
        <v>17992</v>
      </c>
      <c r="J26" s="180">
        <v>17904</v>
      </c>
      <c r="K26" s="180">
        <v>17860</v>
      </c>
      <c r="L26" s="180">
        <v>17795</v>
      </c>
      <c r="M26" s="180">
        <v>17727</v>
      </c>
      <c r="N26" s="180">
        <v>17656</v>
      </c>
      <c r="O26" s="180">
        <v>17586</v>
      </c>
      <c r="P26" s="180">
        <v>17507</v>
      </c>
      <c r="Q26" s="180">
        <v>17435</v>
      </c>
    </row>
    <row r="27" spans="1:17" ht="15.75" customHeight="1" x14ac:dyDescent="0.25">
      <c r="A27" s="179" t="s">
        <v>1320</v>
      </c>
      <c r="B27" s="180">
        <v>87765</v>
      </c>
      <c r="C27" s="180">
        <v>87388</v>
      </c>
      <c r="D27" s="180">
        <v>88128</v>
      </c>
      <c r="E27" s="180">
        <v>88127</v>
      </c>
      <c r="F27" s="180">
        <v>88450</v>
      </c>
      <c r="G27" s="180">
        <v>88222</v>
      </c>
      <c r="H27" s="180">
        <v>88689</v>
      </c>
      <c r="I27" s="180">
        <v>88993</v>
      </c>
      <c r="J27" s="180">
        <v>88875</v>
      </c>
      <c r="K27" s="180">
        <v>88590</v>
      </c>
      <c r="L27" s="180">
        <v>88439</v>
      </c>
      <c r="M27" s="180">
        <v>88330</v>
      </c>
      <c r="N27" s="180">
        <v>88245</v>
      </c>
      <c r="O27" s="180">
        <v>88196</v>
      </c>
      <c r="P27" s="180">
        <v>88167</v>
      </c>
      <c r="Q27" s="180">
        <v>88184</v>
      </c>
    </row>
    <row r="28" spans="1:17" ht="15.75" customHeight="1" x14ac:dyDescent="0.25">
      <c r="A28" s="170" t="s">
        <v>1321</v>
      </c>
      <c r="B28" s="174">
        <v>256779</v>
      </c>
      <c r="C28" s="174">
        <v>260216</v>
      </c>
      <c r="D28" s="174">
        <v>263182</v>
      </c>
      <c r="E28" s="174">
        <v>264703</v>
      </c>
      <c r="F28" s="174">
        <v>267373</v>
      </c>
      <c r="G28" s="174">
        <v>269522</v>
      </c>
      <c r="H28" s="174">
        <v>271767</v>
      </c>
      <c r="I28" s="174">
        <v>276449</v>
      </c>
      <c r="J28" s="174">
        <v>279433</v>
      </c>
      <c r="K28" s="174">
        <v>283408</v>
      </c>
      <c r="L28" s="174">
        <v>287420</v>
      </c>
      <c r="M28" s="174">
        <v>291426</v>
      </c>
      <c r="N28" s="174">
        <v>295439</v>
      </c>
      <c r="O28" s="174">
        <v>299575</v>
      </c>
      <c r="P28" s="174">
        <v>303794</v>
      </c>
      <c r="Q28" s="174">
        <v>307981</v>
      </c>
    </row>
    <row r="29" spans="1:17" ht="15.75" customHeight="1" x14ac:dyDescent="0.25">
      <c r="A29" s="182" t="s">
        <v>1322</v>
      </c>
      <c r="B29" s="180">
        <v>9688</v>
      </c>
      <c r="C29" s="180">
        <v>9682</v>
      </c>
      <c r="D29" s="180">
        <v>9633</v>
      </c>
      <c r="E29" s="180">
        <v>9610</v>
      </c>
      <c r="F29" s="180">
        <v>9585</v>
      </c>
      <c r="G29" s="180">
        <v>9542</v>
      </c>
      <c r="H29" s="180">
        <v>9502</v>
      </c>
      <c r="I29" s="180">
        <v>9480</v>
      </c>
      <c r="J29" s="180">
        <v>9487</v>
      </c>
      <c r="K29" s="180">
        <v>9486</v>
      </c>
      <c r="L29" s="180">
        <v>9475</v>
      </c>
      <c r="M29" s="180">
        <v>9468</v>
      </c>
      <c r="N29" s="180">
        <v>9462</v>
      </c>
      <c r="O29" s="180">
        <v>9452</v>
      </c>
      <c r="P29" s="180">
        <v>9439</v>
      </c>
      <c r="Q29" s="180">
        <v>9430</v>
      </c>
    </row>
    <row r="30" spans="1:17" ht="15.75" customHeight="1" x14ac:dyDescent="0.25">
      <c r="A30" s="179" t="s">
        <v>1323</v>
      </c>
      <c r="B30" s="180">
        <v>14030</v>
      </c>
      <c r="C30" s="180">
        <v>14301</v>
      </c>
      <c r="D30" s="180">
        <v>14147</v>
      </c>
      <c r="E30" s="180">
        <v>13961</v>
      </c>
      <c r="F30" s="180">
        <v>13994</v>
      </c>
      <c r="G30" s="180">
        <v>13913</v>
      </c>
      <c r="H30" s="180">
        <v>13834</v>
      </c>
      <c r="I30" s="180">
        <v>13885</v>
      </c>
      <c r="J30" s="180">
        <v>13827</v>
      </c>
      <c r="K30" s="180">
        <v>13881</v>
      </c>
      <c r="L30" s="180">
        <v>13961</v>
      </c>
      <c r="M30" s="180">
        <v>14045</v>
      </c>
      <c r="N30" s="180">
        <v>14125</v>
      </c>
      <c r="O30" s="180">
        <v>14203</v>
      </c>
      <c r="P30" s="180">
        <v>14277</v>
      </c>
      <c r="Q30" s="180">
        <v>14363</v>
      </c>
    </row>
    <row r="31" spans="1:17" ht="15.75" customHeight="1" x14ac:dyDescent="0.25">
      <c r="A31" s="179" t="s">
        <v>1324</v>
      </c>
      <c r="B31" s="180">
        <v>416018</v>
      </c>
      <c r="C31" s="180">
        <v>420579</v>
      </c>
      <c r="D31" s="180">
        <v>425133</v>
      </c>
      <c r="E31" s="180">
        <v>427403</v>
      </c>
      <c r="F31" s="180">
        <v>430287</v>
      </c>
      <c r="G31" s="180">
        <v>435805</v>
      </c>
      <c r="H31" s="180">
        <v>440020</v>
      </c>
      <c r="I31" s="180">
        <v>441892</v>
      </c>
      <c r="J31" s="180">
        <v>444252</v>
      </c>
      <c r="K31" s="180">
        <v>446539</v>
      </c>
      <c r="L31" s="180">
        <v>448732</v>
      </c>
      <c r="M31" s="180">
        <v>451008</v>
      </c>
      <c r="N31" s="180">
        <v>453448</v>
      </c>
      <c r="O31" s="180">
        <v>455863</v>
      </c>
      <c r="P31" s="180">
        <v>458496</v>
      </c>
      <c r="Q31" s="180">
        <v>461159</v>
      </c>
    </row>
    <row r="32" spans="1:17" ht="15.75" customHeight="1" x14ac:dyDescent="0.25">
      <c r="A32" s="179" t="s">
        <v>1325</v>
      </c>
      <c r="B32" s="180">
        <v>136585</v>
      </c>
      <c r="C32" s="180">
        <v>137499</v>
      </c>
      <c r="D32" s="180">
        <v>138931</v>
      </c>
      <c r="E32" s="180">
        <v>139453</v>
      </c>
      <c r="F32" s="180">
        <v>140602</v>
      </c>
      <c r="G32" s="180">
        <v>141205</v>
      </c>
      <c r="H32" s="180">
        <v>141466</v>
      </c>
      <c r="I32" s="180">
        <v>140978</v>
      </c>
      <c r="J32" s="180">
        <v>140573</v>
      </c>
      <c r="K32" s="180">
        <v>140062</v>
      </c>
      <c r="L32" s="180">
        <v>139652</v>
      </c>
      <c r="M32" s="180">
        <v>139353</v>
      </c>
      <c r="N32" s="180">
        <v>139217</v>
      </c>
      <c r="O32" s="180">
        <v>139292</v>
      </c>
      <c r="P32" s="180">
        <v>139496</v>
      </c>
      <c r="Q32" s="180">
        <v>139913</v>
      </c>
    </row>
    <row r="33" spans="1:17" ht="15.75" customHeight="1" x14ac:dyDescent="0.25">
      <c r="A33" s="170" t="s">
        <v>1326</v>
      </c>
      <c r="B33" s="174">
        <v>98711</v>
      </c>
      <c r="C33" s="174">
        <v>98643</v>
      </c>
      <c r="D33" s="174">
        <v>98213</v>
      </c>
      <c r="E33" s="174">
        <v>97860</v>
      </c>
      <c r="F33" s="174">
        <v>98387</v>
      </c>
      <c r="G33" s="174">
        <v>98137</v>
      </c>
      <c r="H33" s="174">
        <v>98271</v>
      </c>
      <c r="I33" s="174">
        <v>98443</v>
      </c>
      <c r="J33" s="174">
        <v>98626</v>
      </c>
      <c r="K33" s="174">
        <v>98613</v>
      </c>
      <c r="L33" s="174">
        <v>98710</v>
      </c>
      <c r="M33" s="174">
        <v>98812</v>
      </c>
      <c r="N33" s="174">
        <v>98910</v>
      </c>
      <c r="O33" s="174">
        <v>99018</v>
      </c>
      <c r="P33" s="174">
        <v>99131</v>
      </c>
      <c r="Q33" s="174">
        <v>99302</v>
      </c>
    </row>
    <row r="34" spans="1:17" ht="15.75" customHeight="1" x14ac:dyDescent="0.25">
      <c r="A34" s="182" t="s">
        <v>1327</v>
      </c>
      <c r="B34" s="180">
        <v>3017084</v>
      </c>
      <c r="C34" s="180">
        <v>3053238</v>
      </c>
      <c r="D34" s="180">
        <v>3088572</v>
      </c>
      <c r="E34" s="180">
        <v>3114327</v>
      </c>
      <c r="F34" s="180">
        <v>3138545</v>
      </c>
      <c r="G34" s="180">
        <v>3162354</v>
      </c>
      <c r="H34" s="180">
        <v>3179394</v>
      </c>
      <c r="I34" s="180">
        <v>3203517</v>
      </c>
      <c r="J34" s="180">
        <v>3215372</v>
      </c>
      <c r="K34" s="180">
        <v>3220987</v>
      </c>
      <c r="L34" s="180">
        <v>3228519</v>
      </c>
      <c r="M34" s="180">
        <v>3237560</v>
      </c>
      <c r="N34" s="180">
        <v>3248780</v>
      </c>
      <c r="O34" s="180">
        <v>3262218</v>
      </c>
      <c r="P34" s="180">
        <v>3277920</v>
      </c>
      <c r="Q34" s="180">
        <v>3296312</v>
      </c>
    </row>
    <row r="35" spans="1:17" ht="15.75" customHeight="1" x14ac:dyDescent="0.25">
      <c r="A35" s="179" t="s">
        <v>1328</v>
      </c>
      <c r="B35" s="180">
        <v>350629</v>
      </c>
      <c r="C35" s="180">
        <v>356233</v>
      </c>
      <c r="D35" s="180">
        <v>360566</v>
      </c>
      <c r="E35" s="180">
        <v>364778</v>
      </c>
      <c r="F35" s="180">
        <v>368318</v>
      </c>
      <c r="G35" s="180">
        <v>371414</v>
      </c>
      <c r="H35" s="180">
        <v>376486</v>
      </c>
      <c r="I35" s="180">
        <v>382748</v>
      </c>
      <c r="J35" s="180">
        <v>389278</v>
      </c>
      <c r="K35" s="180">
        <v>394737</v>
      </c>
      <c r="L35" s="180">
        <v>400434</v>
      </c>
      <c r="M35" s="180">
        <v>406169</v>
      </c>
      <c r="N35" s="180">
        <v>411694</v>
      </c>
      <c r="O35" s="180">
        <v>417327</v>
      </c>
      <c r="P35" s="180">
        <v>422921</v>
      </c>
      <c r="Q35" s="180">
        <v>428394</v>
      </c>
    </row>
    <row r="36" spans="1:17" ht="15.75" customHeight="1" x14ac:dyDescent="0.25">
      <c r="A36" s="179" t="s">
        <v>1329</v>
      </c>
      <c r="B36" s="180">
        <v>19974</v>
      </c>
      <c r="C36" s="180">
        <v>19865</v>
      </c>
      <c r="D36" s="180">
        <v>19471</v>
      </c>
      <c r="E36" s="180">
        <v>18996</v>
      </c>
      <c r="F36" s="180">
        <v>18783</v>
      </c>
      <c r="G36" s="180">
        <v>18626</v>
      </c>
      <c r="H36" s="180">
        <v>18771</v>
      </c>
      <c r="I36" s="180">
        <v>18738</v>
      </c>
      <c r="J36" s="180">
        <v>18702</v>
      </c>
      <c r="K36" s="180">
        <v>18858</v>
      </c>
      <c r="L36" s="180">
        <v>18997</v>
      </c>
      <c r="M36" s="180">
        <v>19086</v>
      </c>
      <c r="N36" s="180">
        <v>19126</v>
      </c>
      <c r="O36" s="180">
        <v>19144</v>
      </c>
      <c r="P36" s="180">
        <v>19122</v>
      </c>
      <c r="Q36" s="180">
        <v>19057</v>
      </c>
    </row>
    <row r="37" spans="1:17" ht="15.75" customHeight="1" x14ac:dyDescent="0.25">
      <c r="A37" s="179" t="s">
        <v>1330</v>
      </c>
      <c r="B37" s="180">
        <v>2198503</v>
      </c>
      <c r="C37" s="180">
        <v>2231909</v>
      </c>
      <c r="D37" s="180">
        <v>2256447</v>
      </c>
      <c r="E37" s="180">
        <v>2278999</v>
      </c>
      <c r="F37" s="180">
        <v>2306216</v>
      </c>
      <c r="G37" s="180">
        <v>2332491</v>
      </c>
      <c r="H37" s="180">
        <v>2360984</v>
      </c>
      <c r="I37" s="180">
        <v>2392055</v>
      </c>
      <c r="J37" s="180">
        <v>2420714</v>
      </c>
      <c r="K37" s="180">
        <v>2443454</v>
      </c>
      <c r="L37" s="180">
        <v>2468145</v>
      </c>
      <c r="M37" s="180">
        <v>2493228</v>
      </c>
      <c r="N37" s="180">
        <v>2518930</v>
      </c>
      <c r="O37" s="180">
        <v>2544885</v>
      </c>
      <c r="P37" s="180">
        <v>2571016</v>
      </c>
      <c r="Q37" s="180">
        <v>2597656</v>
      </c>
    </row>
    <row r="38" spans="1:17" ht="15.75" customHeight="1" x14ac:dyDescent="0.25">
      <c r="A38" s="170" t="s">
        <v>1331</v>
      </c>
      <c r="B38" s="174">
        <v>1423068</v>
      </c>
      <c r="C38" s="174">
        <v>1436178</v>
      </c>
      <c r="D38" s="174">
        <v>1447653</v>
      </c>
      <c r="E38" s="174">
        <v>1457395</v>
      </c>
      <c r="F38" s="174">
        <v>1474321</v>
      </c>
      <c r="G38" s="174">
        <v>1489712</v>
      </c>
      <c r="H38" s="174">
        <v>1504939</v>
      </c>
      <c r="I38" s="174">
        <v>1520121</v>
      </c>
      <c r="J38" s="174">
        <v>1537386</v>
      </c>
      <c r="K38" s="174">
        <v>1553253</v>
      </c>
      <c r="L38" s="174">
        <v>1567975</v>
      </c>
      <c r="M38" s="174">
        <v>1582418</v>
      </c>
      <c r="N38" s="174">
        <v>1596476</v>
      </c>
      <c r="O38" s="174">
        <v>1610158</v>
      </c>
      <c r="P38" s="174">
        <v>1623707</v>
      </c>
      <c r="Q38" s="174">
        <v>1637045</v>
      </c>
    </row>
    <row r="39" spans="1:17" ht="15.75" customHeight="1" x14ac:dyDescent="0.25">
      <c r="A39" s="182" t="s">
        <v>1332</v>
      </c>
      <c r="B39" s="180">
        <v>55528</v>
      </c>
      <c r="C39" s="180">
        <v>56099</v>
      </c>
      <c r="D39" s="180">
        <v>56765</v>
      </c>
      <c r="E39" s="180">
        <v>57330</v>
      </c>
      <c r="F39" s="180">
        <v>58026</v>
      </c>
      <c r="G39" s="180">
        <v>58713</v>
      </c>
      <c r="H39" s="180">
        <v>59608</v>
      </c>
      <c r="I39" s="180">
        <v>60331</v>
      </c>
      <c r="J39" s="180">
        <v>61437</v>
      </c>
      <c r="K39" s="180">
        <v>62782</v>
      </c>
      <c r="L39" s="180">
        <v>64022</v>
      </c>
      <c r="M39" s="180">
        <v>65213</v>
      </c>
      <c r="N39" s="180">
        <v>66339</v>
      </c>
      <c r="O39" s="180">
        <v>67390</v>
      </c>
      <c r="P39" s="180">
        <v>68393</v>
      </c>
      <c r="Q39" s="180">
        <v>69324</v>
      </c>
    </row>
    <row r="40" spans="1:17" ht="15.75" customHeight="1" x14ac:dyDescent="0.25">
      <c r="A40" s="179" t="s">
        <v>1333</v>
      </c>
      <c r="B40" s="180">
        <v>2045118</v>
      </c>
      <c r="C40" s="180">
        <v>2067552</v>
      </c>
      <c r="D40" s="180">
        <v>2079655</v>
      </c>
      <c r="E40" s="180">
        <v>2093255</v>
      </c>
      <c r="F40" s="180">
        <v>2111045</v>
      </c>
      <c r="G40" s="180">
        <v>2128386</v>
      </c>
      <c r="H40" s="180">
        <v>2143033</v>
      </c>
      <c r="I40" s="180">
        <v>2162347</v>
      </c>
      <c r="J40" s="180">
        <v>2178940</v>
      </c>
      <c r="K40" s="180">
        <v>2197650</v>
      </c>
      <c r="L40" s="180">
        <v>2217398</v>
      </c>
      <c r="M40" s="180">
        <v>2236900</v>
      </c>
      <c r="N40" s="180">
        <v>2255986</v>
      </c>
      <c r="O40" s="180">
        <v>2274547</v>
      </c>
      <c r="P40" s="180">
        <v>2292740</v>
      </c>
      <c r="Q40" s="180">
        <v>2310552</v>
      </c>
    </row>
    <row r="41" spans="1:17" ht="15.75" customHeight="1" x14ac:dyDescent="0.25">
      <c r="A41" s="179" t="s">
        <v>1334</v>
      </c>
      <c r="B41" s="180">
        <v>3104286</v>
      </c>
      <c r="C41" s="180">
        <v>3140394</v>
      </c>
      <c r="D41" s="180">
        <v>3179295</v>
      </c>
      <c r="E41" s="180">
        <v>3212089</v>
      </c>
      <c r="F41" s="180">
        <v>3248693</v>
      </c>
      <c r="G41" s="180">
        <v>3274586</v>
      </c>
      <c r="H41" s="180">
        <v>3295583</v>
      </c>
      <c r="I41" s="180">
        <v>3318132</v>
      </c>
      <c r="J41" s="180">
        <v>3344438</v>
      </c>
      <c r="K41" s="180">
        <v>3357442</v>
      </c>
      <c r="L41" s="180">
        <v>3370418</v>
      </c>
      <c r="M41" s="180">
        <v>3384144</v>
      </c>
      <c r="N41" s="180">
        <v>3399033</v>
      </c>
      <c r="O41" s="180">
        <v>3414900</v>
      </c>
      <c r="P41" s="180">
        <v>3431809</v>
      </c>
      <c r="Q41" s="180">
        <v>3449997</v>
      </c>
    </row>
    <row r="42" spans="1:17" ht="15.75" customHeight="1" x14ac:dyDescent="0.25">
      <c r="A42" s="179" t="s">
        <v>1335</v>
      </c>
      <c r="B42" s="180">
        <v>810369</v>
      </c>
      <c r="C42" s="180">
        <v>821235</v>
      </c>
      <c r="D42" s="180">
        <v>834572</v>
      </c>
      <c r="E42" s="180">
        <v>845063</v>
      </c>
      <c r="F42" s="180">
        <v>854587</v>
      </c>
      <c r="G42" s="180">
        <v>864405</v>
      </c>
      <c r="H42" s="180">
        <v>872281</v>
      </c>
      <c r="I42" s="180">
        <v>880343</v>
      </c>
      <c r="J42" s="180">
        <v>886618</v>
      </c>
      <c r="K42" s="180">
        <v>889360</v>
      </c>
      <c r="L42" s="180">
        <v>892280</v>
      </c>
      <c r="M42" s="180">
        <v>895861</v>
      </c>
      <c r="N42" s="180">
        <v>900047</v>
      </c>
      <c r="O42" s="180">
        <v>904920</v>
      </c>
      <c r="P42" s="180">
        <v>910574</v>
      </c>
      <c r="Q42" s="180">
        <v>916935</v>
      </c>
    </row>
    <row r="43" spans="1:17" ht="15.75" customHeight="1" x14ac:dyDescent="0.25">
      <c r="A43" s="170" t="s">
        <v>1336</v>
      </c>
      <c r="B43" s="174">
        <v>688495</v>
      </c>
      <c r="C43" s="174">
        <v>695441</v>
      </c>
      <c r="D43" s="174">
        <v>701484</v>
      </c>
      <c r="E43" s="174">
        <v>706919</v>
      </c>
      <c r="F43" s="174">
        <v>717649</v>
      </c>
      <c r="G43" s="174">
        <v>728423</v>
      </c>
      <c r="H43" s="174">
        <v>738792</v>
      </c>
      <c r="I43" s="174">
        <v>750119</v>
      </c>
      <c r="J43" s="174">
        <v>760310</v>
      </c>
      <c r="K43" s="174">
        <v>771700</v>
      </c>
      <c r="L43" s="174">
        <v>782545</v>
      </c>
      <c r="M43" s="174">
        <v>793097</v>
      </c>
      <c r="N43" s="174">
        <v>803415</v>
      </c>
      <c r="O43" s="174">
        <v>813318</v>
      </c>
      <c r="P43" s="174">
        <v>823081</v>
      </c>
      <c r="Q43" s="174">
        <v>832480</v>
      </c>
    </row>
    <row r="44" spans="1:17" ht="15.75" customHeight="1" x14ac:dyDescent="0.25">
      <c r="A44" s="182" t="s">
        <v>1337</v>
      </c>
      <c r="B44" s="180">
        <v>269453</v>
      </c>
      <c r="C44" s="180">
        <v>270964</v>
      </c>
      <c r="D44" s="180">
        <v>273233</v>
      </c>
      <c r="E44" s="180">
        <v>273874</v>
      </c>
      <c r="F44" s="180">
        <v>276192</v>
      </c>
      <c r="G44" s="180">
        <v>276640</v>
      </c>
      <c r="H44" s="180">
        <v>278122</v>
      </c>
      <c r="I44" s="180">
        <v>278497</v>
      </c>
      <c r="J44" s="180">
        <v>279321</v>
      </c>
      <c r="K44" s="180">
        <v>278902</v>
      </c>
      <c r="L44" s="180">
        <v>278862</v>
      </c>
      <c r="M44" s="180">
        <v>278984</v>
      </c>
      <c r="N44" s="180">
        <v>279191</v>
      </c>
      <c r="O44" s="180">
        <v>279595</v>
      </c>
      <c r="P44" s="180">
        <v>280133</v>
      </c>
      <c r="Q44" s="180">
        <v>280873</v>
      </c>
    </row>
    <row r="45" spans="1:17" ht="15.75" customHeight="1" x14ac:dyDescent="0.25">
      <c r="A45" s="179" t="s">
        <v>1338</v>
      </c>
      <c r="B45" s="180">
        <v>721358</v>
      </c>
      <c r="C45" s="180">
        <v>730344</v>
      </c>
      <c r="D45" s="180">
        <v>741927</v>
      </c>
      <c r="E45" s="180">
        <v>749819</v>
      </c>
      <c r="F45" s="180">
        <v>757082</v>
      </c>
      <c r="G45" s="180">
        <v>764577</v>
      </c>
      <c r="H45" s="180">
        <v>768147</v>
      </c>
      <c r="I45" s="180">
        <v>771514</v>
      </c>
      <c r="J45" s="180">
        <v>774570</v>
      </c>
      <c r="K45" s="180">
        <v>776252</v>
      </c>
      <c r="L45" s="180">
        <v>778001</v>
      </c>
      <c r="M45" s="180">
        <v>780273</v>
      </c>
      <c r="N45" s="180">
        <v>782942</v>
      </c>
      <c r="O45" s="180">
        <v>785921</v>
      </c>
      <c r="P45" s="180">
        <v>789515</v>
      </c>
      <c r="Q45" s="180">
        <v>793671</v>
      </c>
    </row>
    <row r="46" spans="1:17" ht="15.75" customHeight="1" x14ac:dyDescent="0.25">
      <c r="A46" s="179" t="s">
        <v>1339</v>
      </c>
      <c r="B46" s="180">
        <v>424137</v>
      </c>
      <c r="C46" s="180">
        <v>426201</v>
      </c>
      <c r="D46" s="180">
        <v>431116</v>
      </c>
      <c r="E46" s="180">
        <v>435662</v>
      </c>
      <c r="F46" s="180">
        <v>440042</v>
      </c>
      <c r="G46" s="180">
        <v>444421</v>
      </c>
      <c r="H46" s="180">
        <v>447267</v>
      </c>
      <c r="I46" s="180">
        <v>449950</v>
      </c>
      <c r="J46" s="180">
        <v>452953</v>
      </c>
      <c r="K46" s="180">
        <v>454529</v>
      </c>
      <c r="L46" s="180">
        <v>456373</v>
      </c>
      <c r="M46" s="180">
        <v>458407</v>
      </c>
      <c r="N46" s="180">
        <v>460901</v>
      </c>
      <c r="O46" s="180">
        <v>463679</v>
      </c>
      <c r="P46" s="180">
        <v>466817</v>
      </c>
      <c r="Q46" s="180">
        <v>470188</v>
      </c>
    </row>
    <row r="47" spans="1:17" ht="15.75" customHeight="1" x14ac:dyDescent="0.25">
      <c r="A47" s="179" t="s">
        <v>1340</v>
      </c>
      <c r="B47" s="180">
        <v>1791120</v>
      </c>
      <c r="C47" s="180">
        <v>1816276</v>
      </c>
      <c r="D47" s="180">
        <v>1843534</v>
      </c>
      <c r="E47" s="180">
        <v>1868779</v>
      </c>
      <c r="F47" s="180">
        <v>1893217</v>
      </c>
      <c r="G47" s="180">
        <v>1919736</v>
      </c>
      <c r="H47" s="180">
        <v>1933839</v>
      </c>
      <c r="I47" s="180">
        <v>1945829</v>
      </c>
      <c r="J47" s="180">
        <v>1955946</v>
      </c>
      <c r="K47" s="180">
        <v>1961117</v>
      </c>
      <c r="L47" s="180">
        <v>1967585</v>
      </c>
      <c r="M47" s="180">
        <v>1975375</v>
      </c>
      <c r="N47" s="180">
        <v>1984762</v>
      </c>
      <c r="O47" s="180">
        <v>1995880</v>
      </c>
      <c r="P47" s="180">
        <v>2008704</v>
      </c>
      <c r="Q47" s="180">
        <v>2023194</v>
      </c>
    </row>
    <row r="48" spans="1:17" ht="15" x14ac:dyDescent="0.25">
      <c r="A48" s="170" t="s">
        <v>1341</v>
      </c>
      <c r="B48" s="174">
        <v>262804</v>
      </c>
      <c r="C48" s="174">
        <v>265890</v>
      </c>
      <c r="D48" s="174">
        <v>268361</v>
      </c>
      <c r="E48" s="174">
        <v>271067</v>
      </c>
      <c r="F48" s="174">
        <v>272134</v>
      </c>
      <c r="G48" s="174">
        <v>274749</v>
      </c>
      <c r="H48" s="174">
        <v>275776</v>
      </c>
      <c r="I48" s="174">
        <v>275729</v>
      </c>
      <c r="J48" s="174">
        <v>275168</v>
      </c>
      <c r="K48" s="174">
        <v>274545</v>
      </c>
      <c r="L48" s="174">
        <v>273999</v>
      </c>
      <c r="M48" s="174">
        <v>273675</v>
      </c>
      <c r="N48" s="174">
        <v>273539</v>
      </c>
      <c r="O48" s="174">
        <v>273599</v>
      </c>
      <c r="P48" s="174">
        <v>273849</v>
      </c>
      <c r="Q48" s="174">
        <v>274294</v>
      </c>
    </row>
    <row r="49" spans="1:17" ht="15" x14ac:dyDescent="0.25">
      <c r="A49" s="182" t="s">
        <v>1342</v>
      </c>
      <c r="B49" s="180">
        <v>177376</v>
      </c>
      <c r="C49" s="180">
        <v>177749</v>
      </c>
      <c r="D49" s="180">
        <v>178288</v>
      </c>
      <c r="E49" s="180">
        <v>178740</v>
      </c>
      <c r="F49" s="180">
        <v>179008</v>
      </c>
      <c r="G49" s="180">
        <v>178422</v>
      </c>
      <c r="H49" s="180">
        <v>177592</v>
      </c>
      <c r="I49" s="180">
        <v>178154</v>
      </c>
      <c r="J49" s="180">
        <v>178239</v>
      </c>
      <c r="K49" s="180">
        <v>178029</v>
      </c>
      <c r="L49" s="180">
        <v>177925</v>
      </c>
      <c r="M49" s="180">
        <v>177841</v>
      </c>
      <c r="N49" s="180">
        <v>177877</v>
      </c>
      <c r="O49" s="180">
        <v>177967</v>
      </c>
      <c r="P49" s="180">
        <v>178143</v>
      </c>
      <c r="Q49" s="180">
        <v>178494</v>
      </c>
    </row>
    <row r="50" spans="1:17" ht="15" x14ac:dyDescent="0.25">
      <c r="A50" s="179" t="s">
        <v>1343</v>
      </c>
      <c r="B50" s="180">
        <v>3233</v>
      </c>
      <c r="C50" s="180">
        <v>3223</v>
      </c>
      <c r="D50" s="180">
        <v>3208</v>
      </c>
      <c r="E50" s="180">
        <v>3192</v>
      </c>
      <c r="F50" s="180">
        <v>3171</v>
      </c>
      <c r="G50" s="180">
        <v>3152</v>
      </c>
      <c r="H50" s="180">
        <v>3147</v>
      </c>
      <c r="I50" s="180">
        <v>3149</v>
      </c>
      <c r="J50" s="180">
        <v>3136</v>
      </c>
      <c r="K50" s="180">
        <v>3121</v>
      </c>
      <c r="L50" s="180">
        <v>3115</v>
      </c>
      <c r="M50" s="180">
        <v>3110</v>
      </c>
      <c r="N50" s="180">
        <v>3100</v>
      </c>
      <c r="O50" s="180">
        <v>3091</v>
      </c>
      <c r="P50" s="180">
        <v>3081</v>
      </c>
      <c r="Q50" s="180">
        <v>3073</v>
      </c>
    </row>
    <row r="51" spans="1:17" ht="15" x14ac:dyDescent="0.25">
      <c r="A51" s="179" t="s">
        <v>1344</v>
      </c>
      <c r="B51" s="180">
        <v>44855</v>
      </c>
      <c r="C51" s="180">
        <v>44885</v>
      </c>
      <c r="D51" s="180">
        <v>44861</v>
      </c>
      <c r="E51" s="180">
        <v>44750</v>
      </c>
      <c r="F51" s="180">
        <v>44709</v>
      </c>
      <c r="G51" s="180">
        <v>44540</v>
      </c>
      <c r="H51" s="180">
        <v>44418</v>
      </c>
      <c r="I51" s="180">
        <v>44233</v>
      </c>
      <c r="J51" s="180">
        <v>44128</v>
      </c>
      <c r="K51" s="180">
        <v>44060</v>
      </c>
      <c r="L51" s="180">
        <v>43956</v>
      </c>
      <c r="M51" s="180">
        <v>43849</v>
      </c>
      <c r="N51" s="180">
        <v>43758</v>
      </c>
      <c r="O51" s="180">
        <v>43659</v>
      </c>
      <c r="P51" s="180">
        <v>43560</v>
      </c>
      <c r="Q51" s="180">
        <v>43464</v>
      </c>
    </row>
    <row r="52" spans="1:17" ht="15" x14ac:dyDescent="0.25">
      <c r="A52" s="179" t="s">
        <v>1345</v>
      </c>
      <c r="B52" s="180">
        <v>412873</v>
      </c>
      <c r="C52" s="180">
        <v>415307</v>
      </c>
      <c r="D52" s="180">
        <v>418117</v>
      </c>
      <c r="E52" s="180">
        <v>421344</v>
      </c>
      <c r="F52" s="180">
        <v>425664</v>
      </c>
      <c r="G52" s="180">
        <v>429256</v>
      </c>
      <c r="H52" s="180">
        <v>433395</v>
      </c>
      <c r="I52" s="180">
        <v>437294</v>
      </c>
      <c r="J52" s="180">
        <v>439975</v>
      </c>
      <c r="K52" s="180">
        <v>442145</v>
      </c>
      <c r="L52" s="180">
        <v>444255</v>
      </c>
      <c r="M52" s="180">
        <v>446633</v>
      </c>
      <c r="N52" s="180">
        <v>449201</v>
      </c>
      <c r="O52" s="180">
        <v>451927</v>
      </c>
      <c r="P52" s="180">
        <v>454795</v>
      </c>
      <c r="Q52" s="180">
        <v>457887</v>
      </c>
    </row>
    <row r="53" spans="1:17" ht="15" x14ac:dyDescent="0.25">
      <c r="A53" s="170" t="s">
        <v>1346</v>
      </c>
      <c r="B53" s="174">
        <v>484055</v>
      </c>
      <c r="C53" s="174">
        <v>487677</v>
      </c>
      <c r="D53" s="174">
        <v>490588</v>
      </c>
      <c r="E53" s="174">
        <v>494985</v>
      </c>
      <c r="F53" s="174">
        <v>498358</v>
      </c>
      <c r="G53" s="174">
        <v>501142</v>
      </c>
      <c r="H53" s="174">
        <v>503109</v>
      </c>
      <c r="I53" s="174">
        <v>503181</v>
      </c>
      <c r="J53" s="174">
        <v>500499</v>
      </c>
      <c r="K53" s="174">
        <v>498480</v>
      </c>
      <c r="L53" s="174">
        <v>496668</v>
      </c>
      <c r="M53" s="174">
        <v>495273</v>
      </c>
      <c r="N53" s="174">
        <v>494308</v>
      </c>
      <c r="O53" s="174">
        <v>493744</v>
      </c>
      <c r="P53" s="174">
        <v>493638</v>
      </c>
      <c r="Q53" s="174">
        <v>494017</v>
      </c>
    </row>
    <row r="54" spans="1:17" ht="15" x14ac:dyDescent="0.25">
      <c r="A54" s="182" t="s">
        <v>1347</v>
      </c>
      <c r="B54" s="180">
        <v>516648</v>
      </c>
      <c r="C54" s="180">
        <v>519887</v>
      </c>
      <c r="D54" s="180">
        <v>524730</v>
      </c>
      <c r="E54" s="180">
        <v>528323</v>
      </c>
      <c r="F54" s="180">
        <v>531979</v>
      </c>
      <c r="G54" s="180">
        <v>537658</v>
      </c>
      <c r="H54" s="180">
        <v>543509</v>
      </c>
      <c r="I54" s="180">
        <v>550324</v>
      </c>
      <c r="J54" s="180">
        <v>554616</v>
      </c>
      <c r="K54" s="180">
        <v>558395</v>
      </c>
      <c r="L54" s="180">
        <v>562303</v>
      </c>
      <c r="M54" s="180">
        <v>566399</v>
      </c>
      <c r="N54" s="180">
        <v>570756</v>
      </c>
      <c r="O54" s="180">
        <v>575044</v>
      </c>
      <c r="P54" s="180">
        <v>579488</v>
      </c>
      <c r="Q54" s="180">
        <v>584055</v>
      </c>
    </row>
    <row r="55" spans="1:17" ht="15" x14ac:dyDescent="0.25">
      <c r="A55" s="179" t="s">
        <v>1348</v>
      </c>
      <c r="B55" s="180">
        <v>94898</v>
      </c>
      <c r="C55" s="180">
        <v>94855</v>
      </c>
      <c r="D55" s="180">
        <v>95362</v>
      </c>
      <c r="E55" s="180">
        <v>96699</v>
      </c>
      <c r="F55" s="180">
        <v>96197</v>
      </c>
      <c r="G55" s="180">
        <v>96976</v>
      </c>
      <c r="H55" s="180">
        <v>97871</v>
      </c>
      <c r="I55" s="180">
        <v>99465</v>
      </c>
      <c r="J55" s="180">
        <v>101337</v>
      </c>
      <c r="K55" s="180">
        <v>103580</v>
      </c>
      <c r="L55" s="180">
        <v>105747</v>
      </c>
      <c r="M55" s="180">
        <v>107747</v>
      </c>
      <c r="N55" s="180">
        <v>109656</v>
      </c>
      <c r="O55" s="180">
        <v>111392</v>
      </c>
      <c r="P55" s="180">
        <v>112971</v>
      </c>
      <c r="Q55" s="180">
        <v>114346</v>
      </c>
    </row>
    <row r="56" spans="1:17" ht="15" x14ac:dyDescent="0.25">
      <c r="A56" s="179" t="s">
        <v>1349</v>
      </c>
      <c r="B56" s="180">
        <v>63381</v>
      </c>
      <c r="C56" s="180">
        <v>63252</v>
      </c>
      <c r="D56" s="180">
        <v>63232</v>
      </c>
      <c r="E56" s="180">
        <v>63077</v>
      </c>
      <c r="F56" s="180">
        <v>63210</v>
      </c>
      <c r="G56" s="180">
        <v>63551</v>
      </c>
      <c r="H56" s="180">
        <v>63983</v>
      </c>
      <c r="I56" s="180">
        <v>64176</v>
      </c>
      <c r="J56" s="180">
        <v>64703</v>
      </c>
      <c r="K56" s="180">
        <v>65428</v>
      </c>
      <c r="L56" s="180">
        <v>65885</v>
      </c>
      <c r="M56" s="180">
        <v>66284</v>
      </c>
      <c r="N56" s="180">
        <v>66637</v>
      </c>
      <c r="O56" s="180">
        <v>66967</v>
      </c>
      <c r="P56" s="180">
        <v>67240</v>
      </c>
      <c r="Q56" s="180">
        <v>67470</v>
      </c>
    </row>
    <row r="57" spans="1:17" ht="15" x14ac:dyDescent="0.25">
      <c r="A57" s="179" t="s">
        <v>1295</v>
      </c>
      <c r="B57" s="180">
        <v>13798</v>
      </c>
      <c r="C57" s="180">
        <v>13732</v>
      </c>
      <c r="D57" s="180">
        <v>13731</v>
      </c>
      <c r="E57" s="180">
        <v>13685</v>
      </c>
      <c r="F57" s="180">
        <v>13626</v>
      </c>
      <c r="G57" s="180">
        <v>13556</v>
      </c>
      <c r="H57" s="180">
        <v>13489</v>
      </c>
      <c r="I57" s="180">
        <v>13454</v>
      </c>
      <c r="J57" s="180">
        <v>13385</v>
      </c>
      <c r="K57" s="180">
        <v>13385</v>
      </c>
      <c r="L57" s="180">
        <v>13354</v>
      </c>
      <c r="M57" s="180">
        <v>13326</v>
      </c>
      <c r="N57" s="180">
        <v>13289</v>
      </c>
      <c r="O57" s="180">
        <v>13246</v>
      </c>
      <c r="P57" s="180">
        <v>13196</v>
      </c>
      <c r="Q57" s="180">
        <v>13150</v>
      </c>
    </row>
    <row r="58" spans="1:17" ht="15" x14ac:dyDescent="0.25">
      <c r="A58" s="170" t="s">
        <v>1350</v>
      </c>
      <c r="B58" s="174">
        <v>442517</v>
      </c>
      <c r="C58" s="174">
        <v>448157</v>
      </c>
      <c r="D58" s="174">
        <v>452745</v>
      </c>
      <c r="E58" s="174">
        <v>456160</v>
      </c>
      <c r="F58" s="174">
        <v>459862</v>
      </c>
      <c r="G58" s="174">
        <v>464357</v>
      </c>
      <c r="H58" s="174">
        <v>467742</v>
      </c>
      <c r="I58" s="174">
        <v>472147</v>
      </c>
      <c r="J58" s="174">
        <v>475781</v>
      </c>
      <c r="K58" s="174">
        <v>479924</v>
      </c>
      <c r="L58" s="174">
        <v>484423</v>
      </c>
      <c r="M58" s="174">
        <v>488782</v>
      </c>
      <c r="N58" s="174">
        <v>492944</v>
      </c>
      <c r="O58" s="174">
        <v>496943</v>
      </c>
      <c r="P58" s="174">
        <v>500595</v>
      </c>
      <c r="Q58" s="174">
        <v>504166</v>
      </c>
    </row>
    <row r="59" spans="1:17" ht="15" x14ac:dyDescent="0.25">
      <c r="A59" s="179" t="s">
        <v>1351</v>
      </c>
      <c r="B59" s="180">
        <v>55240</v>
      </c>
      <c r="C59" s="180">
        <v>54980</v>
      </c>
      <c r="D59" s="180">
        <v>53965</v>
      </c>
      <c r="E59" s="180">
        <v>54349</v>
      </c>
      <c r="F59" s="180">
        <v>53823</v>
      </c>
      <c r="G59" s="180">
        <v>53531</v>
      </c>
      <c r="H59" s="180">
        <v>53291</v>
      </c>
      <c r="I59" s="180">
        <v>52862</v>
      </c>
      <c r="J59" s="180">
        <v>52843</v>
      </c>
      <c r="K59" s="180">
        <v>52568</v>
      </c>
      <c r="L59" s="180">
        <v>52351</v>
      </c>
      <c r="M59" s="180">
        <v>52121</v>
      </c>
      <c r="N59" s="180">
        <v>51882</v>
      </c>
      <c r="O59" s="180">
        <v>51641</v>
      </c>
      <c r="P59" s="180">
        <v>51395</v>
      </c>
      <c r="Q59" s="180">
        <v>51149</v>
      </c>
    </row>
    <row r="60" spans="1:17" ht="15" x14ac:dyDescent="0.25">
      <c r="A60" s="179" t="s">
        <v>1352</v>
      </c>
      <c r="B60" s="180">
        <v>825004</v>
      </c>
      <c r="C60" s="180">
        <v>832732</v>
      </c>
      <c r="D60" s="180">
        <v>837818</v>
      </c>
      <c r="E60" s="180">
        <v>843511</v>
      </c>
      <c r="F60" s="180">
        <v>847976</v>
      </c>
      <c r="G60" s="180">
        <v>851843</v>
      </c>
      <c r="H60" s="180">
        <v>853006</v>
      </c>
      <c r="I60" s="180">
        <v>854309</v>
      </c>
      <c r="J60" s="180">
        <v>855713</v>
      </c>
      <c r="K60" s="180">
        <v>853747</v>
      </c>
      <c r="L60" s="180">
        <v>852747</v>
      </c>
      <c r="M60" s="180">
        <v>852040</v>
      </c>
      <c r="N60" s="180">
        <v>851997</v>
      </c>
      <c r="O60" s="180">
        <v>852470</v>
      </c>
      <c r="P60" s="180">
        <v>853397</v>
      </c>
      <c r="Q60" s="180">
        <v>854868</v>
      </c>
    </row>
    <row r="61" spans="1:17" ht="15" x14ac:dyDescent="0.25">
      <c r="A61" s="179" t="s">
        <v>1353</v>
      </c>
      <c r="B61" s="180">
        <v>202634</v>
      </c>
      <c r="C61" s="180">
        <v>203430</v>
      </c>
      <c r="D61" s="180">
        <v>206079</v>
      </c>
      <c r="E61" s="180">
        <v>208528</v>
      </c>
      <c r="F61" s="180">
        <v>210110</v>
      </c>
      <c r="G61" s="180">
        <v>212992</v>
      </c>
      <c r="H61" s="180">
        <v>216980</v>
      </c>
      <c r="I61" s="180">
        <v>219697</v>
      </c>
      <c r="J61" s="180">
        <v>222054</v>
      </c>
      <c r="K61" s="180">
        <v>222868</v>
      </c>
      <c r="L61" s="180">
        <v>223612</v>
      </c>
      <c r="M61" s="180">
        <v>224524</v>
      </c>
      <c r="N61" s="180">
        <v>225511</v>
      </c>
      <c r="O61" s="180">
        <v>226626</v>
      </c>
      <c r="P61" s="180">
        <v>228007</v>
      </c>
      <c r="Q61" s="180">
        <v>229613</v>
      </c>
    </row>
    <row r="62" spans="1:17" ht="15" x14ac:dyDescent="0.25">
      <c r="A62" s="170" t="s">
        <v>1354</v>
      </c>
      <c r="B62" s="174">
        <v>72353</v>
      </c>
      <c r="C62" s="174">
        <v>72823</v>
      </c>
      <c r="D62" s="174">
        <v>73140</v>
      </c>
      <c r="E62" s="174">
        <v>73303</v>
      </c>
      <c r="F62" s="174">
        <v>73808</v>
      </c>
      <c r="G62" s="174">
        <v>74472</v>
      </c>
      <c r="H62" s="174">
        <v>75378</v>
      </c>
      <c r="I62" s="174">
        <v>76712</v>
      </c>
      <c r="J62" s="174">
        <v>77426</v>
      </c>
      <c r="K62" s="174">
        <v>78292</v>
      </c>
      <c r="L62" s="174">
        <v>79290</v>
      </c>
      <c r="M62" s="174">
        <v>80285</v>
      </c>
      <c r="N62" s="174">
        <v>81267</v>
      </c>
      <c r="O62" s="174">
        <v>82257</v>
      </c>
      <c r="P62" s="174">
        <v>83223</v>
      </c>
      <c r="Q62" s="174">
        <v>84206</v>
      </c>
    </row>
    <row r="63" spans="1:17" ht="14.25" x14ac:dyDescent="0.2">
      <c r="A63" s="353" t="s">
        <v>1355</v>
      </c>
      <c r="B63" s="333"/>
      <c r="C63" s="333"/>
      <c r="D63" s="333"/>
      <c r="E63" s="333"/>
      <c r="F63" s="333"/>
      <c r="G63" s="183"/>
      <c r="H63" s="183"/>
      <c r="I63" s="183"/>
      <c r="J63" s="183"/>
      <c r="K63" s="183"/>
      <c r="L63" s="183"/>
      <c r="M63" s="183"/>
      <c r="N63" s="184"/>
      <c r="O63" s="184"/>
      <c r="P63" s="184"/>
      <c r="Q63" s="184"/>
    </row>
    <row r="66" spans="1:1" ht="12.75" x14ac:dyDescent="0.2">
      <c r="A66" s="4"/>
    </row>
  </sheetData>
  <sheetProtection algorithmName="SHA-512" hashValue="jGICRk1WDK3nZ1eXwoBFWN3fTqBU/xITTU+gJbjXBfh7tiY9HhheIRVu+yZSQYAXHV7VCWcQorYwrqT7j30BVg==" saltValue="HiYX1Eyso31x0k7hAt+xjQ==" spinCount="100000" sheet="1" objects="1" scenarios="1"/>
  <mergeCells count="4">
    <mergeCell ref="A1:G1"/>
    <mergeCell ref="B2:K2"/>
    <mergeCell ref="L2:Q2"/>
    <mergeCell ref="A63:F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Progress Summary - Total </vt:lpstr>
      <vt:lpstr>Progress Summary -  Low Income</vt:lpstr>
      <vt:lpstr>Progress by County 2014 - 2018</vt:lpstr>
      <vt:lpstr>CA's HCD  5th Cycle APR Raw Dat</vt:lpstr>
      <vt:lpstr>CA's HCD 5th Cycle Full Summary</vt:lpstr>
      <vt:lpstr>CA's HCD Assigned 5th Cycle RHN</vt:lpstr>
      <vt:lpstr>Dept of Fin -Pop Projection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2020-02-03T03:14:37Z</dcterms:created>
  <dcterms:modified xsi:type="dcterms:W3CDTF">2020-02-05T15:19:00Z</dcterms:modified>
</cp:coreProperties>
</file>